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<sst xmlns="http://schemas.openxmlformats.org/spreadsheetml/2006/main" count="77" uniqueCount="74">
  <si>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</si>
  <si>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</si>
  <si>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</si>
  <si>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</si>
  <si>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</si>
  <si>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</si>
  <si>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</si>
  <si>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</si>
  <si>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</si>
  <si>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</si>
  <si>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</si>
  <si>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</si>
  <si>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</si>
  <si>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</si>
  <si>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</si>
  <si>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</si>
  <si>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</si>
  <si>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</si>
  <si>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</si>
  <si>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</si>
  <si>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</si>
  <si>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</si>
  <si>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</si>
  <si>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</si>
  <si>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</si>
  <si>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</si>
  <si>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</si>
  <si>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</si>
  <si>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</si>
  <si>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</si>
  <si>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</si>
  <si>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</si>
  <si>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</si>
  <si>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</si>
  <si>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</si>
  <si>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</si>
  <si>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</si>
  <si>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</si>
  <si>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</si>
  <si>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</si>
  <si>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</si>
  <si>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</si>
  <si>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</si>
  <si>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</si>
  <si>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</si>
  <si>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</si>
  <si>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</si>
  <si>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</si>
  <si>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</si>
  <si>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</si>
  <si>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</si>
  <si>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</si>
  <si>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</si>
  <si>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</si>
  <si>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</si>
  <si>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</si>
  <si>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</si>
  <si>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</si>
  <si>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</si>
  <si>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</si>
  <si>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</si>
  <si>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</si>
  <si>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</si>
  <si>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</si>
  <si>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</si>
  <si>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</si>
  <si>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</si>
  <si>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</si>
  <si>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</si>
  <si>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</si>
  <si>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</si>
  <si>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21/02/20 - VENCIMENTO 03/03/20</t>
  </si>
  <si>
    <t>5.3. Revisão de Remuneração pelo Transporte Coletivo (1)</t>
  </si>
  <si>
    <t>Nota: (1) Revisão de passageiros, fator de transição e ARLA32, janeiro/20. Total de 843.163 passageiros.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</si>
</sst>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6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2"/>
      <color rgb="FF00000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61</xdr:row>
      <xdr:rowOff>0</xdr:rowOff>
    </xdr:from>
    <xdr:to>
      <xdr:col>6</xdr:col>
      <xdr:colOff>638175</xdr:colOff>
      <xdr:row>61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53950" y="14792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638175</xdr:colOff>
      <xdr:row>61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87450" y="14792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5" t="s">
        <v>70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1">
      <c r="A2" s="66" t="s">
        <v>71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7" t="s">
        <v>1</v>
      </c>
      <c r="B4" s="67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 t="s">
        <v>3</v>
      </c>
    </row>
    <row r="5" spans="1:15" ht="42" customHeight="1">
      <c r="A5" s="67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7"/>
    </row>
    <row r="6" spans="1:15" ht="20.25" customHeight="1">
      <c r="A6" s="67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7"/>
    </row>
    <row r="7" spans="1:26" ht="18.75" customHeight="1">
      <c r="A7" s="8" t="s">
        <v>27</v>
      </c>
      <c r="B7" s="9">
        <f aca="true" t="shared" si="0" ref="B7:O7">B8+B11</f>
        <v>450573</v>
      </c>
      <c r="C7" s="9">
        <f t="shared" si="0"/>
        <v>326604</v>
      </c>
      <c r="D7" s="9">
        <f t="shared" si="0"/>
        <v>314716</v>
      </c>
      <c r="E7" s="9">
        <f t="shared" si="0"/>
        <v>69501</v>
      </c>
      <c r="F7" s="9">
        <f t="shared" si="0"/>
        <v>290277</v>
      </c>
      <c r="G7" s="9">
        <f t="shared" si="0"/>
        <v>482383</v>
      </c>
      <c r="H7" s="9">
        <f t="shared" si="0"/>
        <v>56171</v>
      </c>
      <c r="I7" s="9">
        <f t="shared" si="0"/>
        <v>328733</v>
      </c>
      <c r="J7" s="9">
        <f t="shared" si="0"/>
        <v>277859</v>
      </c>
      <c r="K7" s="9">
        <f t="shared" si="0"/>
        <v>415715</v>
      </c>
      <c r="L7" s="9">
        <f t="shared" si="0"/>
        <v>333023</v>
      </c>
      <c r="M7" s="9">
        <f t="shared" si="0"/>
        <v>143234</v>
      </c>
      <c r="N7" s="9">
        <f t="shared" si="0"/>
        <v>91959</v>
      </c>
      <c r="O7" s="9">
        <f t="shared" si="0"/>
        <v>3580748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20139</v>
      </c>
      <c r="C8" s="11">
        <f t="shared" si="1"/>
        <v>19242</v>
      </c>
      <c r="D8" s="11">
        <f t="shared" si="1"/>
        <v>12226</v>
      </c>
      <c r="E8" s="11">
        <f t="shared" si="1"/>
        <v>2774</v>
      </c>
      <c r="F8" s="11">
        <f t="shared" si="1"/>
        <v>11187</v>
      </c>
      <c r="G8" s="11">
        <f t="shared" si="1"/>
        <v>22183</v>
      </c>
      <c r="H8" s="11">
        <f t="shared" si="1"/>
        <v>2993</v>
      </c>
      <c r="I8" s="11">
        <f t="shared" si="1"/>
        <v>19319</v>
      </c>
      <c r="J8" s="11">
        <f t="shared" si="1"/>
        <v>15088</v>
      </c>
      <c r="K8" s="11">
        <f t="shared" si="1"/>
        <v>13865</v>
      </c>
      <c r="L8" s="11">
        <f t="shared" si="1"/>
        <v>12123</v>
      </c>
      <c r="M8" s="11">
        <f t="shared" si="1"/>
        <v>7619</v>
      </c>
      <c r="N8" s="11">
        <f t="shared" si="1"/>
        <v>6045</v>
      </c>
      <c r="O8" s="11">
        <f t="shared" si="1"/>
        <v>164803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20139</v>
      </c>
      <c r="C9" s="11">
        <v>19242</v>
      </c>
      <c r="D9" s="11">
        <v>12226</v>
      </c>
      <c r="E9" s="11">
        <v>2774</v>
      </c>
      <c r="F9" s="11">
        <v>11187</v>
      </c>
      <c r="G9" s="11">
        <v>22183</v>
      </c>
      <c r="H9" s="11">
        <v>2983</v>
      </c>
      <c r="I9" s="11">
        <v>19316</v>
      </c>
      <c r="J9" s="11">
        <v>15088</v>
      </c>
      <c r="K9" s="11">
        <v>13861</v>
      </c>
      <c r="L9" s="11">
        <v>12123</v>
      </c>
      <c r="M9" s="11">
        <v>7613</v>
      </c>
      <c r="N9" s="11">
        <v>6045</v>
      </c>
      <c r="O9" s="11">
        <f>SUM(B9:N9)</f>
        <v>164780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3</v>
      </c>
      <c r="J10" s="13">
        <v>0</v>
      </c>
      <c r="K10" s="13">
        <v>4</v>
      </c>
      <c r="L10" s="13">
        <v>0</v>
      </c>
      <c r="M10" s="13">
        <v>6</v>
      </c>
      <c r="N10" s="13">
        <v>0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430434</v>
      </c>
      <c r="C11" s="13">
        <v>307362</v>
      </c>
      <c r="D11" s="13">
        <v>302490</v>
      </c>
      <c r="E11" s="13">
        <v>66727</v>
      </c>
      <c r="F11" s="13">
        <v>279090</v>
      </c>
      <c r="G11" s="13">
        <v>460200</v>
      </c>
      <c r="H11" s="13">
        <v>53178</v>
      </c>
      <c r="I11" s="13">
        <v>309414</v>
      </c>
      <c r="J11" s="13">
        <v>262771</v>
      </c>
      <c r="K11" s="13">
        <v>401850</v>
      </c>
      <c r="L11" s="13">
        <v>320900</v>
      </c>
      <c r="M11" s="13">
        <v>135615</v>
      </c>
      <c r="N11" s="13">
        <v>85914</v>
      </c>
      <c r="O11" s="11">
        <f>SUM(B11:N11)</f>
        <v>3415945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1.03399463006634</v>
      </c>
      <c r="H15" s="19">
        <v>1.249877745132156</v>
      </c>
      <c r="I15" s="19">
        <v>0.979090733874618</v>
      </c>
      <c r="J15" s="19">
        <v>1.054357044452737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1066996.38</v>
      </c>
      <c r="C17" s="24">
        <f aca="true" t="shared" si="2" ref="C17:O17">C18+C19+C20+C21+C22+C23</f>
        <v>829820.51</v>
      </c>
      <c r="D17" s="24">
        <f t="shared" si="2"/>
        <v>634626.27</v>
      </c>
      <c r="E17" s="24">
        <f t="shared" si="2"/>
        <v>219138.09999999998</v>
      </c>
      <c r="F17" s="24">
        <f t="shared" si="2"/>
        <v>686765.9199999999</v>
      </c>
      <c r="G17" s="24">
        <f t="shared" si="2"/>
        <v>987777.3300000001</v>
      </c>
      <c r="H17" s="24">
        <f>H18+H19+H20+H21+H22+H23-0.01</f>
        <v>179504.63</v>
      </c>
      <c r="I17" s="24">
        <f t="shared" si="2"/>
        <v>790319.6900000001</v>
      </c>
      <c r="J17" s="24">
        <f t="shared" si="2"/>
        <v>708988.3300000001</v>
      </c>
      <c r="K17" s="24">
        <f t="shared" si="2"/>
        <v>962240.56</v>
      </c>
      <c r="L17" s="24">
        <f t="shared" si="2"/>
        <v>871040.1000000001</v>
      </c>
      <c r="M17" s="24">
        <f t="shared" si="2"/>
        <v>486698.57</v>
      </c>
      <c r="N17" s="24">
        <f t="shared" si="2"/>
        <v>240315.26</v>
      </c>
      <c r="O17" s="24">
        <f t="shared" si="2"/>
        <v>8664231.660000002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1006670.2</v>
      </c>
      <c r="C18" s="22">
        <f t="shared" si="3"/>
        <v>753638.73</v>
      </c>
      <c r="D18" s="22">
        <f t="shared" si="3"/>
        <v>636733.41</v>
      </c>
      <c r="E18" s="22">
        <f t="shared" si="3"/>
        <v>240549.91</v>
      </c>
      <c r="F18" s="22">
        <f t="shared" si="3"/>
        <v>680467.34</v>
      </c>
      <c r="G18" s="22">
        <f t="shared" si="3"/>
        <v>929600.28</v>
      </c>
      <c r="H18" s="22">
        <f t="shared" si="3"/>
        <v>145140.25</v>
      </c>
      <c r="I18" s="22">
        <f t="shared" si="3"/>
        <v>752535.58</v>
      </c>
      <c r="J18" s="22">
        <f t="shared" si="3"/>
        <v>640214.92</v>
      </c>
      <c r="K18" s="22">
        <f t="shared" si="3"/>
        <v>906009.27</v>
      </c>
      <c r="L18" s="22">
        <f t="shared" si="3"/>
        <v>826030.25</v>
      </c>
      <c r="M18" s="22">
        <f t="shared" si="3"/>
        <v>410437.03</v>
      </c>
      <c r="N18" s="22">
        <f t="shared" si="3"/>
        <v>238137.03</v>
      </c>
      <c r="O18" s="27">
        <f aca="true" t="shared" si="4" ref="O18:O23">SUM(B18:N18)</f>
        <v>8166164.200000001</v>
      </c>
    </row>
    <row r="19" spans="1:23" ht="18.75" customHeight="1">
      <c r="A19" s="26" t="s">
        <v>36</v>
      </c>
      <c r="B19" s="16">
        <f>IF(B15&lt;&gt;0,ROUND((B15-1)*B18,2),0)</f>
        <v>-353.28</v>
      </c>
      <c r="C19" s="22">
        <f aca="true" t="shared" si="5" ref="C19:N19">IF(C15&lt;&gt;0,ROUND((C15-1)*C18,2),0)</f>
        <v>16437.11</v>
      </c>
      <c r="D19" s="22">
        <f t="shared" si="5"/>
        <v>-7084.57</v>
      </c>
      <c r="E19" s="22">
        <f t="shared" si="5"/>
        <v>-28363.19</v>
      </c>
      <c r="F19" s="22">
        <f t="shared" si="5"/>
        <v>-11409.65</v>
      </c>
      <c r="G19" s="22">
        <f t="shared" si="5"/>
        <v>31601.42</v>
      </c>
      <c r="H19" s="22">
        <f t="shared" si="5"/>
        <v>36267.32</v>
      </c>
      <c r="I19" s="22">
        <f t="shared" si="5"/>
        <v>-15734.97</v>
      </c>
      <c r="J19" s="22">
        <f t="shared" si="5"/>
        <v>34800.19</v>
      </c>
      <c r="K19" s="22">
        <f t="shared" si="5"/>
        <v>-4298.06</v>
      </c>
      <c r="L19" s="22">
        <f t="shared" si="5"/>
        <v>-2764.44</v>
      </c>
      <c r="M19" s="22">
        <f t="shared" si="5"/>
        <v>36984.99</v>
      </c>
      <c r="N19" s="22">
        <f t="shared" si="5"/>
        <v>-12641.87</v>
      </c>
      <c r="O19" s="27">
        <f t="shared" si="4"/>
        <v>73441</v>
      </c>
      <c r="W19" s="63"/>
    </row>
    <row r="20" spans="1:15" ht="18.75" customHeight="1">
      <c r="A20" s="26" t="s">
        <v>37</v>
      </c>
      <c r="B20" s="22">
        <v>36573.34</v>
      </c>
      <c r="C20" s="22">
        <v>28217.55</v>
      </c>
      <c r="D20" s="22">
        <v>11919.87</v>
      </c>
      <c r="E20" s="22">
        <v>5496.03</v>
      </c>
      <c r="F20" s="22">
        <v>15234.07</v>
      </c>
      <c r="G20" s="22">
        <v>23146.48</v>
      </c>
      <c r="H20" s="22">
        <v>4956.79</v>
      </c>
      <c r="I20" s="22">
        <v>16884.66</v>
      </c>
      <c r="J20" s="22">
        <v>23103.89</v>
      </c>
      <c r="K20" s="22">
        <v>35457.38</v>
      </c>
      <c r="L20" s="22">
        <v>30119.13</v>
      </c>
      <c r="M20" s="22">
        <v>13584.62</v>
      </c>
      <c r="N20" s="22">
        <v>6693</v>
      </c>
      <c r="O20" s="27">
        <f t="shared" si="4"/>
        <v>251386.81</v>
      </c>
    </row>
    <row r="21" spans="1:15" ht="18.75" customHeight="1">
      <c r="A21" s="26" t="s">
        <v>38</v>
      </c>
      <c r="B21" s="22">
        <v>2830.32</v>
      </c>
      <c r="C21" s="22">
        <v>2830.32</v>
      </c>
      <c r="D21" s="22">
        <v>0</v>
      </c>
      <c r="E21" s="22">
        <v>0</v>
      </c>
      <c r="F21" s="22">
        <v>1415.16</v>
      </c>
      <c r="G21" s="22">
        <v>1415.16</v>
      </c>
      <c r="H21" s="22">
        <v>0</v>
      </c>
      <c r="I21" s="22">
        <v>0</v>
      </c>
      <c r="J21" s="22">
        <v>0</v>
      </c>
      <c r="K21" s="22">
        <v>1415.16</v>
      </c>
      <c r="L21" s="22">
        <v>1415.16</v>
      </c>
      <c r="M21" s="22">
        <v>0</v>
      </c>
      <c r="N21" s="22">
        <v>1415.16</v>
      </c>
      <c r="O21" s="27">
        <f t="shared" si="4"/>
        <v>12736.44</v>
      </c>
    </row>
    <row r="22" spans="1:15" ht="18.75" customHeight="1">
      <c r="A22" s="26" t="s">
        <v>39</v>
      </c>
      <c r="B22" s="22">
        <v>-11431.03</v>
      </c>
      <c r="C22" s="22">
        <v>-2081.38</v>
      </c>
      <c r="D22" s="22">
        <v>-19866.89</v>
      </c>
      <c r="E22" s="22">
        <v>-4156.14</v>
      </c>
      <c r="F22" s="22">
        <v>-12949.79</v>
      </c>
      <c r="G22" s="22">
        <v>-8158.34</v>
      </c>
      <c r="H22" s="22">
        <v>-6859.72</v>
      </c>
      <c r="I22" s="22">
        <v>0</v>
      </c>
      <c r="J22" s="22">
        <v>-11390.9</v>
      </c>
      <c r="K22" s="22">
        <v>-6886.62</v>
      </c>
      <c r="L22" s="22">
        <v>-13719.86</v>
      </c>
      <c r="M22" s="22">
        <v>-307.86</v>
      </c>
      <c r="N22" s="22">
        <v>-654.9</v>
      </c>
      <c r="O22" s="27">
        <f t="shared" si="4"/>
        <v>-98463.43</v>
      </c>
    </row>
    <row r="23" spans="1:26" ht="18.75" customHeight="1">
      <c r="A23" s="26" t="s">
        <v>40</v>
      </c>
      <c r="B23" s="22">
        <v>32706.83</v>
      </c>
      <c r="C23" s="22">
        <v>30778.18</v>
      </c>
      <c r="D23" s="22">
        <v>12924.45</v>
      </c>
      <c r="E23" s="22">
        <v>5611.49</v>
      </c>
      <c r="F23" s="22">
        <v>14008.79</v>
      </c>
      <c r="G23" s="22">
        <v>10172.33</v>
      </c>
      <c r="H23" s="22">
        <v>0</v>
      </c>
      <c r="I23" s="22">
        <v>36634.42</v>
      </c>
      <c r="J23" s="22">
        <v>22260.23</v>
      </c>
      <c r="K23" s="22">
        <v>30543.43</v>
      </c>
      <c r="L23" s="22">
        <v>29959.86</v>
      </c>
      <c r="M23" s="22">
        <v>25999.79</v>
      </c>
      <c r="N23" s="22">
        <v>7366.84</v>
      </c>
      <c r="O23" s="27">
        <f t="shared" si="4"/>
        <v>258966.64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-116849.9</v>
      </c>
      <c r="C25" s="31">
        <f>+C26+C28+C39+C40+C43-C44</f>
        <v>-85627.95999999999</v>
      </c>
      <c r="D25" s="31">
        <f t="shared" si="6"/>
        <v>-621701.82</v>
      </c>
      <c r="E25" s="31">
        <f t="shared" si="6"/>
        <v>-28853.290000000005</v>
      </c>
      <c r="F25" s="31">
        <f t="shared" si="6"/>
        <v>-672757.1300000001</v>
      </c>
      <c r="G25" s="31">
        <f t="shared" si="6"/>
        <v>-119986.71</v>
      </c>
      <c r="H25" s="31">
        <f>+H26+H28+H39+H40+H43-H44</f>
        <v>-179504.63</v>
      </c>
      <c r="I25" s="31">
        <f t="shared" si="6"/>
        <v>-118068.56999999999</v>
      </c>
      <c r="J25" s="31">
        <f t="shared" si="6"/>
        <v>-74956.10999999999</v>
      </c>
      <c r="K25" s="31">
        <f t="shared" si="6"/>
        <v>-56071.270000000004</v>
      </c>
      <c r="L25" s="31">
        <f t="shared" si="6"/>
        <v>-79871.79000000001</v>
      </c>
      <c r="M25" s="31">
        <f t="shared" si="6"/>
        <v>-40063.06999999999</v>
      </c>
      <c r="N25" s="31">
        <f t="shared" si="6"/>
        <v>-35766.87</v>
      </c>
      <c r="O25" s="31">
        <f t="shared" si="6"/>
        <v>-2230079.12</v>
      </c>
    </row>
    <row r="26" spans="1:15" ht="18.75" customHeight="1">
      <c r="A26" s="26" t="s">
        <v>42</v>
      </c>
      <c r="B26" s="32">
        <f>+B27</f>
        <v>-88611.6</v>
      </c>
      <c r="C26" s="32">
        <f>+C27</f>
        <v>-84664.8</v>
      </c>
      <c r="D26" s="32">
        <f aca="true" t="shared" si="7" ref="D26:O26">+D27</f>
        <v>-53794.4</v>
      </c>
      <c r="E26" s="32">
        <f t="shared" si="7"/>
        <v>-12205.6</v>
      </c>
      <c r="F26" s="32">
        <f t="shared" si="7"/>
        <v>-49222.8</v>
      </c>
      <c r="G26" s="32">
        <f t="shared" si="7"/>
        <v>-97605.2</v>
      </c>
      <c r="H26" s="32">
        <f t="shared" si="7"/>
        <v>-13125.2</v>
      </c>
      <c r="I26" s="32">
        <f t="shared" si="7"/>
        <v>-84990.4</v>
      </c>
      <c r="J26" s="32">
        <f t="shared" si="7"/>
        <v>-66387.2</v>
      </c>
      <c r="K26" s="32">
        <f t="shared" si="7"/>
        <v>-60988.4</v>
      </c>
      <c r="L26" s="32">
        <f t="shared" si="7"/>
        <v>-53341.2</v>
      </c>
      <c r="M26" s="32">
        <f t="shared" si="7"/>
        <v>-33497.2</v>
      </c>
      <c r="N26" s="32">
        <f t="shared" si="7"/>
        <v>-26598</v>
      </c>
      <c r="O26" s="32">
        <f t="shared" si="7"/>
        <v>-725031.9999999999</v>
      </c>
    </row>
    <row r="27" spans="1:26" ht="18.75" customHeight="1">
      <c r="A27" s="28" t="s">
        <v>43</v>
      </c>
      <c r="B27" s="16">
        <f>ROUND((-B9)*$G$3,2)</f>
        <v>-88611.6</v>
      </c>
      <c r="C27" s="16">
        <f aca="true" t="shared" si="8" ref="C27:N27">ROUND((-C9)*$G$3,2)</f>
        <v>-84664.8</v>
      </c>
      <c r="D27" s="16">
        <f t="shared" si="8"/>
        <v>-53794.4</v>
      </c>
      <c r="E27" s="16">
        <f t="shared" si="8"/>
        <v>-12205.6</v>
      </c>
      <c r="F27" s="16">
        <f t="shared" si="8"/>
        <v>-49222.8</v>
      </c>
      <c r="G27" s="16">
        <f t="shared" si="8"/>
        <v>-97605.2</v>
      </c>
      <c r="H27" s="16">
        <f t="shared" si="8"/>
        <v>-13125.2</v>
      </c>
      <c r="I27" s="16">
        <f t="shared" si="8"/>
        <v>-84990.4</v>
      </c>
      <c r="J27" s="16">
        <f t="shared" si="8"/>
        <v>-66387.2</v>
      </c>
      <c r="K27" s="16">
        <f t="shared" si="8"/>
        <v>-60988.4</v>
      </c>
      <c r="L27" s="16">
        <f t="shared" si="8"/>
        <v>-53341.2</v>
      </c>
      <c r="M27" s="16">
        <f t="shared" si="8"/>
        <v>-33497.2</v>
      </c>
      <c r="N27" s="16">
        <f t="shared" si="8"/>
        <v>-26598</v>
      </c>
      <c r="O27" s="33">
        <f aca="true" t="shared" si="9" ref="O27:O44">SUM(B27:N27)</f>
        <v>-725031.9999999999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-32692.37</v>
      </c>
      <c r="C28" s="32">
        <f aca="true" t="shared" si="10" ref="C28:O28">SUM(C29:C37)</f>
        <v>-14437.98</v>
      </c>
      <c r="D28" s="32">
        <f t="shared" si="10"/>
        <v>-1388651.05</v>
      </c>
      <c r="E28" s="32">
        <f t="shared" si="10"/>
        <v>-18396.06</v>
      </c>
      <c r="F28" s="32">
        <f t="shared" si="10"/>
        <v>-1180880.98</v>
      </c>
      <c r="G28" s="32">
        <f t="shared" si="10"/>
        <v>-21100.18</v>
      </c>
      <c r="H28" s="32">
        <f t="shared" si="10"/>
        <v>-298975.23</v>
      </c>
      <c r="I28" s="32">
        <f t="shared" si="10"/>
        <v>-30872</v>
      </c>
      <c r="J28" s="32">
        <f t="shared" si="10"/>
        <v>-3338.18</v>
      </c>
      <c r="K28" s="32">
        <f t="shared" si="10"/>
        <v>-21176.09</v>
      </c>
      <c r="L28" s="32">
        <f t="shared" si="10"/>
        <v>-43802.66</v>
      </c>
      <c r="M28" s="32">
        <f t="shared" si="10"/>
        <v>-12239.49</v>
      </c>
      <c r="N28" s="32">
        <f t="shared" si="10"/>
        <v>-4588.25</v>
      </c>
      <c r="O28" s="32">
        <f t="shared" si="10"/>
        <v>-3071150.52</v>
      </c>
    </row>
    <row r="29" spans="1:26" ht="18.75" customHeight="1">
      <c r="A29" s="28" t="s">
        <v>45</v>
      </c>
      <c r="B29" s="34">
        <v>-32692.37</v>
      </c>
      <c r="C29" s="34">
        <v>-14437.98</v>
      </c>
      <c r="D29" s="34">
        <v>-18651.05</v>
      </c>
      <c r="E29" s="34">
        <v>-18396.06</v>
      </c>
      <c r="F29" s="34">
        <v>-120880.98</v>
      </c>
      <c r="G29" s="34">
        <v>-21100.18</v>
      </c>
      <c r="H29" s="34">
        <v>-8975.23</v>
      </c>
      <c r="I29" s="34">
        <v>-30872</v>
      </c>
      <c r="J29" s="34">
        <v>-3338.18</v>
      </c>
      <c r="K29" s="34">
        <v>-21176.09</v>
      </c>
      <c r="L29" s="34">
        <v>-43802.66</v>
      </c>
      <c r="M29" s="34">
        <v>-12239.49</v>
      </c>
      <c r="N29" s="34">
        <v>-4588.25</v>
      </c>
      <c r="O29" s="34">
        <f t="shared" si="9"/>
        <v>-351150.52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500000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1217000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-1934000</v>
      </c>
      <c r="E35" s="34">
        <v>0</v>
      </c>
      <c r="F35" s="34">
        <v>-1560000</v>
      </c>
      <c r="G35" s="34">
        <v>0</v>
      </c>
      <c r="H35" s="34">
        <v>-443000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-3937000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72</v>
      </c>
      <c r="B39" s="36">
        <v>4454.07</v>
      </c>
      <c r="C39" s="36">
        <v>13474.82</v>
      </c>
      <c r="D39" s="36">
        <v>4850.46</v>
      </c>
      <c r="E39" s="36">
        <v>1748.37</v>
      </c>
      <c r="F39" s="36">
        <v>-54342.81</v>
      </c>
      <c r="G39" s="36">
        <v>-1281.33</v>
      </c>
      <c r="H39" s="36">
        <v>-15131.59</v>
      </c>
      <c r="I39" s="36">
        <v>-2206.17</v>
      </c>
      <c r="J39" s="36">
        <v>-5230.73</v>
      </c>
      <c r="K39" s="36">
        <v>26093.22</v>
      </c>
      <c r="L39" s="36">
        <v>17272.07</v>
      </c>
      <c r="M39" s="36">
        <v>5673.62</v>
      </c>
      <c r="N39" s="36">
        <v>-4580.62</v>
      </c>
      <c r="O39" s="34">
        <f t="shared" si="9"/>
        <v>-9206.619999999988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54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55</v>
      </c>
      <c r="B42" s="37">
        <f>+B17+B25</f>
        <v>950146.4799999999</v>
      </c>
      <c r="C42" s="37">
        <f aca="true" t="shared" si="11" ref="C42:N42">+C17+C25</f>
        <v>744192.55</v>
      </c>
      <c r="D42" s="37">
        <f t="shared" si="11"/>
        <v>12924.45000000007</v>
      </c>
      <c r="E42" s="37">
        <f t="shared" si="11"/>
        <v>190284.80999999997</v>
      </c>
      <c r="F42" s="37">
        <f t="shared" si="11"/>
        <v>14008.789999999804</v>
      </c>
      <c r="G42" s="37">
        <f t="shared" si="11"/>
        <v>867790.6200000001</v>
      </c>
      <c r="H42" s="37">
        <f t="shared" si="11"/>
        <v>0</v>
      </c>
      <c r="I42" s="37">
        <f t="shared" si="11"/>
        <v>672251.1200000001</v>
      </c>
      <c r="J42" s="37">
        <f t="shared" si="11"/>
        <v>634032.2200000001</v>
      </c>
      <c r="K42" s="37">
        <f t="shared" si="11"/>
        <v>906169.29</v>
      </c>
      <c r="L42" s="37">
        <f t="shared" si="11"/>
        <v>791168.31</v>
      </c>
      <c r="M42" s="37">
        <f t="shared" si="11"/>
        <v>446635.5</v>
      </c>
      <c r="N42" s="37">
        <f t="shared" si="11"/>
        <v>204548.39</v>
      </c>
      <c r="O42" s="37">
        <f>SUM(B42:N42)</f>
        <v>6434152.53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56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57</v>
      </c>
      <c r="B44" s="34">
        <v>0</v>
      </c>
      <c r="C44" s="34">
        <v>0</v>
      </c>
      <c r="D44" s="34">
        <v>-815893.17</v>
      </c>
      <c r="E44" s="34">
        <v>0</v>
      </c>
      <c r="F44" s="34">
        <v>-611689.46</v>
      </c>
      <c r="G44" s="34">
        <v>0</v>
      </c>
      <c r="H44" s="34">
        <v>-147727.39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-1575310.02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58</v>
      </c>
      <c r="B48" s="52">
        <f aca="true" t="shared" si="12" ref="B48:O48">SUM(B49:B59)</f>
        <v>950146.47</v>
      </c>
      <c r="C48" s="52">
        <f t="shared" si="12"/>
        <v>744192.55</v>
      </c>
      <c r="D48" s="52">
        <f t="shared" si="12"/>
        <v>12924.45</v>
      </c>
      <c r="E48" s="52">
        <f t="shared" si="12"/>
        <v>190284.81</v>
      </c>
      <c r="F48" s="52">
        <f t="shared" si="12"/>
        <v>14008.79</v>
      </c>
      <c r="G48" s="52">
        <f t="shared" si="12"/>
        <v>867790.62</v>
      </c>
      <c r="H48" s="52">
        <f t="shared" si="12"/>
        <v>0</v>
      </c>
      <c r="I48" s="52">
        <f t="shared" si="12"/>
        <v>672251.12</v>
      </c>
      <c r="J48" s="52">
        <f t="shared" si="12"/>
        <v>634032.22</v>
      </c>
      <c r="K48" s="52">
        <f t="shared" si="12"/>
        <v>906169.29</v>
      </c>
      <c r="L48" s="52">
        <f t="shared" si="12"/>
        <v>791168.3099999999</v>
      </c>
      <c r="M48" s="52">
        <f t="shared" si="12"/>
        <v>446635.5</v>
      </c>
      <c r="N48" s="52">
        <f t="shared" si="12"/>
        <v>204548.39</v>
      </c>
      <c r="O48" s="37">
        <f t="shared" si="12"/>
        <v>6434152.5200000005</v>
      </c>
      <c r="Q48" s="44"/>
    </row>
    <row r="49" spans="1:18" ht="18.75" customHeight="1">
      <c r="A49" s="26" t="s">
        <v>59</v>
      </c>
      <c r="B49" s="52">
        <f>3585.53+734953.38+32706.83</f>
        <v>771245.74</v>
      </c>
      <c r="C49" s="52">
        <f>9567.12+496957.08+30778.18</f>
        <v>537302.38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1308548.12</v>
      </c>
      <c r="P49"/>
      <c r="Q49" s="44"/>
      <c r="R49" s="44"/>
    </row>
    <row r="50" spans="1:16" ht="18.75" customHeight="1">
      <c r="A50" s="26" t="s">
        <v>60</v>
      </c>
      <c r="B50" s="52">
        <f>868.54+178032.19</f>
        <v>178900.73</v>
      </c>
      <c r="C50" s="52">
        <f>202982.47+3907.7</f>
        <v>206890.17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385790.9</v>
      </c>
      <c r="P50"/>
    </row>
    <row r="51" spans="1:17" ht="18.75" customHeight="1">
      <c r="A51" s="26" t="s">
        <v>61</v>
      </c>
      <c r="B51" s="53">
        <v>0</v>
      </c>
      <c r="C51" s="53">
        <v>0</v>
      </c>
      <c r="D51" s="32">
        <v>12924.45</v>
      </c>
      <c r="E51" s="53">
        <v>0</v>
      </c>
      <c r="F51" s="53">
        <v>0</v>
      </c>
      <c r="G51" s="53">
        <v>0</v>
      </c>
      <c r="H51" s="52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12924.45</v>
      </c>
      <c r="Q51"/>
    </row>
    <row r="52" spans="1:18" ht="18.75" customHeight="1">
      <c r="A52" s="26" t="s">
        <v>62</v>
      </c>
      <c r="B52" s="53">
        <v>0</v>
      </c>
      <c r="C52" s="53">
        <v>0</v>
      </c>
      <c r="D52" s="53">
        <v>0</v>
      </c>
      <c r="E52" s="32">
        <f>1748.37+182924.95+5611.49</f>
        <v>190284.81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190284.81</v>
      </c>
      <c r="R52"/>
    </row>
    <row r="53" spans="1:19" ht="18.75" customHeight="1">
      <c r="A53" s="26" t="s">
        <v>63</v>
      </c>
      <c r="B53" s="53">
        <v>0</v>
      </c>
      <c r="C53" s="53">
        <v>0</v>
      </c>
      <c r="D53" s="53">
        <v>0</v>
      </c>
      <c r="E53" s="53">
        <v>0</v>
      </c>
      <c r="F53" s="32">
        <v>14008.79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14008.79</v>
      </c>
      <c r="S53"/>
    </row>
    <row r="54" spans="1:20" ht="18.75" customHeight="1">
      <c r="A54" s="26" t="s">
        <v>64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867790.62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867790.62</v>
      </c>
      <c r="T54"/>
    </row>
    <row r="55" spans="1:21" ht="18.75" customHeight="1">
      <c r="A55" s="26" t="s">
        <v>65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672251.12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672251.12</v>
      </c>
      <c r="U55"/>
    </row>
    <row r="56" spans="1:22" ht="18.75" customHeight="1">
      <c r="A56" s="26" t="s">
        <v>66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634032.22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634032.22</v>
      </c>
      <c r="V56"/>
    </row>
    <row r="57" spans="1:23" ht="18.75" customHeight="1">
      <c r="A57" s="26" t="s">
        <v>67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f>26093.22+849532.64+30543.43</f>
        <v>906169.29</v>
      </c>
      <c r="L57" s="32">
        <f>17272.07+743936.38+29959.86</f>
        <v>791168.3099999999</v>
      </c>
      <c r="M57" s="53">
        <v>0</v>
      </c>
      <c r="N57" s="53">
        <v>0</v>
      </c>
      <c r="O57" s="37">
        <f t="shared" si="13"/>
        <v>1697337.6</v>
      </c>
      <c r="P57"/>
      <c r="W57"/>
    </row>
    <row r="58" spans="1:25" ht="18.75" customHeight="1">
      <c r="A58" s="26" t="s">
        <v>68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f>5673.62+414962.09+25999.79</f>
        <v>446635.5</v>
      </c>
      <c r="N58" s="53">
        <v>0</v>
      </c>
      <c r="O58" s="37">
        <f t="shared" si="13"/>
        <v>446635.5</v>
      </c>
      <c r="R58"/>
      <c r="Y58"/>
    </row>
    <row r="59" spans="1:26" ht="18.75" customHeight="1">
      <c r="A59" s="39" t="s">
        <v>69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204548.39</v>
      </c>
      <c r="O59" s="56">
        <f t="shared" si="13"/>
        <v>204548.39</v>
      </c>
      <c r="P59"/>
      <c r="S59"/>
      <c r="Z59"/>
    </row>
    <row r="60" spans="1:12" ht="21" customHeight="1">
      <c r="A60" s="57" t="s">
        <v>73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</row>
    <row r="62" spans="2:12" ht="15">
      <c r="B62" s="58"/>
      <c r="C62" s="58"/>
      <c r="D62" s="64"/>
      <c r="E62"/>
      <c r="F62"/>
      <c r="G62"/>
      <c r="H62"/>
      <c r="I62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2020-03-03T14:40:08Z</dcterms:modified>
  <cp:category/>
  <cp:version/>
  <cp:contentType/>
  <cp:contentStatus/>
</cp:coreProperties>
</file>