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<sst xmlns="http://schemas.openxmlformats.org/spreadsheetml/2006/main" count="116" uniqueCount="114">
  <si>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</si>
  <si>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</si>
  <si>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</si>
  <si>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</si>
  <si>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</si>
  <si>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</si>
  <si>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</si>
  <si>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</si>
  <si>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</si>
  <si>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</si>
  <si>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</si>
  <si>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</si>
  <si>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</si>
  <si>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</si>
  <si>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</si>
  <si>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</si>
  <si>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</si>
  <si>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</si>
  <si>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</si>
  <si>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</si>
  <si>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</si>
  <si>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</si>
  <si>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</si>
  <si>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</si>
  <si>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</si>
  <si>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</si>
  <si>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</si>
  <si>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</si>
  <si>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</si>
  <si>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</si>
  <si>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</si>
  <si>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</si>
  <si>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</si>
  <si>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</si>
  <si>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</si>
  <si>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</si>
  <si>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</si>
  <si>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</si>
  <si>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</si>
  <si>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</si>
  <si>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</si>
  <si>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</si>
  <si>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</si>
  <si>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</si>
  <si>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</si>
  <si>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</si>
  <si>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</si>
  <si>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</si>
  <si>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</si>
  <si>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</si>
  <si>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</si>
  <si>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</si>
  <si>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</si>
  <si>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</si>
  <si>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</si>
  <si>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</si>
  <si>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</si>
  <si>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</si>
  <si>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</si>
  <si>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</si>
  <si>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</si>
  <si>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</si>
  <si>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</si>
  <si>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</si>
  <si>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</si>
  <si>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</si>
  <si>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</si>
  <si>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</si>
  <si>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</si>
  <si>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</si>
  <si>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</si>
  <si>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</si>
  <si>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</si>
  <si>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</si>
  <si>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</si>
  <si>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</si>
  <si>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</si>
  <si>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</si>
  <si>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</si>
  <si>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</si>
  <si>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</si>
  <si>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</si>
  <si>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</si>
  <si>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</si>
  <si>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</si>
  <si>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</si>
  <si>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</si>
  <si>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</si>
  <si>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</si>
  <si>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</si>
  <si>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</si>
  <si>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</si>
  <si>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</si>
  <si>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</si>
  <si>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</si>
  <si>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</si>
  <si>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</si>
  <si>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</si>
  <si>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</si>
  <si>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</si>
  <si>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</si>
  <si>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</si>
  <si>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UPBus Qualidade em Transportes S/A</t>
  </si>
  <si>
    <t>8.4. UPBus</t>
  </si>
  <si>
    <t>7.4. UPBus</t>
  </si>
  <si>
    <t>OPERAÇÃO 21/09/18 - VENCIMENTO 28/09/18</t>
  </si>
  <si>
    <t>5.3. Revisão de Remuneração pelo Transporte Coletivo (1)</t>
  </si>
  <si>
    <t>5.4. Revisão de Remuneração pelo Serviço Atende(2)</t>
  </si>
  <si>
    <t>8. Tarifa de Remuneração por Passageiro(3)</t>
  </si>
  <si>
    <t>(3) Tarifa de remuneração de cada empresa considerando o  reequilibrio interno estabelecido e informado pelo consórcio. Não consideram os acertos financeiros previstos no item 7.</t>
  </si>
  <si>
    <t>5.5. Saldo Inicial</t>
  </si>
  <si>
    <t>6.1. Saldo final</t>
  </si>
  <si>
    <t>(1) Revisão da rede da madrugada (linhas noturnas), mês de agosto/18.</t>
  </si>
  <si>
    <t>(2) Revisão do serviço atende, mês de agosto/18.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</si>
</sst>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73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73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736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21">
      <c r="A2" s="72" t="s">
        <v>105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3" t="s">
        <v>1</v>
      </c>
      <c r="B4" s="73" t="s">
        <v>38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4" t="s">
        <v>2</v>
      </c>
    </row>
    <row r="5" spans="1:15" ht="42" customHeight="1">
      <c r="A5" s="73"/>
      <c r="B5" s="4" t="s">
        <v>37</v>
      </c>
      <c r="C5" s="4" t="s">
        <v>37</v>
      </c>
      <c r="D5" s="4" t="s">
        <v>30</v>
      </c>
      <c r="E5" s="4" t="s">
        <v>102</v>
      </c>
      <c r="F5" s="4" t="s">
        <v>32</v>
      </c>
      <c r="G5" s="4" t="s">
        <v>39</v>
      </c>
      <c r="H5" s="4" t="s">
        <v>101</v>
      </c>
      <c r="I5" s="4" t="s">
        <v>94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3"/>
    </row>
    <row r="6" spans="1:15" ht="20.25" customHeight="1">
      <c r="A6" s="73"/>
      <c r="B6" s="3" t="s">
        <v>21</v>
      </c>
      <c r="C6" s="3" t="s">
        <v>22</v>
      </c>
      <c r="D6" s="3" t="s">
        <v>23</v>
      </c>
      <c r="E6" s="3" t="s">
        <v>90</v>
      </c>
      <c r="F6" s="3" t="s">
        <v>91</v>
      </c>
      <c r="G6" s="3" t="s">
        <v>92</v>
      </c>
      <c r="H6" s="64" t="s">
        <v>29</v>
      </c>
      <c r="I6" s="64" t="s">
        <v>93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3"/>
    </row>
    <row r="7" spans="1:26" ht="18.75" customHeight="1">
      <c r="A7" s="9" t="s">
        <v>3</v>
      </c>
      <c r="B7" s="10">
        <f>B8+B20+B24</f>
        <v>522765</v>
      </c>
      <c r="C7" s="10">
        <f>C8+C20+C24</f>
        <v>381795</v>
      </c>
      <c r="D7" s="10">
        <f>D8+D20+D24</f>
        <v>396065</v>
      </c>
      <c r="E7" s="10">
        <f>E8+E20+E24</f>
        <v>67160</v>
      </c>
      <c r="F7" s="10">
        <f aca="true" t="shared" si="0" ref="F7:N7">F8+F20+F24</f>
        <v>348843</v>
      </c>
      <c r="G7" s="10">
        <f t="shared" si="0"/>
        <v>541328</v>
      </c>
      <c r="H7" s="10">
        <f>H8+H20+H24</f>
        <v>371536</v>
      </c>
      <c r="I7" s="10">
        <f>I8+I20+I24</f>
        <v>93825</v>
      </c>
      <c r="J7" s="10">
        <f>J8+J20+J24</f>
        <v>427916</v>
      </c>
      <c r="K7" s="10">
        <f>K8+K20+K24</f>
        <v>322843</v>
      </c>
      <c r="L7" s="10">
        <f>L8+L20+L24</f>
        <v>376597</v>
      </c>
      <c r="M7" s="10">
        <f t="shared" si="0"/>
        <v>155566</v>
      </c>
      <c r="N7" s="10">
        <f t="shared" si="0"/>
        <v>95883</v>
      </c>
      <c r="O7" s="10">
        <f>+O8+O20+O24</f>
        <v>4102122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228765</v>
      </c>
      <c r="C8" s="12">
        <f>+C9+C12+C16</f>
        <v>178860</v>
      </c>
      <c r="D8" s="12">
        <f>+D9+D12+D16</f>
        <v>198653</v>
      </c>
      <c r="E8" s="12">
        <f>+E9+E12+E16</f>
        <v>30402</v>
      </c>
      <c r="F8" s="12">
        <f aca="true" t="shared" si="1" ref="F8:N8">+F9+F12+F16</f>
        <v>165200</v>
      </c>
      <c r="G8" s="12">
        <f t="shared" si="1"/>
        <v>261171</v>
      </c>
      <c r="H8" s="12">
        <f>+H9+H12+H16</f>
        <v>173066</v>
      </c>
      <c r="I8" s="12">
        <f>+I9+I12+I16</f>
        <v>45531</v>
      </c>
      <c r="J8" s="12">
        <f>+J9+J12+J16</f>
        <v>204960</v>
      </c>
      <c r="K8" s="12">
        <f>+K9+K12+K16</f>
        <v>150598</v>
      </c>
      <c r="L8" s="12">
        <f>+L9+L12+L16</f>
        <v>170503</v>
      </c>
      <c r="M8" s="12">
        <f t="shared" si="1"/>
        <v>79685</v>
      </c>
      <c r="N8" s="12">
        <f t="shared" si="1"/>
        <v>50503</v>
      </c>
      <c r="O8" s="12">
        <f>SUM(B8:N8)</f>
        <v>1937897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21224</v>
      </c>
      <c r="C9" s="14">
        <v>20880</v>
      </c>
      <c r="D9" s="14">
        <v>14589</v>
      </c>
      <c r="E9" s="14">
        <v>2732</v>
      </c>
      <c r="F9" s="14">
        <v>12766</v>
      </c>
      <c r="G9" s="14">
        <v>22793</v>
      </c>
      <c r="H9" s="14">
        <v>20712</v>
      </c>
      <c r="I9" s="14">
        <v>5198</v>
      </c>
      <c r="J9" s="14">
        <v>12355</v>
      </c>
      <c r="K9" s="14">
        <v>16224</v>
      </c>
      <c r="L9" s="14">
        <v>12897</v>
      </c>
      <c r="M9" s="14">
        <v>8478</v>
      </c>
      <c r="N9" s="14">
        <v>5710</v>
      </c>
      <c r="O9" s="12">
        <f aca="true" t="shared" si="2" ref="O9:O19">SUM(B9:N9)</f>
        <v>176558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21224</v>
      </c>
      <c r="C10" s="14">
        <f>+C9-C11</f>
        <v>20880</v>
      </c>
      <c r="D10" s="14">
        <f>+D9-D11</f>
        <v>14589</v>
      </c>
      <c r="E10" s="14">
        <f>+E9-E11</f>
        <v>2732</v>
      </c>
      <c r="F10" s="14">
        <f aca="true" t="shared" si="3" ref="F10:N10">+F9-F11</f>
        <v>12766</v>
      </c>
      <c r="G10" s="14">
        <f t="shared" si="3"/>
        <v>22793</v>
      </c>
      <c r="H10" s="14">
        <f>+H9-H11</f>
        <v>20712</v>
      </c>
      <c r="I10" s="14">
        <f>+I9-I11</f>
        <v>5198</v>
      </c>
      <c r="J10" s="14">
        <f>+J9-J11</f>
        <v>12355</v>
      </c>
      <c r="K10" s="14">
        <f>+K9-K11</f>
        <v>16224</v>
      </c>
      <c r="L10" s="14">
        <f>+L9-L11</f>
        <v>12897</v>
      </c>
      <c r="M10" s="14">
        <f t="shared" si="3"/>
        <v>8478</v>
      </c>
      <c r="N10" s="14">
        <f t="shared" si="3"/>
        <v>5710</v>
      </c>
      <c r="O10" s="12">
        <f t="shared" si="2"/>
        <v>176558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197575</v>
      </c>
      <c r="C12" s="14">
        <f>C13+C14+C15</f>
        <v>150475</v>
      </c>
      <c r="D12" s="14">
        <f>D13+D14+D15</f>
        <v>176539</v>
      </c>
      <c r="E12" s="14">
        <f>E13+E14+E15</f>
        <v>26512</v>
      </c>
      <c r="F12" s="14">
        <f aca="true" t="shared" si="4" ref="F12:N12">F13+F14+F15</f>
        <v>145197</v>
      </c>
      <c r="G12" s="14">
        <f t="shared" si="4"/>
        <v>226318</v>
      </c>
      <c r="H12" s="14">
        <f>H13+H14+H15</f>
        <v>145313</v>
      </c>
      <c r="I12" s="14">
        <f>I13+I14+I15</f>
        <v>38427</v>
      </c>
      <c r="J12" s="14">
        <f>J13+J14+J15</f>
        <v>182843</v>
      </c>
      <c r="K12" s="14">
        <f>K13+K14+K15</f>
        <v>127777</v>
      </c>
      <c r="L12" s="14">
        <f>L13+L14+L15</f>
        <v>149335</v>
      </c>
      <c r="M12" s="14">
        <f t="shared" si="4"/>
        <v>68007</v>
      </c>
      <c r="N12" s="14">
        <f t="shared" si="4"/>
        <v>43093</v>
      </c>
      <c r="O12" s="12">
        <f t="shared" si="2"/>
        <v>1677411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97115</v>
      </c>
      <c r="C13" s="14">
        <v>73614</v>
      </c>
      <c r="D13" s="14">
        <v>85050</v>
      </c>
      <c r="E13" s="14">
        <v>12806</v>
      </c>
      <c r="F13" s="14">
        <v>68097</v>
      </c>
      <c r="G13" s="14">
        <v>107894</v>
      </c>
      <c r="H13" s="14">
        <v>72368</v>
      </c>
      <c r="I13" s="14">
        <v>19341</v>
      </c>
      <c r="J13" s="14">
        <v>90015</v>
      </c>
      <c r="K13" s="14">
        <v>61500</v>
      </c>
      <c r="L13" s="14">
        <v>70935</v>
      </c>
      <c r="M13" s="14">
        <v>31803</v>
      </c>
      <c r="N13" s="14">
        <v>19527</v>
      </c>
      <c r="O13" s="12">
        <f t="shared" si="2"/>
        <v>810065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90811</v>
      </c>
      <c r="C14" s="14">
        <v>65655</v>
      </c>
      <c r="D14" s="14">
        <v>85004</v>
      </c>
      <c r="E14" s="14">
        <v>12085</v>
      </c>
      <c r="F14" s="14">
        <v>67816</v>
      </c>
      <c r="G14" s="14">
        <v>102625</v>
      </c>
      <c r="H14" s="14">
        <v>64176</v>
      </c>
      <c r="I14" s="14">
        <v>16876</v>
      </c>
      <c r="J14" s="14">
        <v>85923</v>
      </c>
      <c r="K14" s="14">
        <v>59654</v>
      </c>
      <c r="L14" s="14">
        <v>71378</v>
      </c>
      <c r="M14" s="14">
        <v>32707</v>
      </c>
      <c r="N14" s="14">
        <v>21696</v>
      </c>
      <c r="O14" s="12">
        <f t="shared" si="2"/>
        <v>776406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9649</v>
      </c>
      <c r="C15" s="14">
        <v>11206</v>
      </c>
      <c r="D15" s="14">
        <v>6485</v>
      </c>
      <c r="E15" s="14">
        <v>1621</v>
      </c>
      <c r="F15" s="14">
        <v>9284</v>
      </c>
      <c r="G15" s="14">
        <v>15799</v>
      </c>
      <c r="H15" s="14">
        <v>8769</v>
      </c>
      <c r="I15" s="14">
        <v>2210</v>
      </c>
      <c r="J15" s="14">
        <v>6905</v>
      </c>
      <c r="K15" s="14">
        <v>6623</v>
      </c>
      <c r="L15" s="14">
        <v>7022</v>
      </c>
      <c r="M15" s="14">
        <v>3497</v>
      </c>
      <c r="N15" s="14">
        <v>1870</v>
      </c>
      <c r="O15" s="12">
        <f t="shared" si="2"/>
        <v>90940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9966</v>
      </c>
      <c r="C16" s="14">
        <f>C17+C18+C19</f>
        <v>7505</v>
      </c>
      <c r="D16" s="14">
        <f>D17+D18+D19</f>
        <v>7525</v>
      </c>
      <c r="E16" s="14">
        <f>E17+E18+E19</f>
        <v>1158</v>
      </c>
      <c r="F16" s="14">
        <f aca="true" t="shared" si="5" ref="F16:N16">F17+F18+F19</f>
        <v>7237</v>
      </c>
      <c r="G16" s="14">
        <f t="shared" si="5"/>
        <v>12060</v>
      </c>
      <c r="H16" s="14">
        <f>H17+H18+H19</f>
        <v>7041</v>
      </c>
      <c r="I16" s="14">
        <f>I17+I18+I19</f>
        <v>1906</v>
      </c>
      <c r="J16" s="14">
        <f>J17+J18+J19</f>
        <v>9762</v>
      </c>
      <c r="K16" s="14">
        <f>K17+K18+K19</f>
        <v>6597</v>
      </c>
      <c r="L16" s="14">
        <f>L17+L18+L19</f>
        <v>8271</v>
      </c>
      <c r="M16" s="14">
        <f t="shared" si="5"/>
        <v>3200</v>
      </c>
      <c r="N16" s="14">
        <f t="shared" si="5"/>
        <v>1700</v>
      </c>
      <c r="O16" s="12">
        <f t="shared" si="2"/>
        <v>83928</v>
      </c>
    </row>
    <row r="17" spans="1:26" ht="18.75" customHeight="1">
      <c r="A17" s="15" t="s">
        <v>16</v>
      </c>
      <c r="B17" s="14">
        <v>9933</v>
      </c>
      <c r="C17" s="14">
        <v>7485</v>
      </c>
      <c r="D17" s="14">
        <v>7505</v>
      </c>
      <c r="E17" s="14">
        <v>1154</v>
      </c>
      <c r="F17" s="14">
        <v>7227</v>
      </c>
      <c r="G17" s="14">
        <v>12039</v>
      </c>
      <c r="H17" s="14">
        <v>7027</v>
      </c>
      <c r="I17" s="14">
        <v>1903</v>
      </c>
      <c r="J17" s="14">
        <v>9752</v>
      </c>
      <c r="K17" s="14">
        <v>6578</v>
      </c>
      <c r="L17" s="14">
        <v>8252</v>
      </c>
      <c r="M17" s="14">
        <v>3189</v>
      </c>
      <c r="N17" s="14">
        <v>1694</v>
      </c>
      <c r="O17" s="12">
        <f t="shared" si="2"/>
        <v>83738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24</v>
      </c>
      <c r="C18" s="14">
        <v>15</v>
      </c>
      <c r="D18" s="14">
        <v>10</v>
      </c>
      <c r="E18" s="14">
        <v>3</v>
      </c>
      <c r="F18" s="14">
        <v>2</v>
      </c>
      <c r="G18" s="14">
        <v>11</v>
      </c>
      <c r="H18" s="14">
        <v>7</v>
      </c>
      <c r="I18" s="14">
        <v>3</v>
      </c>
      <c r="J18" s="14">
        <v>6</v>
      </c>
      <c r="K18" s="14">
        <v>6</v>
      </c>
      <c r="L18" s="14">
        <v>8</v>
      </c>
      <c r="M18" s="14">
        <v>6</v>
      </c>
      <c r="N18" s="14">
        <v>4</v>
      </c>
      <c r="O18" s="12">
        <f t="shared" si="2"/>
        <v>105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9</v>
      </c>
      <c r="C19" s="14">
        <v>5</v>
      </c>
      <c r="D19" s="14">
        <v>10</v>
      </c>
      <c r="E19" s="14">
        <v>1</v>
      </c>
      <c r="F19" s="14">
        <v>8</v>
      </c>
      <c r="G19" s="14">
        <v>10</v>
      </c>
      <c r="H19" s="14">
        <v>7</v>
      </c>
      <c r="I19" s="14">
        <v>0</v>
      </c>
      <c r="J19" s="14">
        <v>4</v>
      </c>
      <c r="K19" s="14">
        <v>13</v>
      </c>
      <c r="L19" s="14">
        <v>11</v>
      </c>
      <c r="M19" s="14">
        <v>5</v>
      </c>
      <c r="N19" s="14">
        <v>2</v>
      </c>
      <c r="O19" s="12">
        <f t="shared" si="2"/>
        <v>85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141254</v>
      </c>
      <c r="C20" s="18">
        <f>C21+C22+C23</f>
        <v>87932</v>
      </c>
      <c r="D20" s="18">
        <f>D21+D22+D23</f>
        <v>82819</v>
      </c>
      <c r="E20" s="18">
        <f>E21+E22+E23</f>
        <v>14403</v>
      </c>
      <c r="F20" s="18">
        <f aca="true" t="shared" si="6" ref="F20:N20">F21+F22+F23</f>
        <v>76244</v>
      </c>
      <c r="G20" s="18">
        <f t="shared" si="6"/>
        <v>118860</v>
      </c>
      <c r="H20" s="18">
        <f>H21+H22+H23</f>
        <v>94396</v>
      </c>
      <c r="I20" s="18">
        <f>I21+I22+I23</f>
        <v>23216</v>
      </c>
      <c r="J20" s="18">
        <f>J21+J22+J23</f>
        <v>109426</v>
      </c>
      <c r="K20" s="18">
        <f>K21+K22+K23</f>
        <v>77584</v>
      </c>
      <c r="L20" s="18">
        <f>L21+L22+L23</f>
        <v>114744</v>
      </c>
      <c r="M20" s="18">
        <f t="shared" si="6"/>
        <v>43640</v>
      </c>
      <c r="N20" s="18">
        <f t="shared" si="6"/>
        <v>25747</v>
      </c>
      <c r="O20" s="12">
        <f aca="true" t="shared" si="7" ref="O20:O26">SUM(B20:N20)</f>
        <v>1010265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76579</v>
      </c>
      <c r="C21" s="14">
        <v>50739</v>
      </c>
      <c r="D21" s="14">
        <v>46423</v>
      </c>
      <c r="E21" s="14">
        <v>8177</v>
      </c>
      <c r="F21" s="14">
        <v>42048</v>
      </c>
      <c r="G21" s="14">
        <v>66440</v>
      </c>
      <c r="H21" s="14">
        <v>53679</v>
      </c>
      <c r="I21" s="14">
        <v>13482</v>
      </c>
      <c r="J21" s="14">
        <v>60721</v>
      </c>
      <c r="K21" s="14">
        <v>42732</v>
      </c>
      <c r="L21" s="14">
        <v>60993</v>
      </c>
      <c r="M21" s="14">
        <v>23142</v>
      </c>
      <c r="N21" s="14">
        <v>13225</v>
      </c>
      <c r="O21" s="12">
        <f t="shared" si="7"/>
        <v>558380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59798</v>
      </c>
      <c r="C22" s="14">
        <v>33152</v>
      </c>
      <c r="D22" s="14">
        <v>34036</v>
      </c>
      <c r="E22" s="14">
        <v>5626</v>
      </c>
      <c r="F22" s="14">
        <v>30809</v>
      </c>
      <c r="G22" s="14">
        <v>46961</v>
      </c>
      <c r="H22" s="14">
        <v>37197</v>
      </c>
      <c r="I22" s="14">
        <v>8909</v>
      </c>
      <c r="J22" s="14">
        <v>45291</v>
      </c>
      <c r="K22" s="14">
        <v>32065</v>
      </c>
      <c r="L22" s="14">
        <v>50039</v>
      </c>
      <c r="M22" s="14">
        <v>18919</v>
      </c>
      <c r="N22" s="14">
        <v>11697</v>
      </c>
      <c r="O22" s="12">
        <f t="shared" si="7"/>
        <v>414499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4877</v>
      </c>
      <c r="C23" s="14">
        <v>4041</v>
      </c>
      <c r="D23" s="14">
        <v>2360</v>
      </c>
      <c r="E23" s="14">
        <v>600</v>
      </c>
      <c r="F23" s="14">
        <v>3387</v>
      </c>
      <c r="G23" s="14">
        <v>5459</v>
      </c>
      <c r="H23" s="14">
        <v>3520</v>
      </c>
      <c r="I23" s="14">
        <v>825</v>
      </c>
      <c r="J23" s="14">
        <v>3414</v>
      </c>
      <c r="K23" s="14">
        <v>2787</v>
      </c>
      <c r="L23" s="14">
        <v>3712</v>
      </c>
      <c r="M23" s="14">
        <v>1579</v>
      </c>
      <c r="N23" s="14">
        <v>825</v>
      </c>
      <c r="O23" s="12">
        <f t="shared" si="7"/>
        <v>37386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152746</v>
      </c>
      <c r="C24" s="14">
        <f>C25+C26</f>
        <v>115003</v>
      </c>
      <c r="D24" s="14">
        <f>D25+D26</f>
        <v>114593</v>
      </c>
      <c r="E24" s="14">
        <f>E25+E26</f>
        <v>22355</v>
      </c>
      <c r="F24" s="14">
        <f aca="true" t="shared" si="8" ref="F24:N24">F25+F26</f>
        <v>107399</v>
      </c>
      <c r="G24" s="14">
        <f t="shared" si="8"/>
        <v>161297</v>
      </c>
      <c r="H24" s="14">
        <f>H25+H26</f>
        <v>104074</v>
      </c>
      <c r="I24" s="14">
        <f>I25+I26</f>
        <v>25078</v>
      </c>
      <c r="J24" s="14">
        <f>J25+J26</f>
        <v>113530</v>
      </c>
      <c r="K24" s="14">
        <f>K25+K26</f>
        <v>94661</v>
      </c>
      <c r="L24" s="14">
        <f>L25+L26</f>
        <v>91350</v>
      </c>
      <c r="M24" s="14">
        <f t="shared" si="8"/>
        <v>32241</v>
      </c>
      <c r="N24" s="14">
        <f t="shared" si="8"/>
        <v>19633</v>
      </c>
      <c r="O24" s="12">
        <f t="shared" si="7"/>
        <v>1153960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76832</v>
      </c>
      <c r="C25" s="14">
        <v>64204</v>
      </c>
      <c r="D25" s="14">
        <v>62069</v>
      </c>
      <c r="E25" s="14">
        <v>13153</v>
      </c>
      <c r="F25" s="14">
        <v>59461</v>
      </c>
      <c r="G25" s="14">
        <v>94938</v>
      </c>
      <c r="H25" s="14">
        <v>61775</v>
      </c>
      <c r="I25" s="14">
        <v>15941</v>
      </c>
      <c r="J25" s="14">
        <v>57134</v>
      </c>
      <c r="K25" s="14">
        <v>52195</v>
      </c>
      <c r="L25" s="14">
        <v>48794</v>
      </c>
      <c r="M25" s="14">
        <v>16667</v>
      </c>
      <c r="N25" s="14">
        <v>9358</v>
      </c>
      <c r="O25" s="12">
        <f t="shared" si="7"/>
        <v>632521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75914</v>
      </c>
      <c r="C26" s="14">
        <v>50799</v>
      </c>
      <c r="D26" s="14">
        <v>52524</v>
      </c>
      <c r="E26" s="14">
        <v>9202</v>
      </c>
      <c r="F26" s="14">
        <v>47938</v>
      </c>
      <c r="G26" s="14">
        <v>66359</v>
      </c>
      <c r="H26" s="14">
        <v>42299</v>
      </c>
      <c r="I26" s="14">
        <v>9137</v>
      </c>
      <c r="J26" s="14">
        <v>56396</v>
      </c>
      <c r="K26" s="14">
        <v>42466</v>
      </c>
      <c r="L26" s="14">
        <v>42556</v>
      </c>
      <c r="M26" s="14">
        <v>15574</v>
      </c>
      <c r="N26" s="14">
        <v>10275</v>
      </c>
      <c r="O26" s="12">
        <f t="shared" si="7"/>
        <v>521439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2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1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3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.75" customHeight="1">
      <c r="A32" s="54" t="s">
        <v>45</v>
      </c>
      <c r="B32" s="55">
        <f>B33*B34</f>
        <v>0</v>
      </c>
      <c r="C32" s="55">
        <f aca="true" t="shared" si="10" ref="C32:N32">C33*C34</f>
        <v>0</v>
      </c>
      <c r="D32" s="55">
        <f t="shared" si="10"/>
        <v>0</v>
      </c>
      <c r="E32" s="55">
        <f t="shared" si="10"/>
        <v>0</v>
      </c>
      <c r="F32" s="55">
        <f t="shared" si="10"/>
        <v>0</v>
      </c>
      <c r="G32" s="55">
        <f t="shared" si="10"/>
        <v>0</v>
      </c>
      <c r="H32" s="55">
        <f t="shared" si="10"/>
        <v>0</v>
      </c>
      <c r="I32" s="55">
        <f t="shared" si="10"/>
        <v>0</v>
      </c>
      <c r="J32" s="55">
        <f>J33*J34</f>
        <v>0</v>
      </c>
      <c r="K32" s="55">
        <f>K33*K34</f>
        <v>0</v>
      </c>
      <c r="L32" s="55">
        <f>L33*L34</f>
        <v>0</v>
      </c>
      <c r="M32" s="55">
        <f t="shared" si="10"/>
        <v>0</v>
      </c>
      <c r="N32" s="55">
        <f t="shared" si="10"/>
        <v>0</v>
      </c>
      <c r="O32" s="25">
        <f>SUM(B32:N32)</f>
        <v>0</v>
      </c>
    </row>
    <row r="33" spans="1:26" ht="18.75" customHeight="1">
      <c r="A33" s="51" t="s">
        <v>46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1" t="s">
        <v>47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8.75" customHeight="1">
      <c r="A36" s="58" t="s">
        <v>48</v>
      </c>
      <c r="B36" s="59">
        <f>B37+B38+B39+B40</f>
        <v>1147224.764</v>
      </c>
      <c r="C36" s="59">
        <f aca="true" t="shared" si="11" ref="C36:N36">C37+C38+C39+C40</f>
        <v>883857.4894999999</v>
      </c>
      <c r="D36" s="59">
        <f t="shared" si="11"/>
        <v>787231.6155000001</v>
      </c>
      <c r="E36" s="59">
        <f t="shared" si="11"/>
        <v>198746.588</v>
      </c>
      <c r="F36" s="59">
        <f t="shared" si="11"/>
        <v>788337.8545</v>
      </c>
      <c r="G36" s="59">
        <f t="shared" si="11"/>
        <v>963250.6568</v>
      </c>
      <c r="H36" s="59">
        <f t="shared" si="11"/>
        <v>808841.7436000002</v>
      </c>
      <c r="I36" s="59">
        <f>I37+I38+I39+I40</f>
        <v>205326.63</v>
      </c>
      <c r="J36" s="59">
        <f>J37+J38+J39+J40</f>
        <v>940572.4844</v>
      </c>
      <c r="K36" s="59">
        <f>K37+K38+K39+K40</f>
        <v>816161.3478</v>
      </c>
      <c r="L36" s="59">
        <f>L37+L38+L39+L40</f>
        <v>925576.6758</v>
      </c>
      <c r="M36" s="59">
        <f t="shared" si="11"/>
        <v>482294.14900000003</v>
      </c>
      <c r="N36" s="59">
        <f t="shared" si="11"/>
        <v>253248.5973</v>
      </c>
      <c r="O36" s="59">
        <f>O37+O38+O39+O40</f>
        <v>9200670.5962</v>
      </c>
    </row>
    <row r="37" spans="1:15" ht="18.75" customHeight="1">
      <c r="A37" s="56" t="s">
        <v>49</v>
      </c>
      <c r="B37" s="53">
        <f aca="true" t="shared" si="12" ref="B37:N37">B29*B7</f>
        <v>1142555.184</v>
      </c>
      <c r="C37" s="53">
        <f t="shared" si="12"/>
        <v>877403.0894999999</v>
      </c>
      <c r="D37" s="53">
        <f t="shared" si="12"/>
        <v>776564.6455000001</v>
      </c>
      <c r="E37" s="53">
        <f t="shared" si="12"/>
        <v>198746.588</v>
      </c>
      <c r="F37" s="53">
        <f t="shared" si="12"/>
        <v>785420.0145</v>
      </c>
      <c r="G37" s="53">
        <f t="shared" si="12"/>
        <v>958475.3568</v>
      </c>
      <c r="H37" s="53">
        <f t="shared" si="12"/>
        <v>805341.4336000001</v>
      </c>
      <c r="I37" s="53">
        <f>I29*I7</f>
        <v>205326.63</v>
      </c>
      <c r="J37" s="53">
        <f>J29*J7</f>
        <v>930032.6344</v>
      </c>
      <c r="K37" s="53">
        <f>K29*K7</f>
        <v>802135.7178</v>
      </c>
      <c r="L37" s="53">
        <f>L29*L7</f>
        <v>915657.9458</v>
      </c>
      <c r="M37" s="53">
        <f t="shared" si="12"/>
        <v>477043.139</v>
      </c>
      <c r="N37" s="53">
        <f t="shared" si="12"/>
        <v>251510.6973</v>
      </c>
      <c r="O37" s="55">
        <f>SUM(B37:N37)</f>
        <v>9126213.076200001</v>
      </c>
    </row>
    <row r="38" spans="1:15" ht="18.75" customHeight="1">
      <c r="A38" s="56" t="s">
        <v>50</v>
      </c>
      <c r="B38" s="53">
        <f aca="true" t="shared" si="13" ref="B38:N38">B30*B7</f>
        <v>0</v>
      </c>
      <c r="C38" s="53">
        <f t="shared" si="13"/>
        <v>0</v>
      </c>
      <c r="D38" s="53">
        <f t="shared" si="13"/>
        <v>0</v>
      </c>
      <c r="E38" s="53">
        <f t="shared" si="13"/>
        <v>0</v>
      </c>
      <c r="F38" s="53">
        <f t="shared" si="13"/>
        <v>0</v>
      </c>
      <c r="G38" s="53">
        <f t="shared" si="13"/>
        <v>0</v>
      </c>
      <c r="H38" s="53">
        <f t="shared" si="13"/>
        <v>0</v>
      </c>
      <c r="I38" s="53">
        <f>I30*I7</f>
        <v>0</v>
      </c>
      <c r="J38" s="53">
        <f>J30*J7</f>
        <v>0</v>
      </c>
      <c r="K38" s="53">
        <f>K30*K7</f>
        <v>0</v>
      </c>
      <c r="L38" s="53">
        <f>L30*L7</f>
        <v>0</v>
      </c>
      <c r="M38" s="53">
        <f t="shared" si="13"/>
        <v>0</v>
      </c>
      <c r="N38" s="53">
        <f t="shared" si="13"/>
        <v>0</v>
      </c>
      <c r="O38" s="25">
        <f>SUM(B38:N38)</f>
        <v>0</v>
      </c>
    </row>
    <row r="39" spans="1:15" ht="18.75" customHeight="1">
      <c r="A39" s="56" t="s">
        <v>51</v>
      </c>
      <c r="B39" s="53">
        <f aca="true" t="shared" si="14" ref="B39:N39">B32</f>
        <v>0</v>
      </c>
      <c r="C39" s="53">
        <f t="shared" si="14"/>
        <v>0</v>
      </c>
      <c r="D39" s="53">
        <f t="shared" si="14"/>
        <v>0</v>
      </c>
      <c r="E39" s="53">
        <f t="shared" si="14"/>
        <v>0</v>
      </c>
      <c r="F39" s="53">
        <f t="shared" si="14"/>
        <v>0</v>
      </c>
      <c r="G39" s="53">
        <f t="shared" si="14"/>
        <v>0</v>
      </c>
      <c r="H39" s="53">
        <f t="shared" si="14"/>
        <v>0</v>
      </c>
      <c r="I39" s="53">
        <f>I32</f>
        <v>0</v>
      </c>
      <c r="J39" s="53">
        <f>J32</f>
        <v>0</v>
      </c>
      <c r="K39" s="53">
        <f>K32</f>
        <v>0</v>
      </c>
      <c r="L39" s="53">
        <f>L32</f>
        <v>0</v>
      </c>
      <c r="M39" s="53">
        <f t="shared" si="14"/>
        <v>0</v>
      </c>
      <c r="N39" s="53">
        <f t="shared" si="14"/>
        <v>0</v>
      </c>
      <c r="O39" s="55">
        <f>SUM(B39:N39)</f>
        <v>0</v>
      </c>
    </row>
    <row r="40" spans="1:26" ht="18.75" customHeight="1">
      <c r="A40" s="2" t="s">
        <v>52</v>
      </c>
      <c r="B40" s="53">
        <v>4669.58</v>
      </c>
      <c r="C40" s="53">
        <v>6454.4</v>
      </c>
      <c r="D40" s="53">
        <v>10666.97</v>
      </c>
      <c r="E40" s="53">
        <v>0</v>
      </c>
      <c r="F40" s="53">
        <v>2917.84</v>
      </c>
      <c r="G40" s="53">
        <v>4775.3</v>
      </c>
      <c r="H40" s="53">
        <v>3500.31</v>
      </c>
      <c r="I40" s="53">
        <v>0</v>
      </c>
      <c r="J40" s="53">
        <v>10539.85</v>
      </c>
      <c r="K40" s="53">
        <v>14025.63</v>
      </c>
      <c r="L40" s="53">
        <v>9918.73</v>
      </c>
      <c r="M40" s="53">
        <v>5251.01</v>
      </c>
      <c r="N40" s="53">
        <v>1737.9</v>
      </c>
      <c r="O40" s="55">
        <f>SUM(B40:N40)</f>
        <v>74457.51999999997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</row>
    <row r="42" spans="1:15" ht="18.75" customHeight="1">
      <c r="A42" s="2" t="s">
        <v>53</v>
      </c>
      <c r="B42" s="25">
        <f aca="true" t="shared" si="15" ref="B42:H42">+B43+B46+B58+B59+B60-B62</f>
        <v>-5.310000000004493</v>
      </c>
      <c r="C42" s="25">
        <f t="shared" si="15"/>
        <v>8367.030000000002</v>
      </c>
      <c r="D42" s="25">
        <f t="shared" si="15"/>
        <v>-104074.01999999999</v>
      </c>
      <c r="E42" s="25">
        <f t="shared" si="15"/>
        <v>-21709.869999999995</v>
      </c>
      <c r="F42" s="25">
        <f t="shared" si="15"/>
        <v>-38545.11</v>
      </c>
      <c r="G42" s="25">
        <f t="shared" si="15"/>
        <v>-39331.81</v>
      </c>
      <c r="H42" s="25">
        <f t="shared" si="15"/>
        <v>-56885.08</v>
      </c>
      <c r="I42" s="25">
        <f aca="true" t="shared" si="16" ref="I42:O42">+I43+I46+I58+I59+I60-I62</f>
        <v>-205326.63</v>
      </c>
      <c r="J42" s="25">
        <f t="shared" si="16"/>
        <v>-87056.58</v>
      </c>
      <c r="K42" s="25">
        <f t="shared" si="16"/>
        <v>-64150.899999999994</v>
      </c>
      <c r="L42" s="25">
        <f t="shared" si="16"/>
        <v>-37881.69000000001</v>
      </c>
      <c r="M42" s="25">
        <f t="shared" si="16"/>
        <v>-38083.15</v>
      </c>
      <c r="N42" s="25">
        <f t="shared" si="16"/>
        <v>-24272.130000000005</v>
      </c>
      <c r="O42" s="25">
        <f t="shared" si="16"/>
        <v>-708955.25</v>
      </c>
    </row>
    <row r="43" spans="1:15" ht="18.75" customHeight="1">
      <c r="A43" s="17" t="s">
        <v>54</v>
      </c>
      <c r="B43" s="26">
        <f>B44+B45</f>
        <v>-84896</v>
      </c>
      <c r="C43" s="26">
        <f>C44+C45</f>
        <v>-83520</v>
      </c>
      <c r="D43" s="26">
        <f>D44+D45</f>
        <v>-58356</v>
      </c>
      <c r="E43" s="26">
        <f>E44+E45</f>
        <v>-10928</v>
      </c>
      <c r="F43" s="26">
        <f aca="true" t="shared" si="17" ref="F43:N43">F44+F45</f>
        <v>-51064</v>
      </c>
      <c r="G43" s="26">
        <f t="shared" si="17"/>
        <v>-91172</v>
      </c>
      <c r="H43" s="26">
        <f t="shared" si="17"/>
        <v>-82848</v>
      </c>
      <c r="I43" s="26">
        <f>I44+I45</f>
        <v>-20792</v>
      </c>
      <c r="J43" s="26">
        <f>J44+J45</f>
        <v>-49420</v>
      </c>
      <c r="K43" s="26">
        <f>K44+K45</f>
        <v>-64896</v>
      </c>
      <c r="L43" s="26">
        <f>L44+L45</f>
        <v>-51588</v>
      </c>
      <c r="M43" s="26">
        <f t="shared" si="17"/>
        <v>-33912</v>
      </c>
      <c r="N43" s="26">
        <f t="shared" si="17"/>
        <v>-22840</v>
      </c>
      <c r="O43" s="25">
        <f aca="true" t="shared" si="18" ref="O43:O62">SUM(B43:N43)</f>
        <v>-706232</v>
      </c>
    </row>
    <row r="44" spans="1:26" ht="18.75" customHeight="1">
      <c r="A44" s="13" t="s">
        <v>55</v>
      </c>
      <c r="B44" s="20">
        <f>ROUND(-B9*$D$3,2)</f>
        <v>-84896</v>
      </c>
      <c r="C44" s="20">
        <f>ROUND(-C9*$D$3,2)</f>
        <v>-83520</v>
      </c>
      <c r="D44" s="20">
        <f>ROUND(-D9*$D$3,2)</f>
        <v>-58356</v>
      </c>
      <c r="E44" s="20">
        <f>ROUND(-E9*$D$3,2)</f>
        <v>-10928</v>
      </c>
      <c r="F44" s="20">
        <f aca="true" t="shared" si="19" ref="F44:N44">ROUND(-F9*$D$3,2)</f>
        <v>-51064</v>
      </c>
      <c r="G44" s="20">
        <f t="shared" si="19"/>
        <v>-91172</v>
      </c>
      <c r="H44" s="20">
        <f t="shared" si="19"/>
        <v>-82848</v>
      </c>
      <c r="I44" s="20">
        <f>ROUND(-I9*$D$3,2)</f>
        <v>-20792</v>
      </c>
      <c r="J44" s="20">
        <f>ROUND(-J9*$D$3,2)</f>
        <v>-49420</v>
      </c>
      <c r="K44" s="20">
        <f>ROUND(-K9*$D$3,2)</f>
        <v>-64896</v>
      </c>
      <c r="L44" s="20">
        <f>ROUND(-L9*$D$3,2)</f>
        <v>-51588</v>
      </c>
      <c r="M44" s="20">
        <f t="shared" si="19"/>
        <v>-33912</v>
      </c>
      <c r="N44" s="20">
        <f t="shared" si="19"/>
        <v>-22840</v>
      </c>
      <c r="O44" s="46">
        <f t="shared" si="18"/>
        <v>-706232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20" ref="F45:N45">ROUND(F11*$D$3,2)</f>
        <v>0</v>
      </c>
      <c r="G45" s="20">
        <f t="shared" si="20"/>
        <v>0</v>
      </c>
      <c r="H45" s="20">
        <f t="shared" si="20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20"/>
        <v>0</v>
      </c>
      <c r="N45" s="20">
        <f t="shared" si="20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-37519.17</v>
      </c>
      <c r="C46" s="26">
        <f aca="true" t="shared" si="21" ref="C46:O46">SUM(C47:C57)</f>
        <v>-21922.73</v>
      </c>
      <c r="D46" s="26">
        <f t="shared" si="21"/>
        <v>-56774.92999999999</v>
      </c>
      <c r="E46" s="26">
        <f t="shared" si="21"/>
        <v>-35608.81</v>
      </c>
      <c r="F46" s="26">
        <f t="shared" si="21"/>
        <v>-43858.41</v>
      </c>
      <c r="G46" s="26">
        <f t="shared" si="21"/>
        <v>-33405.43</v>
      </c>
      <c r="H46" s="26">
        <f t="shared" si="21"/>
        <v>-19317.05</v>
      </c>
      <c r="I46" s="26">
        <f t="shared" si="21"/>
        <v>-194476.01</v>
      </c>
      <c r="J46" s="26">
        <f t="shared" si="21"/>
        <v>-52818.38</v>
      </c>
      <c r="K46" s="26">
        <f t="shared" si="21"/>
        <v>-23901.7</v>
      </c>
      <c r="L46" s="26">
        <f t="shared" si="21"/>
        <v>-37977.1</v>
      </c>
      <c r="M46" s="26">
        <f t="shared" si="21"/>
        <v>-18805.19</v>
      </c>
      <c r="N46" s="26">
        <f t="shared" si="21"/>
        <v>-27390.15</v>
      </c>
      <c r="O46" s="26">
        <f t="shared" si="21"/>
        <v>-603775.06</v>
      </c>
    </row>
    <row r="47" spans="1:26" ht="18.75" customHeight="1">
      <c r="A47" s="13" t="s">
        <v>58</v>
      </c>
      <c r="B47" s="24">
        <v>-37519.17</v>
      </c>
      <c r="C47" s="24">
        <v>-21922.73</v>
      </c>
      <c r="D47" s="24">
        <v>-32977.99</v>
      </c>
      <c r="E47" s="24">
        <v>-35608.81</v>
      </c>
      <c r="F47" s="24">
        <v>-19758.41</v>
      </c>
      <c r="G47" s="24">
        <v>-32905.43</v>
      </c>
      <c r="H47" s="24">
        <v>-19317.05</v>
      </c>
      <c r="I47" s="24">
        <v>-20026.01</v>
      </c>
      <c r="J47" s="24">
        <v>-52818.38</v>
      </c>
      <c r="K47" s="24">
        <v>-23901.7</v>
      </c>
      <c r="L47" s="24">
        <v>-37977.1</v>
      </c>
      <c r="M47" s="24">
        <v>-18805.19</v>
      </c>
      <c r="N47" s="24">
        <v>-27390.15</v>
      </c>
      <c r="O47" s="24">
        <f t="shared" si="18"/>
        <v>-380928.12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8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-500-23296.94</f>
        <v>-23796.94</v>
      </c>
      <c r="E49" s="24">
        <v>0</v>
      </c>
      <c r="F49" s="24">
        <f>-500-23600</f>
        <v>-24100</v>
      </c>
      <c r="G49" s="24">
        <v>-500</v>
      </c>
      <c r="H49" s="24">
        <v>0</v>
      </c>
      <c r="I49" s="24">
        <f>-1500-2950</f>
        <v>-4450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8"/>
        <v>-52846.94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8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8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-170000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8"/>
        <v>-170000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8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96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8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97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8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98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8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99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8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106</v>
      </c>
      <c r="B58" s="27">
        <v>118805.29</v>
      </c>
      <c r="C58" s="27">
        <v>112582.78</v>
      </c>
      <c r="D58" s="27">
        <v>21723.88</v>
      </c>
      <c r="E58" s="27">
        <f>9845.32+14981.62</f>
        <v>24826.940000000002</v>
      </c>
      <c r="F58" s="27">
        <v>56025.87</v>
      </c>
      <c r="G58" s="27">
        <v>86644.98</v>
      </c>
      <c r="H58" s="27">
        <v>46306.79</v>
      </c>
      <c r="I58" s="27">
        <v>0</v>
      </c>
      <c r="J58" s="27">
        <v>11191.99</v>
      </c>
      <c r="K58" s="27">
        <v>38672.43</v>
      </c>
      <c r="L58" s="27">
        <v>61602.14</v>
      </c>
      <c r="M58" s="27">
        <v>13537.56</v>
      </c>
      <c r="N58" s="27">
        <v>27695.92</v>
      </c>
      <c r="O58" s="24">
        <f t="shared" si="18"/>
        <v>619616.5700000001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107</v>
      </c>
      <c r="B59" s="27">
        <v>3604.57</v>
      </c>
      <c r="C59" s="27">
        <v>207.59</v>
      </c>
      <c r="D59" s="27">
        <v>-19428.7</v>
      </c>
      <c r="E59" s="27">
        <v>0</v>
      </c>
      <c r="F59" s="27">
        <v>351.43</v>
      </c>
      <c r="G59" s="27">
        <v>-1399.36</v>
      </c>
      <c r="H59" s="27">
        <v>-1026.82</v>
      </c>
      <c r="I59" s="27">
        <v>0</v>
      </c>
      <c r="J59" s="27">
        <v>3989.81</v>
      </c>
      <c r="K59" s="27">
        <v>-47631.74</v>
      </c>
      <c r="L59" s="27">
        <v>-11018.94</v>
      </c>
      <c r="M59" s="27">
        <v>1096.48</v>
      </c>
      <c r="N59" s="27">
        <v>-12577</v>
      </c>
      <c r="O59" s="24">
        <f t="shared" si="18"/>
        <v>-83832.68000000001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 t="s">
        <v>110</v>
      </c>
      <c r="B60" s="61"/>
      <c r="C60" s="61"/>
      <c r="D60" s="61"/>
      <c r="E60" s="61"/>
      <c r="F60" s="61"/>
      <c r="G60" s="61"/>
      <c r="H60" s="61"/>
      <c r="I60" s="27">
        <v>0</v>
      </c>
      <c r="J60" s="61"/>
      <c r="K60" s="61"/>
      <c r="L60" s="61"/>
      <c r="M60" s="61"/>
      <c r="N60" s="61"/>
      <c r="O60" s="20">
        <f t="shared" si="18"/>
        <v>0</v>
      </c>
    </row>
    <row r="61" spans="1:26" ht="15.75">
      <c r="A61" s="2" t="s">
        <v>65</v>
      </c>
      <c r="B61" s="29">
        <f aca="true" t="shared" si="22" ref="B61:N61">+B36+B42</f>
        <v>1147219.454</v>
      </c>
      <c r="C61" s="29">
        <f t="shared" si="22"/>
        <v>892224.5194999999</v>
      </c>
      <c r="D61" s="29">
        <f t="shared" si="22"/>
        <v>683157.5955</v>
      </c>
      <c r="E61" s="29">
        <f t="shared" si="22"/>
        <v>177036.718</v>
      </c>
      <c r="F61" s="29">
        <f t="shared" si="22"/>
        <v>749792.7445</v>
      </c>
      <c r="G61" s="29">
        <f t="shared" si="22"/>
        <v>923918.8467999999</v>
      </c>
      <c r="H61" s="29">
        <f t="shared" si="22"/>
        <v>751956.6636000002</v>
      </c>
      <c r="I61" s="29">
        <f t="shared" si="22"/>
        <v>0</v>
      </c>
      <c r="J61" s="29">
        <f>+J36+J42</f>
        <v>853515.9044</v>
      </c>
      <c r="K61" s="29">
        <f>+K36+K42</f>
        <v>752010.4478</v>
      </c>
      <c r="L61" s="29">
        <f>+L36+L42</f>
        <v>887694.9857999999</v>
      </c>
      <c r="M61" s="29">
        <f t="shared" si="22"/>
        <v>444210.999</v>
      </c>
      <c r="N61" s="29">
        <f t="shared" si="22"/>
        <v>228976.4673</v>
      </c>
      <c r="O61" s="29">
        <f>SUM(B61:N61)</f>
        <v>8491715.3462</v>
      </c>
      <c r="P61"/>
      <c r="Q61"/>
      <c r="R61"/>
      <c r="S61"/>
      <c r="T61"/>
      <c r="U61"/>
      <c r="V61"/>
      <c r="W61"/>
      <c r="X61"/>
      <c r="Y61"/>
      <c r="Z61"/>
    </row>
    <row r="62" spans="1:17" ht="15" customHeight="1">
      <c r="A62" s="34" t="s">
        <v>111</v>
      </c>
      <c r="B62" s="47">
        <v>0</v>
      </c>
      <c r="C62" s="47">
        <v>-1019.39</v>
      </c>
      <c r="D62" s="47">
        <v>-8761.73</v>
      </c>
      <c r="E62" s="47">
        <v>0</v>
      </c>
      <c r="F62" s="47"/>
      <c r="G62" s="47"/>
      <c r="H62" s="47"/>
      <c r="I62" s="47">
        <v>-9941.38</v>
      </c>
      <c r="J62" s="47"/>
      <c r="K62" s="47">
        <v>-33606.11</v>
      </c>
      <c r="L62" s="47">
        <v>-1100.21</v>
      </c>
      <c r="M62" s="47"/>
      <c r="N62" s="47">
        <v>-10839.1</v>
      </c>
      <c r="O62" s="47">
        <f t="shared" si="18"/>
        <v>-65267.92</v>
      </c>
      <c r="Q62" s="75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66</v>
      </c>
      <c r="B64" s="36">
        <f>SUM(B65:B78)</f>
        <v>1147219.4500000002</v>
      </c>
      <c r="C64" s="36">
        <f aca="true" t="shared" si="23" ref="C64:N64">SUM(C65:C78)</f>
        <v>892224.52</v>
      </c>
      <c r="D64" s="36">
        <f t="shared" si="23"/>
        <v>683157.6</v>
      </c>
      <c r="E64" s="36">
        <f t="shared" si="23"/>
        <v>177036.72</v>
      </c>
      <c r="F64" s="36">
        <f t="shared" si="23"/>
        <v>749792.74</v>
      </c>
      <c r="G64" s="36">
        <f t="shared" si="23"/>
        <v>923918.85</v>
      </c>
      <c r="H64" s="36">
        <f t="shared" si="23"/>
        <v>751956.66</v>
      </c>
      <c r="I64" s="36">
        <f t="shared" si="23"/>
        <v>0</v>
      </c>
      <c r="J64" s="36">
        <f t="shared" si="23"/>
        <v>853515.9</v>
      </c>
      <c r="K64" s="36">
        <f t="shared" si="23"/>
        <v>752010.4500000001</v>
      </c>
      <c r="L64" s="36">
        <f t="shared" si="23"/>
        <v>887694.99</v>
      </c>
      <c r="M64" s="36">
        <f t="shared" si="23"/>
        <v>444211</v>
      </c>
      <c r="N64" s="36">
        <f t="shared" si="23"/>
        <v>228976.46999999997</v>
      </c>
      <c r="O64" s="29">
        <f>SUM(O65:O78)</f>
        <v>8491715.350000001</v>
      </c>
    </row>
    <row r="65" spans="1:16" ht="18.75" customHeight="1">
      <c r="A65" s="17" t="s">
        <v>67</v>
      </c>
      <c r="B65" s="36">
        <f>184311.61+1039.82+28541.45</f>
        <v>213892.88</v>
      </c>
      <c r="C65" s="36">
        <f>221326.95+18420.76</f>
        <v>239747.71000000002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453640.59</v>
      </c>
      <c r="P65"/>
    </row>
    <row r="66" spans="1:16" ht="18.75" customHeight="1">
      <c r="A66" s="17" t="s">
        <v>68</v>
      </c>
      <c r="B66" s="36">
        <f>90263.84+3732.95+835828.4+3501.38</f>
        <v>933326.5700000001</v>
      </c>
      <c r="C66" s="36">
        <f>550633.41+5251.55+94162.02+2429.83</f>
        <v>652476.81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4" ref="O66:O77">SUM(B66:N66)</f>
        <v>1585803.3800000001</v>
      </c>
      <c r="P66"/>
    </row>
    <row r="67" spans="1:17" ht="18.75" customHeight="1">
      <c r="A67" s="17" t="s">
        <v>69</v>
      </c>
      <c r="B67" s="35">
        <v>0</v>
      </c>
      <c r="C67" s="35">
        <v>0</v>
      </c>
      <c r="D67" s="26">
        <f>661433.72+21723.88</f>
        <v>683157.6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4"/>
        <v>683157.6</v>
      </c>
      <c r="Q67"/>
    </row>
    <row r="68" spans="1:18" ht="18.75" customHeight="1">
      <c r="A68" s="17" t="s">
        <v>104</v>
      </c>
      <c r="B68" s="35">
        <v>0</v>
      </c>
      <c r="C68" s="35">
        <v>0</v>
      </c>
      <c r="D68" s="35">
        <v>0</v>
      </c>
      <c r="E68" s="26">
        <f>152209.78+9845.32+14981.62</f>
        <v>177036.72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4"/>
        <v>177036.72</v>
      </c>
      <c r="R68"/>
    </row>
    <row r="69" spans="1:19" ht="18.75" customHeight="1">
      <c r="A69" s="17" t="s">
        <v>70</v>
      </c>
      <c r="B69" s="35">
        <v>0</v>
      </c>
      <c r="C69" s="35">
        <v>0</v>
      </c>
      <c r="D69" s="35">
        <v>0</v>
      </c>
      <c r="E69" s="35">
        <v>0</v>
      </c>
      <c r="F69" s="26">
        <v>749792.74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4"/>
        <v>749792.74</v>
      </c>
      <c r="S69"/>
    </row>
    <row r="70" spans="1:20" ht="18.75" customHeight="1">
      <c r="A70" s="17" t="s">
        <v>71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f>833897.93+3375.94+86644.98</f>
        <v>923918.85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4"/>
        <v>923918.85</v>
      </c>
      <c r="T70"/>
    </row>
    <row r="71" spans="1:21" ht="18.75" customHeight="1">
      <c r="A71" s="17" t="s">
        <v>95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f>703176.38+2473.49+46306.79</f>
        <v>751956.66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4"/>
        <v>751956.66</v>
      </c>
      <c r="U71"/>
    </row>
    <row r="72" spans="1:21" ht="18.75" customHeight="1">
      <c r="A72" s="17" t="s">
        <v>72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4"/>
        <v>0</v>
      </c>
      <c r="U72"/>
    </row>
    <row r="73" spans="1:22" ht="18.75" customHeight="1">
      <c r="A73" s="17" t="s">
        <v>73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853515.9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4"/>
        <v>853515.9</v>
      </c>
      <c r="V73"/>
    </row>
    <row r="74" spans="1:23" ht="18.75" customHeight="1">
      <c r="A74" s="17" t="s">
        <v>74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f>713338.02+38672.43</f>
        <v>752010.4500000001</v>
      </c>
      <c r="L74" s="35">
        <v>0</v>
      </c>
      <c r="M74" s="35">
        <v>0</v>
      </c>
      <c r="N74" s="35">
        <v>0</v>
      </c>
      <c r="O74" s="29">
        <f t="shared" si="24"/>
        <v>752010.4500000001</v>
      </c>
      <c r="W74"/>
    </row>
    <row r="75" spans="1:24" ht="18.75" customHeight="1">
      <c r="A75" s="17" t="s">
        <v>75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f>826092.85+61602.14</f>
        <v>887694.99</v>
      </c>
      <c r="M75" s="35">
        <v>0</v>
      </c>
      <c r="N75" s="35">
        <v>0</v>
      </c>
      <c r="O75" s="26">
        <f t="shared" si="24"/>
        <v>887694.99</v>
      </c>
      <c r="X75"/>
    </row>
    <row r="76" spans="1:25" ht="18.75" customHeight="1">
      <c r="A76" s="17" t="s">
        <v>76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444211</v>
      </c>
      <c r="N76" s="35">
        <v>0</v>
      </c>
      <c r="O76" s="29">
        <f t="shared" si="24"/>
        <v>444211</v>
      </c>
      <c r="Y76"/>
    </row>
    <row r="77" spans="1:26" ht="18.75" customHeight="1">
      <c r="A77" s="17" t="s">
        <v>77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f>201280.55+27695.92</f>
        <v>228976.46999999997</v>
      </c>
      <c r="O77" s="26">
        <f t="shared" si="24"/>
        <v>228976.46999999997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9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78</v>
      </c>
      <c r="B82" s="44">
        <v>2.447832033287804</v>
      </c>
      <c r="C82" s="44">
        <v>2.601567162111878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79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80</v>
      </c>
      <c r="B84" s="44">
        <v>0</v>
      </c>
      <c r="C84" s="44">
        <v>0</v>
      </c>
      <c r="D84" s="22">
        <f>(D$37+D$38+D$39)/D$7</f>
        <v>1.9607000000000003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103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81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82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83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84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85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86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87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88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0"/>
      <c r="Y93"/>
    </row>
    <row r="94" spans="1:26" ht="18.75" customHeight="1">
      <c r="A94" s="34" t="s">
        <v>89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8">
        <f>(N$37+N$38+N$39)/N$7</f>
        <v>2.6231</v>
      </c>
      <c r="O94" s="49"/>
      <c r="P94"/>
      <c r="Z94"/>
    </row>
    <row r="95" spans="1:14" ht="21" customHeight="1">
      <c r="A95" s="65" t="s">
        <v>100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7"/>
    </row>
    <row r="96" spans="1:14" ht="21" customHeight="1">
      <c r="A96" s="65" t="s">
        <v>112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7"/>
    </row>
    <row r="97" spans="1:14" ht="21" customHeight="1">
      <c r="A97" s="65" t="s">
        <v>113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7"/>
    </row>
    <row r="98" spans="1:14" ht="15.75">
      <c r="A98" s="68" t="s">
        <v>109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100" ht="14.25">
      <c r="B100" s="40"/>
    </row>
    <row r="101" spans="8:9" ht="14.25">
      <c r="H101" s="41"/>
      <c r="I101" s="41"/>
    </row>
    <row r="102" ht="14.25"/>
    <row r="103" spans="8:12" ht="14.25">
      <c r="H103" s="42"/>
      <c r="I103" s="42"/>
      <c r="J103" s="43"/>
      <c r="K103" s="43"/>
      <c r="L103" s="43"/>
    </row>
  </sheetData>
  <sheetProtection/>
  <mergeCells count="7">
    <mergeCell ref="A98:N98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2018-09-27T18:53:32Z</dcterms:modified>
  <cp:category/>
  <cp:version/>
  <cp:contentType/>
  <cp:contentStatus/>
</cp:coreProperties>
</file>