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<sst xmlns="http://schemas.openxmlformats.org/spreadsheetml/2006/main" count="116" uniqueCount="114">
  <si>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</si>
  <si>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</si>
  <si>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</si>
  <si>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</si>
  <si>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</si>
  <si>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</si>
  <si>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</si>
  <si>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</si>
  <si>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</si>
  <si>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</si>
  <si>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</si>
  <si>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</si>
  <si>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</si>
  <si>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</si>
  <si>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</si>
  <si>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</si>
  <si>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</si>
  <si>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</si>
  <si>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</si>
  <si>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</si>
  <si>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</si>
  <si>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</si>
  <si>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</si>
  <si>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</si>
  <si>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</si>
  <si>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</si>
  <si>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</si>
  <si>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</si>
  <si>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</si>
  <si>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</si>
  <si>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</si>
  <si>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</si>
  <si>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</si>
  <si>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</si>
  <si>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</si>
  <si>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</si>
  <si>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</si>
  <si>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</si>
  <si>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</si>
  <si>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</si>
  <si>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</si>
  <si>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</si>
  <si>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</si>
  <si>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</si>
  <si>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</si>
  <si>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</si>
  <si>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</si>
  <si>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</si>
  <si>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</si>
  <si>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</si>
  <si>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</si>
  <si>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</si>
  <si>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</si>
  <si>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</si>
  <si>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</si>
  <si>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</si>
  <si>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</si>
  <si>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</si>
  <si>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</si>
  <si>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</si>
  <si>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</si>
  <si>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</si>
  <si>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</si>
  <si>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</si>
  <si>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</si>
  <si>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</si>
  <si>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</si>
  <si>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</si>
  <si>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</si>
  <si>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</si>
  <si>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</si>
  <si>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</si>
  <si>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</si>
  <si>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</si>
  <si>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</si>
  <si>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</si>
  <si>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</si>
  <si>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</si>
  <si>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</si>
  <si>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</si>
  <si>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</si>
  <si>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</si>
  <si>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</si>
  <si>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</si>
  <si>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</si>
  <si>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</si>
  <si>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</si>
  <si>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</si>
  <si>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</si>
  <si>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</si>
  <si>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</si>
  <si>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</si>
  <si>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</si>
  <si>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</si>
  <si>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</si>
  <si>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</si>
  <si>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</si>
  <si>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</si>
  <si>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</si>
  <si>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</si>
  <si>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</si>
  <si>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</si>
  <si>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</si>
  <si>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</si>
  <si>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</si>
  <si>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17/08/18 - VENCIMENTO 24/08/18</t>
  </si>
  <si>
    <t>5.5. Saldo Inicial</t>
  </si>
  <si>
    <t>6.1. Saldo final</t>
  </si>
  <si>
    <t>5.3. Revisão de Remuneração pelo Transporte Coletivo (1)</t>
  </si>
  <si>
    <t>5.4. Revisão de Remuneração pelo Serviço Atende (2)</t>
  </si>
  <si>
    <t>8. Tarifa de Remuneração por Passageiro(3)</t>
  </si>
  <si>
    <t>(3) Tarifa de remuneração de cada empresa considerando o  reequilibrio interno estabelecido e informado pelo consórcio. Não consideram os acertos financeiros previstos no item 7.</t>
  </si>
  <si>
    <t>(2) Revisão de frota e horas extras do serviço atende, mês de julho/2018.</t>
  </si>
  <si>
    <t>(1) Revisão esporádica de passageiros, processada pelo sistema de bilhetagem eletrônica, período de janeiro a maio/2018, área 4.0.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</si>
</sst>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71" fontId="22" fillId="0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41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41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41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97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93</v>
      </c>
      <c r="F6" s="3" t="s">
        <v>94</v>
      </c>
      <c r="G6" s="3" t="s">
        <v>95</v>
      </c>
      <c r="H6" s="64" t="s">
        <v>29</v>
      </c>
      <c r="I6" s="64" t="s">
        <v>96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509674</v>
      </c>
      <c r="C7" s="10">
        <f>C8+C20+C24</f>
        <v>375132</v>
      </c>
      <c r="D7" s="10">
        <f>D8+D20+D24</f>
        <v>392768</v>
      </c>
      <c r="E7" s="10">
        <f>E8+E20+E24</f>
        <v>66539</v>
      </c>
      <c r="F7" s="10">
        <f aca="true" t="shared" si="0" ref="F7:N7">F8+F20+F24</f>
        <v>337966</v>
      </c>
      <c r="G7" s="10">
        <f t="shared" si="0"/>
        <v>522473</v>
      </c>
      <c r="H7" s="10">
        <f>H8+H20+H24</f>
        <v>359254</v>
      </c>
      <c r="I7" s="10">
        <f>I8+I20+I24</f>
        <v>97801</v>
      </c>
      <c r="J7" s="10">
        <f>J8+J20+J24</f>
        <v>417849</v>
      </c>
      <c r="K7" s="10">
        <f>K8+K20+K24</f>
        <v>309589</v>
      </c>
      <c r="L7" s="10">
        <f>L8+L20+L24</f>
        <v>364381</v>
      </c>
      <c r="M7" s="10">
        <f t="shared" si="0"/>
        <v>151062</v>
      </c>
      <c r="N7" s="10">
        <f t="shared" si="0"/>
        <v>92670</v>
      </c>
      <c r="O7" s="10">
        <f>+O8+O20+O24</f>
        <v>3997158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223787</v>
      </c>
      <c r="C8" s="12">
        <f>+C9+C12+C16</f>
        <v>177843</v>
      </c>
      <c r="D8" s="12">
        <f>+D9+D12+D16</f>
        <v>200002</v>
      </c>
      <c r="E8" s="12">
        <f>+E9+E12+E16</f>
        <v>30823</v>
      </c>
      <c r="F8" s="12">
        <f aca="true" t="shared" si="1" ref="F8:N8">+F9+F12+F16</f>
        <v>161554</v>
      </c>
      <c r="G8" s="12">
        <f t="shared" si="1"/>
        <v>255417</v>
      </c>
      <c r="H8" s="12">
        <f>+H9+H12+H16</f>
        <v>169455</v>
      </c>
      <c r="I8" s="12">
        <f>+I9+I12+I16</f>
        <v>47862</v>
      </c>
      <c r="J8" s="12">
        <f>+J9+J12+J16</f>
        <v>201284</v>
      </c>
      <c r="K8" s="12">
        <f>+K9+K12+K16</f>
        <v>147206</v>
      </c>
      <c r="L8" s="12">
        <f>+L9+L12+L16</f>
        <v>163943</v>
      </c>
      <c r="M8" s="12">
        <f t="shared" si="1"/>
        <v>78074</v>
      </c>
      <c r="N8" s="12">
        <f t="shared" si="1"/>
        <v>49115</v>
      </c>
      <c r="O8" s="12">
        <f>SUM(B8:N8)</f>
        <v>1906365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19269</v>
      </c>
      <c r="C9" s="14">
        <v>19953</v>
      </c>
      <c r="D9" s="14">
        <v>13673</v>
      </c>
      <c r="E9" s="14">
        <v>2496</v>
      </c>
      <c r="F9" s="14">
        <v>11814</v>
      </c>
      <c r="G9" s="14">
        <v>21332</v>
      </c>
      <c r="H9" s="14">
        <v>19123</v>
      </c>
      <c r="I9" s="14">
        <v>5233</v>
      </c>
      <c r="J9" s="14">
        <v>10950</v>
      </c>
      <c r="K9" s="14">
        <v>14888</v>
      </c>
      <c r="L9" s="14">
        <v>11675</v>
      </c>
      <c r="M9" s="14">
        <v>8181</v>
      </c>
      <c r="N9" s="14">
        <v>5293</v>
      </c>
      <c r="O9" s="12">
        <f aca="true" t="shared" si="2" ref="O9:O19">SUM(B9:N9)</f>
        <v>163880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19269</v>
      </c>
      <c r="C10" s="14">
        <f>+C9-C11</f>
        <v>19953</v>
      </c>
      <c r="D10" s="14">
        <f>+D9-D11</f>
        <v>13673</v>
      </c>
      <c r="E10" s="14">
        <f>+E9-E11</f>
        <v>2496</v>
      </c>
      <c r="F10" s="14">
        <f aca="true" t="shared" si="3" ref="F10:N10">+F9-F11</f>
        <v>11814</v>
      </c>
      <c r="G10" s="14">
        <f t="shared" si="3"/>
        <v>21332</v>
      </c>
      <c r="H10" s="14">
        <f>+H9-H11</f>
        <v>19123</v>
      </c>
      <c r="I10" s="14">
        <f>+I9-I11</f>
        <v>5233</v>
      </c>
      <c r="J10" s="14">
        <f>+J9-J11</f>
        <v>10950</v>
      </c>
      <c r="K10" s="14">
        <f>+K9-K11</f>
        <v>14888</v>
      </c>
      <c r="L10" s="14">
        <f>+L9-L11</f>
        <v>11675</v>
      </c>
      <c r="M10" s="14">
        <f t="shared" si="3"/>
        <v>8181</v>
      </c>
      <c r="N10" s="14">
        <f t="shared" si="3"/>
        <v>5293</v>
      </c>
      <c r="O10" s="12">
        <f t="shared" si="2"/>
        <v>163880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194547</v>
      </c>
      <c r="C12" s="14">
        <f>C13+C14+C15</f>
        <v>150168</v>
      </c>
      <c r="D12" s="14">
        <f>D13+D14+D15</f>
        <v>178273</v>
      </c>
      <c r="E12" s="14">
        <f>E13+E14+E15</f>
        <v>27037</v>
      </c>
      <c r="F12" s="14">
        <f aca="true" t="shared" si="4" ref="F12:N12">F13+F14+F15</f>
        <v>142348</v>
      </c>
      <c r="G12" s="14">
        <f t="shared" si="4"/>
        <v>221658</v>
      </c>
      <c r="H12" s="14">
        <f>H13+H14+H15</f>
        <v>143183</v>
      </c>
      <c r="I12" s="14">
        <f>I13+I14+I15</f>
        <v>40561</v>
      </c>
      <c r="J12" s="14">
        <f>J13+J14+J15</f>
        <v>180307</v>
      </c>
      <c r="K12" s="14">
        <f>K13+K14+K15</f>
        <v>125612</v>
      </c>
      <c r="L12" s="14">
        <f>L13+L14+L15</f>
        <v>143777</v>
      </c>
      <c r="M12" s="14">
        <f t="shared" si="4"/>
        <v>66649</v>
      </c>
      <c r="N12" s="14">
        <f t="shared" si="4"/>
        <v>42063</v>
      </c>
      <c r="O12" s="12">
        <f t="shared" si="2"/>
        <v>1656183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92734</v>
      </c>
      <c r="C13" s="14">
        <v>72122</v>
      </c>
      <c r="D13" s="14">
        <v>83387</v>
      </c>
      <c r="E13" s="14">
        <v>12800</v>
      </c>
      <c r="F13" s="14">
        <v>65613</v>
      </c>
      <c r="G13" s="14">
        <v>103447</v>
      </c>
      <c r="H13" s="14">
        <v>69810</v>
      </c>
      <c r="I13" s="14">
        <v>19767</v>
      </c>
      <c r="J13" s="14">
        <v>86519</v>
      </c>
      <c r="K13" s="14">
        <v>58810</v>
      </c>
      <c r="L13" s="14">
        <v>66875</v>
      </c>
      <c r="M13" s="14">
        <v>30574</v>
      </c>
      <c r="N13" s="14">
        <v>18548</v>
      </c>
      <c r="O13" s="12">
        <f t="shared" si="2"/>
        <v>781006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94252</v>
      </c>
      <c r="C14" s="14">
        <v>68904</v>
      </c>
      <c r="D14" s="14">
        <v>89512</v>
      </c>
      <c r="E14" s="14">
        <v>12941</v>
      </c>
      <c r="F14" s="14">
        <v>69348</v>
      </c>
      <c r="G14" s="14">
        <v>105140</v>
      </c>
      <c r="H14" s="14">
        <v>66425</v>
      </c>
      <c r="I14" s="14">
        <v>18775</v>
      </c>
      <c r="J14" s="14">
        <v>88486</v>
      </c>
      <c r="K14" s="14">
        <v>61456</v>
      </c>
      <c r="L14" s="14">
        <v>71812</v>
      </c>
      <c r="M14" s="14">
        <v>33234</v>
      </c>
      <c r="N14" s="14">
        <v>21972</v>
      </c>
      <c r="O14" s="12">
        <f t="shared" si="2"/>
        <v>802257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7561</v>
      </c>
      <c r="C15" s="14">
        <v>9142</v>
      </c>
      <c r="D15" s="14">
        <v>5374</v>
      </c>
      <c r="E15" s="14">
        <v>1296</v>
      </c>
      <c r="F15" s="14">
        <v>7387</v>
      </c>
      <c r="G15" s="14">
        <v>13071</v>
      </c>
      <c r="H15" s="14">
        <v>6948</v>
      </c>
      <c r="I15" s="14">
        <v>2019</v>
      </c>
      <c r="J15" s="14">
        <v>5302</v>
      </c>
      <c r="K15" s="14">
        <v>5346</v>
      </c>
      <c r="L15" s="14">
        <v>5090</v>
      </c>
      <c r="M15" s="14">
        <v>2841</v>
      </c>
      <c r="N15" s="14">
        <v>1543</v>
      </c>
      <c r="O15" s="12">
        <f t="shared" si="2"/>
        <v>72920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9971</v>
      </c>
      <c r="C16" s="14">
        <f>C17+C18+C19</f>
        <v>7722</v>
      </c>
      <c r="D16" s="14">
        <f>D17+D18+D19</f>
        <v>8056</v>
      </c>
      <c r="E16" s="14">
        <f>E17+E18+E19</f>
        <v>1290</v>
      </c>
      <c r="F16" s="14">
        <f aca="true" t="shared" si="5" ref="F16:N16">F17+F18+F19</f>
        <v>7392</v>
      </c>
      <c r="G16" s="14">
        <f t="shared" si="5"/>
        <v>12427</v>
      </c>
      <c r="H16" s="14">
        <f>H17+H18+H19</f>
        <v>7149</v>
      </c>
      <c r="I16" s="14">
        <f>I17+I18+I19</f>
        <v>2068</v>
      </c>
      <c r="J16" s="14">
        <f>J17+J18+J19</f>
        <v>10027</v>
      </c>
      <c r="K16" s="14">
        <f>K17+K18+K19</f>
        <v>6706</v>
      </c>
      <c r="L16" s="14">
        <f>L17+L18+L19</f>
        <v>8491</v>
      </c>
      <c r="M16" s="14">
        <f t="shared" si="5"/>
        <v>3244</v>
      </c>
      <c r="N16" s="14">
        <f t="shared" si="5"/>
        <v>1759</v>
      </c>
      <c r="O16" s="12">
        <f t="shared" si="2"/>
        <v>86302</v>
      </c>
    </row>
    <row r="17" spans="1:26" ht="18.75" customHeight="1">
      <c r="A17" s="15" t="s">
        <v>16</v>
      </c>
      <c r="B17" s="14">
        <v>9960</v>
      </c>
      <c r="C17" s="14">
        <v>7706</v>
      </c>
      <c r="D17" s="14">
        <v>8045</v>
      </c>
      <c r="E17" s="14">
        <v>1288</v>
      </c>
      <c r="F17" s="14">
        <v>7379</v>
      </c>
      <c r="G17" s="14">
        <v>12396</v>
      </c>
      <c r="H17" s="14">
        <v>7122</v>
      </c>
      <c r="I17" s="14">
        <v>2065</v>
      </c>
      <c r="J17" s="14">
        <v>10020</v>
      </c>
      <c r="K17" s="14">
        <v>6690</v>
      </c>
      <c r="L17" s="14">
        <v>8475</v>
      </c>
      <c r="M17" s="14">
        <v>3236</v>
      </c>
      <c r="N17" s="14">
        <v>1752</v>
      </c>
      <c r="O17" s="12">
        <f t="shared" si="2"/>
        <v>86134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</v>
      </c>
      <c r="C18" s="14">
        <v>13</v>
      </c>
      <c r="D18" s="14">
        <v>7</v>
      </c>
      <c r="E18" s="14">
        <v>2</v>
      </c>
      <c r="F18" s="14">
        <v>6</v>
      </c>
      <c r="G18" s="14">
        <v>21</v>
      </c>
      <c r="H18" s="14">
        <v>13</v>
      </c>
      <c r="I18" s="14">
        <v>2</v>
      </c>
      <c r="J18" s="14">
        <v>2</v>
      </c>
      <c r="K18" s="14">
        <v>6</v>
      </c>
      <c r="L18" s="14">
        <v>11</v>
      </c>
      <c r="M18" s="14">
        <v>7</v>
      </c>
      <c r="N18" s="14">
        <v>5</v>
      </c>
      <c r="O18" s="12">
        <f t="shared" si="2"/>
        <v>105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</v>
      </c>
      <c r="C19" s="14">
        <v>3</v>
      </c>
      <c r="D19" s="14">
        <v>4</v>
      </c>
      <c r="E19" s="14">
        <v>0</v>
      </c>
      <c r="F19" s="14">
        <v>7</v>
      </c>
      <c r="G19" s="14">
        <v>10</v>
      </c>
      <c r="H19" s="14">
        <v>14</v>
      </c>
      <c r="I19" s="14">
        <v>1</v>
      </c>
      <c r="J19" s="14">
        <v>5</v>
      </c>
      <c r="K19" s="14">
        <v>10</v>
      </c>
      <c r="L19" s="14">
        <v>5</v>
      </c>
      <c r="M19" s="14">
        <v>1</v>
      </c>
      <c r="N19" s="14">
        <v>2</v>
      </c>
      <c r="O19" s="12">
        <f t="shared" si="2"/>
        <v>63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138435</v>
      </c>
      <c r="C20" s="18">
        <f>C21+C22+C23</f>
        <v>86813</v>
      </c>
      <c r="D20" s="18">
        <f>D21+D22+D23</f>
        <v>83450</v>
      </c>
      <c r="E20" s="18">
        <f>E21+E22+E23</f>
        <v>14230</v>
      </c>
      <c r="F20" s="18">
        <f aca="true" t="shared" si="6" ref="F20:N20">F21+F22+F23</f>
        <v>74732</v>
      </c>
      <c r="G20" s="18">
        <f t="shared" si="6"/>
        <v>114783</v>
      </c>
      <c r="H20" s="18">
        <f>H21+H22+H23</f>
        <v>91970</v>
      </c>
      <c r="I20" s="18">
        <f>I21+I22+I23</f>
        <v>24210</v>
      </c>
      <c r="J20" s="18">
        <f>J21+J22+J23</f>
        <v>107917</v>
      </c>
      <c r="K20" s="18">
        <f>K21+K22+K23</f>
        <v>75244</v>
      </c>
      <c r="L20" s="18">
        <f>L21+L22+L23</f>
        <v>110479</v>
      </c>
      <c r="M20" s="18">
        <f t="shared" si="6"/>
        <v>42361</v>
      </c>
      <c r="N20" s="18">
        <f t="shared" si="6"/>
        <v>25154</v>
      </c>
      <c r="O20" s="12">
        <f aca="true" t="shared" si="7" ref="O20:O26">SUM(B20:N20)</f>
        <v>989778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72108</v>
      </c>
      <c r="C21" s="14">
        <v>48242</v>
      </c>
      <c r="D21" s="14">
        <v>43952</v>
      </c>
      <c r="E21" s="14">
        <v>7765</v>
      </c>
      <c r="F21" s="14">
        <v>39454</v>
      </c>
      <c r="G21" s="14">
        <v>60648</v>
      </c>
      <c r="H21" s="14">
        <v>50574</v>
      </c>
      <c r="I21" s="14">
        <v>13392</v>
      </c>
      <c r="J21" s="14">
        <v>57521</v>
      </c>
      <c r="K21" s="14">
        <v>39742</v>
      </c>
      <c r="L21" s="14">
        <v>56864</v>
      </c>
      <c r="M21" s="14">
        <v>21818</v>
      </c>
      <c r="N21" s="14">
        <v>12487</v>
      </c>
      <c r="O21" s="12">
        <f t="shared" si="7"/>
        <v>524567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62728</v>
      </c>
      <c r="C22" s="14">
        <v>35330</v>
      </c>
      <c r="D22" s="14">
        <v>37531</v>
      </c>
      <c r="E22" s="14">
        <v>5982</v>
      </c>
      <c r="F22" s="14">
        <v>32630</v>
      </c>
      <c r="G22" s="14">
        <v>49724</v>
      </c>
      <c r="H22" s="14">
        <v>38834</v>
      </c>
      <c r="I22" s="14">
        <v>10128</v>
      </c>
      <c r="J22" s="14">
        <v>47730</v>
      </c>
      <c r="K22" s="14">
        <v>33355</v>
      </c>
      <c r="L22" s="14">
        <v>50991</v>
      </c>
      <c r="M22" s="14">
        <v>19314</v>
      </c>
      <c r="N22" s="14">
        <v>12073</v>
      </c>
      <c r="O22" s="12">
        <f t="shared" si="7"/>
        <v>436350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3599</v>
      </c>
      <c r="C23" s="14">
        <v>3241</v>
      </c>
      <c r="D23" s="14">
        <v>1967</v>
      </c>
      <c r="E23" s="14">
        <v>483</v>
      </c>
      <c r="F23" s="14">
        <v>2648</v>
      </c>
      <c r="G23" s="14">
        <v>4411</v>
      </c>
      <c r="H23" s="14">
        <v>2562</v>
      </c>
      <c r="I23" s="14">
        <v>690</v>
      </c>
      <c r="J23" s="14">
        <v>2666</v>
      </c>
      <c r="K23" s="14">
        <v>2147</v>
      </c>
      <c r="L23" s="14">
        <v>2624</v>
      </c>
      <c r="M23" s="14">
        <v>1229</v>
      </c>
      <c r="N23" s="14">
        <v>594</v>
      </c>
      <c r="O23" s="12">
        <f t="shared" si="7"/>
        <v>28861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147452</v>
      </c>
      <c r="C24" s="14">
        <f>C25+C26</f>
        <v>110476</v>
      </c>
      <c r="D24" s="14">
        <f>D25+D26</f>
        <v>109316</v>
      </c>
      <c r="E24" s="14">
        <f>E25+E26</f>
        <v>21486</v>
      </c>
      <c r="F24" s="14">
        <f aca="true" t="shared" si="8" ref="F24:N24">F25+F26</f>
        <v>101680</v>
      </c>
      <c r="G24" s="14">
        <f t="shared" si="8"/>
        <v>152273</v>
      </c>
      <c r="H24" s="14">
        <f>H25+H26</f>
        <v>97829</v>
      </c>
      <c r="I24" s="14">
        <f>I25+I26</f>
        <v>25729</v>
      </c>
      <c r="J24" s="14">
        <f>J25+J26</f>
        <v>108648</v>
      </c>
      <c r="K24" s="14">
        <f>K25+K26</f>
        <v>87139</v>
      </c>
      <c r="L24" s="14">
        <f>L25+L26</f>
        <v>89959</v>
      </c>
      <c r="M24" s="14">
        <f t="shared" si="8"/>
        <v>30627</v>
      </c>
      <c r="N24" s="14">
        <f t="shared" si="8"/>
        <v>18401</v>
      </c>
      <c r="O24" s="12">
        <f t="shared" si="7"/>
        <v>1101015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72544</v>
      </c>
      <c r="C25" s="14">
        <v>61689</v>
      </c>
      <c r="D25" s="14">
        <v>59715</v>
      </c>
      <c r="E25" s="14">
        <v>12957</v>
      </c>
      <c r="F25" s="14">
        <v>56677</v>
      </c>
      <c r="G25" s="14">
        <v>90419</v>
      </c>
      <c r="H25" s="14">
        <v>58364</v>
      </c>
      <c r="I25" s="14">
        <v>16443</v>
      </c>
      <c r="J25" s="14">
        <v>53757</v>
      </c>
      <c r="K25" s="14">
        <v>47682</v>
      </c>
      <c r="L25" s="14">
        <v>46062</v>
      </c>
      <c r="M25" s="14">
        <v>15796</v>
      </c>
      <c r="N25" s="14">
        <v>8423</v>
      </c>
      <c r="O25" s="12">
        <f t="shared" si="7"/>
        <v>600528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74908</v>
      </c>
      <c r="C26" s="14">
        <v>48787</v>
      </c>
      <c r="D26" s="14">
        <v>49601</v>
      </c>
      <c r="E26" s="14">
        <v>8529</v>
      </c>
      <c r="F26" s="14">
        <v>45003</v>
      </c>
      <c r="G26" s="14">
        <v>61854</v>
      </c>
      <c r="H26" s="14">
        <v>39465</v>
      </c>
      <c r="I26" s="14">
        <v>9286</v>
      </c>
      <c r="J26" s="14">
        <v>54891</v>
      </c>
      <c r="K26" s="14">
        <v>39457</v>
      </c>
      <c r="L26" s="14">
        <v>43897</v>
      </c>
      <c r="M26" s="14">
        <v>14831</v>
      </c>
      <c r="N26" s="14">
        <v>9978</v>
      </c>
      <c r="O26" s="12">
        <f t="shared" si="7"/>
        <v>500487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47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1118720.1543999999</v>
      </c>
      <c r="C36" s="59">
        <f aca="true" t="shared" si="11" ref="C36:N36">C37+C38+C39+C40</f>
        <v>866210.4391999999</v>
      </c>
      <c r="D36" s="59">
        <f t="shared" si="11"/>
        <v>780289.0876000001</v>
      </c>
      <c r="E36" s="59">
        <f t="shared" si="11"/>
        <v>196908.8627</v>
      </c>
      <c r="F36" s="59">
        <f t="shared" si="11"/>
        <v>763848.289</v>
      </c>
      <c r="G36" s="59">
        <f t="shared" si="11"/>
        <v>929866.5838</v>
      </c>
      <c r="H36" s="59">
        <f t="shared" si="11"/>
        <v>782219.8304000001</v>
      </c>
      <c r="I36" s="59">
        <f>I37+I38+I39+I40</f>
        <v>214027.7084</v>
      </c>
      <c r="J36" s="59">
        <f>J37+J38+J39+J40</f>
        <v>917491.3966</v>
      </c>
      <c r="K36" s="59">
        <f>K37+K38+K39+K40</f>
        <v>783226.0593999999</v>
      </c>
      <c r="L36" s="59">
        <f>L37+L38+L39+L40</f>
        <v>894674.5334</v>
      </c>
      <c r="M36" s="59">
        <f t="shared" si="11"/>
        <v>468555.063</v>
      </c>
      <c r="N36" s="59">
        <f t="shared" si="11"/>
        <v>244097.28699999998</v>
      </c>
      <c r="O36" s="59">
        <f>O37+O38+O39+O40</f>
        <v>8960135.294899998</v>
      </c>
    </row>
    <row r="37" spans="1:15" ht="18.75" customHeight="1">
      <c r="A37" s="56" t="s">
        <v>50</v>
      </c>
      <c r="B37" s="53">
        <f aca="true" t="shared" si="12" ref="B37:N37">B29*B7</f>
        <v>1113943.4944</v>
      </c>
      <c r="C37" s="53">
        <f t="shared" si="12"/>
        <v>862090.8491999999</v>
      </c>
      <c r="D37" s="53">
        <f t="shared" si="12"/>
        <v>770100.2176000001</v>
      </c>
      <c r="E37" s="53">
        <f t="shared" si="12"/>
        <v>196908.8627</v>
      </c>
      <c r="F37" s="53">
        <f t="shared" si="12"/>
        <v>760930.449</v>
      </c>
      <c r="G37" s="53">
        <f t="shared" si="12"/>
        <v>925090.6938</v>
      </c>
      <c r="H37" s="53">
        <f t="shared" si="12"/>
        <v>778718.9704000001</v>
      </c>
      <c r="I37" s="53">
        <f>I29*I7</f>
        <v>214027.7084</v>
      </c>
      <c r="J37" s="53">
        <f>J29*J7</f>
        <v>908153.0166</v>
      </c>
      <c r="K37" s="53">
        <f>K29*K7</f>
        <v>769204.8293999999</v>
      </c>
      <c r="L37" s="53">
        <f>L29*L7</f>
        <v>885955.9634</v>
      </c>
      <c r="M37" s="53">
        <f t="shared" si="12"/>
        <v>463231.623</v>
      </c>
      <c r="N37" s="53">
        <f t="shared" si="12"/>
        <v>243082.677</v>
      </c>
      <c r="O37" s="55">
        <f>SUM(B37:N37)</f>
        <v>8891439.354899999</v>
      </c>
    </row>
    <row r="38" spans="1:15" ht="18.75" customHeight="1">
      <c r="A38" s="56" t="s">
        <v>51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52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53</v>
      </c>
      <c r="B40" s="53">
        <v>4776.66</v>
      </c>
      <c r="C40" s="53">
        <v>4119.59</v>
      </c>
      <c r="D40" s="53">
        <v>10188.87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+B43+B46+B58+B59+B60-B62</f>
        <v>-116307.56</v>
      </c>
      <c r="C42" s="25">
        <f aca="true" t="shared" si="15" ref="C42:O42">+C43+C46+C58+C59+C60-C62</f>
        <v>-108784.21</v>
      </c>
      <c r="D42" s="25">
        <f t="shared" si="15"/>
        <v>-122448.10999999999</v>
      </c>
      <c r="E42" s="25">
        <f t="shared" si="15"/>
        <v>-41721.84</v>
      </c>
      <c r="F42" s="25">
        <f t="shared" si="15"/>
        <v>377394.97</v>
      </c>
      <c r="G42" s="25">
        <f t="shared" si="15"/>
        <v>-181126.09000000003</v>
      </c>
      <c r="H42" s="25">
        <f t="shared" si="15"/>
        <v>-93215.75</v>
      </c>
      <c r="I42" s="25">
        <f t="shared" si="15"/>
        <v>-35036</v>
      </c>
      <c r="J42" s="25">
        <f t="shared" si="15"/>
        <v>-76332.13999999998</v>
      </c>
      <c r="K42" s="25">
        <f t="shared" si="15"/>
        <v>-98064.9</v>
      </c>
      <c r="L42" s="25">
        <f t="shared" si="15"/>
        <v>-154440</v>
      </c>
      <c r="M42" s="25">
        <f t="shared" si="15"/>
        <v>-44979.439999999995</v>
      </c>
      <c r="N42" s="25">
        <f t="shared" si="15"/>
        <v>-29946.04</v>
      </c>
      <c r="O42" s="25">
        <f t="shared" si="15"/>
        <v>-725007.1100000001</v>
      </c>
    </row>
    <row r="43" spans="1:15" ht="18.75" customHeight="1">
      <c r="A43" s="17" t="s">
        <v>55</v>
      </c>
      <c r="B43" s="26">
        <f>B44+B45</f>
        <v>-77076</v>
      </c>
      <c r="C43" s="26">
        <f>C44+C45</f>
        <v>-79812</v>
      </c>
      <c r="D43" s="26">
        <f>D44+D45</f>
        <v>-54692</v>
      </c>
      <c r="E43" s="26">
        <f>E44+E45</f>
        <v>-9984</v>
      </c>
      <c r="F43" s="26">
        <f aca="true" t="shared" si="16" ref="F43:N43">F44+F45</f>
        <v>-47256</v>
      </c>
      <c r="G43" s="26">
        <f t="shared" si="16"/>
        <v>-85328</v>
      </c>
      <c r="H43" s="26">
        <f t="shared" si="16"/>
        <v>-76492</v>
      </c>
      <c r="I43" s="26">
        <f>I44+I45</f>
        <v>-20932</v>
      </c>
      <c r="J43" s="26">
        <f>J44+J45</f>
        <v>-43800</v>
      </c>
      <c r="K43" s="26">
        <f>K44+K45</f>
        <v>-59552</v>
      </c>
      <c r="L43" s="26">
        <f>L44+L45</f>
        <v>-46700</v>
      </c>
      <c r="M43" s="26">
        <f t="shared" si="16"/>
        <v>-32724</v>
      </c>
      <c r="N43" s="26">
        <f t="shared" si="16"/>
        <v>-21172</v>
      </c>
      <c r="O43" s="25">
        <f aca="true" t="shared" si="17" ref="O43:O62">SUM(B43:N43)</f>
        <v>-655520</v>
      </c>
    </row>
    <row r="44" spans="1:26" ht="18.75" customHeight="1">
      <c r="A44" s="13" t="s">
        <v>56</v>
      </c>
      <c r="B44" s="20">
        <f>ROUND(-B9*$D$3,2)</f>
        <v>-77076</v>
      </c>
      <c r="C44" s="20">
        <f>ROUND(-C9*$D$3,2)</f>
        <v>-79812</v>
      </c>
      <c r="D44" s="20">
        <f>ROUND(-D9*$D$3,2)</f>
        <v>-54692</v>
      </c>
      <c r="E44" s="20">
        <f>ROUND(-E9*$D$3,2)</f>
        <v>-9984</v>
      </c>
      <c r="F44" s="20">
        <f aca="true" t="shared" si="18" ref="F44:N44">ROUND(-F9*$D$3,2)</f>
        <v>-47256</v>
      </c>
      <c r="G44" s="20">
        <f t="shared" si="18"/>
        <v>-85328</v>
      </c>
      <c r="H44" s="20">
        <f t="shared" si="18"/>
        <v>-76492</v>
      </c>
      <c r="I44" s="20">
        <f>ROUND(-I9*$D$3,2)</f>
        <v>-20932</v>
      </c>
      <c r="J44" s="20">
        <f>ROUND(-J9*$D$3,2)</f>
        <v>-43800</v>
      </c>
      <c r="K44" s="20">
        <f>ROUND(-K9*$D$3,2)</f>
        <v>-59552</v>
      </c>
      <c r="L44" s="20">
        <f>ROUND(-L9*$D$3,2)</f>
        <v>-46700</v>
      </c>
      <c r="M44" s="20">
        <f t="shared" si="18"/>
        <v>-32724</v>
      </c>
      <c r="N44" s="20">
        <f t="shared" si="18"/>
        <v>-21172</v>
      </c>
      <c r="O44" s="46">
        <f t="shared" si="17"/>
        <v>-655520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-35310.59</v>
      </c>
      <c r="C46" s="26">
        <f aca="true" t="shared" si="20" ref="C46:O46">SUM(C47:C57)</f>
        <v>-27480.16</v>
      </c>
      <c r="D46" s="26">
        <f t="shared" si="20"/>
        <v>-64623.95999999999</v>
      </c>
      <c r="E46" s="26">
        <f t="shared" si="20"/>
        <v>-31737.84</v>
      </c>
      <c r="F46" s="26">
        <f t="shared" si="20"/>
        <v>-59527.32</v>
      </c>
      <c r="G46" s="26">
        <f t="shared" si="20"/>
        <v>-91022.2</v>
      </c>
      <c r="H46" s="26">
        <f t="shared" si="20"/>
        <v>-13222.89</v>
      </c>
      <c r="I46" s="26">
        <f t="shared" si="20"/>
        <v>-14104</v>
      </c>
      <c r="J46" s="26">
        <f t="shared" si="20"/>
        <v>-23193.76</v>
      </c>
      <c r="K46" s="26">
        <f t="shared" si="20"/>
        <v>-24491.67</v>
      </c>
      <c r="L46" s="26">
        <f t="shared" si="20"/>
        <v>-99021.43</v>
      </c>
      <c r="M46" s="26">
        <f t="shared" si="20"/>
        <v>-10143.31</v>
      </c>
      <c r="N46" s="26">
        <f t="shared" si="20"/>
        <v>-7759.43</v>
      </c>
      <c r="O46" s="26">
        <f t="shared" si="20"/>
        <v>-501638.56</v>
      </c>
    </row>
    <row r="47" spans="1:26" ht="18.75" customHeight="1">
      <c r="A47" s="13" t="s">
        <v>59</v>
      </c>
      <c r="B47" s="24">
        <v>-35310.59</v>
      </c>
      <c r="C47" s="24">
        <v>-27480.16</v>
      </c>
      <c r="D47" s="24">
        <v>-41020.95</v>
      </c>
      <c r="E47" s="24">
        <v>-31737.84</v>
      </c>
      <c r="F47" s="24">
        <v>-20677.32</v>
      </c>
      <c r="G47" s="24">
        <v>-6447.2</v>
      </c>
      <c r="H47" s="24">
        <v>-13222.89</v>
      </c>
      <c r="I47" s="24">
        <v>-13104</v>
      </c>
      <c r="J47" s="24">
        <v>-23193.76</v>
      </c>
      <c r="K47" s="24">
        <v>-24491.67</v>
      </c>
      <c r="L47" s="24">
        <v>-25271.43</v>
      </c>
      <c r="M47" s="24">
        <v>-10143.31</v>
      </c>
      <c r="N47" s="24">
        <v>-7759.43</v>
      </c>
      <c r="O47" s="24">
        <f t="shared" si="17"/>
        <v>-279860.55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-500-23103.01</f>
        <v>-23603.01</v>
      </c>
      <c r="E49" s="24">
        <v>0</v>
      </c>
      <c r="F49" s="24">
        <f>-500-38350</f>
        <v>-38850</v>
      </c>
      <c r="G49" s="24">
        <f>-500-84075</f>
        <v>-84575</v>
      </c>
      <c r="H49" s="24">
        <v>0</v>
      </c>
      <c r="I49" s="24">
        <v>-1000</v>
      </c>
      <c r="J49" s="24">
        <v>0</v>
      </c>
      <c r="K49" s="24">
        <v>0</v>
      </c>
      <c r="L49" s="24">
        <v>-73750</v>
      </c>
      <c r="M49" s="24">
        <v>0</v>
      </c>
      <c r="N49" s="24">
        <v>0</v>
      </c>
      <c r="O49" s="24">
        <f t="shared" si="17"/>
        <v>-221778.01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108</v>
      </c>
      <c r="B58" s="27">
        <v>0</v>
      </c>
      <c r="C58" s="27">
        <v>0</v>
      </c>
      <c r="D58" s="27">
        <v>0</v>
      </c>
      <c r="E58" s="27">
        <v>0</v>
      </c>
      <c r="F58" s="27">
        <v>483484.24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483484.24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109</v>
      </c>
      <c r="B59" s="27">
        <v>-3920.97</v>
      </c>
      <c r="C59" s="27">
        <v>-1492.05</v>
      </c>
      <c r="D59" s="27">
        <v>-3132.15</v>
      </c>
      <c r="E59" s="27">
        <v>0</v>
      </c>
      <c r="F59" s="27">
        <v>694.05</v>
      </c>
      <c r="G59" s="27">
        <v>-8809.88</v>
      </c>
      <c r="H59" s="27">
        <v>-5112.99</v>
      </c>
      <c r="I59" s="27">
        <v>0</v>
      </c>
      <c r="J59" s="27">
        <v>-17985.45</v>
      </c>
      <c r="K59" s="27">
        <v>-41740.11</v>
      </c>
      <c r="L59" s="27">
        <v>-25804.53</v>
      </c>
      <c r="M59" s="27">
        <v>-2112.13</v>
      </c>
      <c r="N59" s="27">
        <v>-14435.59</v>
      </c>
      <c r="O59" s="24">
        <f t="shared" si="17"/>
        <v>-123851.8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32" t="s">
        <v>106</v>
      </c>
      <c r="B60" s="68">
        <v>0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-6165.95</v>
      </c>
      <c r="O60" s="24">
        <f t="shared" si="17"/>
        <v>-6165.95</v>
      </c>
    </row>
    <row r="61" spans="1:26" ht="18" customHeight="1">
      <c r="A61" s="2" t="s">
        <v>66</v>
      </c>
      <c r="B61" s="29">
        <f aca="true" t="shared" si="21" ref="B61:N61">+B36+B42</f>
        <v>1002412.5943999998</v>
      </c>
      <c r="C61" s="29">
        <f t="shared" si="21"/>
        <v>757426.2292</v>
      </c>
      <c r="D61" s="29">
        <f t="shared" si="21"/>
        <v>657840.9776000001</v>
      </c>
      <c r="E61" s="29">
        <f t="shared" si="21"/>
        <v>155187.0227</v>
      </c>
      <c r="F61" s="29">
        <f t="shared" si="21"/>
        <v>1141243.259</v>
      </c>
      <c r="G61" s="29">
        <f t="shared" si="21"/>
        <v>748740.4938</v>
      </c>
      <c r="H61" s="29">
        <f t="shared" si="21"/>
        <v>689004.0804000001</v>
      </c>
      <c r="I61" s="29">
        <f t="shared" si="21"/>
        <v>178991.7084</v>
      </c>
      <c r="J61" s="29">
        <f>+J36+J42</f>
        <v>841159.2566</v>
      </c>
      <c r="K61" s="29">
        <f>+K36+K42</f>
        <v>685161.1593999999</v>
      </c>
      <c r="L61" s="29">
        <f>+L36+L42</f>
        <v>740234.5334</v>
      </c>
      <c r="M61" s="29">
        <f t="shared" si="21"/>
        <v>423575.623</v>
      </c>
      <c r="N61" s="29">
        <f t="shared" si="21"/>
        <v>214151.24699999997</v>
      </c>
      <c r="O61" s="29">
        <f>SUM(B61:N61)</f>
        <v>8235128.184900001</v>
      </c>
      <c r="P61"/>
      <c r="Q61"/>
      <c r="R61"/>
      <c r="S61"/>
      <c r="T61"/>
      <c r="U61"/>
      <c r="V61"/>
      <c r="W61"/>
      <c r="X61"/>
      <c r="Y61"/>
      <c r="Z61"/>
    </row>
    <row r="62" spans="1:17" ht="18" customHeight="1">
      <c r="A62" s="34" t="s">
        <v>107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-4033.99</v>
      </c>
      <c r="H62" s="47">
        <v>-1612.13</v>
      </c>
      <c r="I62" s="47">
        <v>0</v>
      </c>
      <c r="J62" s="47">
        <v>-8647.07</v>
      </c>
      <c r="K62" s="47">
        <v>-27718.88</v>
      </c>
      <c r="L62" s="47">
        <v>-17085.96</v>
      </c>
      <c r="M62" s="47">
        <v>0</v>
      </c>
      <c r="N62" s="47">
        <v>-19586.93</v>
      </c>
      <c r="O62" s="47">
        <f t="shared" si="17"/>
        <v>-78684.95999999999</v>
      </c>
      <c r="Q62" s="69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67</v>
      </c>
      <c r="B64" s="36">
        <f>SUM(B65:B78)</f>
        <v>1002412.59</v>
      </c>
      <c r="C64" s="36">
        <f aca="true" t="shared" si="22" ref="C64:N64">SUM(C65:C78)</f>
        <v>757426.24</v>
      </c>
      <c r="D64" s="36">
        <f t="shared" si="22"/>
        <v>657840.98</v>
      </c>
      <c r="E64" s="36">
        <f t="shared" si="22"/>
        <v>155187.02</v>
      </c>
      <c r="F64" s="36">
        <f t="shared" si="22"/>
        <v>1141243.26</v>
      </c>
      <c r="G64" s="36">
        <f t="shared" si="22"/>
        <v>748740.49</v>
      </c>
      <c r="H64" s="36">
        <f t="shared" si="22"/>
        <v>689004.08</v>
      </c>
      <c r="I64" s="36">
        <f t="shared" si="22"/>
        <v>178991.71</v>
      </c>
      <c r="J64" s="36">
        <f t="shared" si="22"/>
        <v>841159.26</v>
      </c>
      <c r="K64" s="36">
        <f t="shared" si="22"/>
        <v>685161.16</v>
      </c>
      <c r="L64" s="36">
        <f t="shared" si="22"/>
        <v>740234.53</v>
      </c>
      <c r="M64" s="36">
        <f t="shared" si="22"/>
        <v>423575.62</v>
      </c>
      <c r="N64" s="36">
        <f t="shared" si="22"/>
        <v>214151.25</v>
      </c>
      <c r="O64" s="29">
        <f>SUM(O65:O78)</f>
        <v>8235128.19</v>
      </c>
    </row>
    <row r="65" spans="1:16" ht="18.75" customHeight="1">
      <c r="A65" s="17" t="s">
        <v>68</v>
      </c>
      <c r="B65" s="36">
        <f>188087.17+28.21</f>
        <v>188115.38</v>
      </c>
      <c r="C65" s="36">
        <f>213603.26+1202.7+251.78</f>
        <v>215057.74000000002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403173.12</v>
      </c>
      <c r="P65"/>
    </row>
    <row r="66" spans="1:16" ht="18.75" customHeight="1">
      <c r="A66" s="17" t="s">
        <v>69</v>
      </c>
      <c r="B66" s="36">
        <f>827.48+813469.73</f>
        <v>814297.21</v>
      </c>
      <c r="C66" s="36">
        <f>1173.06+541195.44</f>
        <v>542368.5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1356665.71</v>
      </c>
      <c r="P66"/>
    </row>
    <row r="67" spans="1:17" ht="18.75" customHeight="1">
      <c r="A67" s="17" t="s">
        <v>70</v>
      </c>
      <c r="B67" s="35">
        <v>0</v>
      </c>
      <c r="C67" s="35">
        <v>0</v>
      </c>
      <c r="D67" s="26">
        <f>650784.26+7056.72</f>
        <v>657840.98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657840.98</v>
      </c>
      <c r="Q67"/>
    </row>
    <row r="68" spans="1:18" ht="18.75" customHeight="1">
      <c r="A68" s="17" t="s">
        <v>71</v>
      </c>
      <c r="B68" s="35">
        <v>0</v>
      </c>
      <c r="C68" s="35">
        <v>0</v>
      </c>
      <c r="D68" s="35">
        <v>0</v>
      </c>
      <c r="E68" s="26">
        <v>155187.02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155187.02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1141243.26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1141243.26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748740.49</f>
        <v>748740.49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748740.49</v>
      </c>
      <c r="T70"/>
    </row>
    <row r="71" spans="1:21" ht="18.75" customHeight="1">
      <c r="A71" s="17" t="s">
        <v>98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689004.08</f>
        <v>689004.08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689004.08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178991.71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178991.71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841159.26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841159.26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685161.16</v>
      </c>
      <c r="L74" s="35">
        <v>0</v>
      </c>
      <c r="M74" s="35">
        <v>0</v>
      </c>
      <c r="N74" s="35">
        <v>0</v>
      </c>
      <c r="O74" s="29">
        <f t="shared" si="23"/>
        <v>685161.16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740234.53</v>
      </c>
      <c r="M75" s="35">
        <v>0</v>
      </c>
      <c r="N75" s="60">
        <v>0</v>
      </c>
      <c r="O75" s="26">
        <f t="shared" si="23"/>
        <v>740234.53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420364.31+3211.31</f>
        <v>423575.62</v>
      </c>
      <c r="N76" s="35">
        <v>0</v>
      </c>
      <c r="O76" s="29">
        <f t="shared" si="23"/>
        <v>423575.62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214151.25</v>
      </c>
      <c r="O77" s="26">
        <f t="shared" si="23"/>
        <v>214151.25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110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2.450641071876354</v>
      </c>
      <c r="C82" s="44">
        <v>2.606889238098283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83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84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89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90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91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92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5" t="s">
        <v>103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21" customHeight="1">
      <c r="A96" s="65" t="s">
        <v>113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7"/>
    </row>
    <row r="97" spans="1:14" ht="21" customHeight="1">
      <c r="A97" s="65" t="s">
        <v>112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7"/>
    </row>
    <row r="98" spans="1:14" ht="15.75">
      <c r="A98" s="70" t="s">
        <v>111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</row>
    <row r="100" ht="14.25">
      <c r="B100" s="40"/>
    </row>
    <row r="101" spans="8:9" ht="14.25">
      <c r="H101" s="41"/>
      <c r="I101" s="41"/>
    </row>
    <row r="103" spans="8:12" ht="14.25">
      <c r="H103" s="42"/>
      <c r="I103" s="42"/>
      <c r="J103" s="43"/>
      <c r="K103" s="43"/>
      <c r="L103" s="43"/>
    </row>
  </sheetData>
  <sheetProtection/>
  <mergeCells count="7">
    <mergeCell ref="A98:N98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2018-08-23T18:22:41Z</dcterms:modified>
  <cp:category/>
  <cp:version/>
  <cp:contentType/>
  <cp:contentStatus/>
</cp:coreProperties>
</file>