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1116" windowWidth="11196" windowHeight="7080" tabRatio="726" firstSheet="4" activeTab="6"/>
  </bookViews>
  <sheets>
    <sheet name="DADOS" sheetId="1" state="hidden" r:id="rId1"/>
    <sheet name="B.F. 05" sheetId="2" state="hidden" r:id="rId2"/>
    <sheet name="B.F. 00" sheetId="3" state="hidden" r:id="rId3"/>
    <sheet name="Balanço Financeiro " sheetId="4" state="hidden" r:id="rId4"/>
    <sheet name="Balancete Financeiro" sheetId="5" r:id="rId5"/>
    <sheet name="Balanço Orçamentário MCASP" sheetId="6" r:id="rId6"/>
    <sheet name="Anexos do BO" sheetId="7" r:id="rId7"/>
  </sheets>
  <definedNames>
    <definedName name="_xlnm.Print_Area" localSheetId="6">'Anexos do BO'!$A$1:$M$44</definedName>
    <definedName name="_xlnm.Print_Area" localSheetId="4">'Balancete Financeiro'!$A$1:$P$54</definedName>
    <definedName name="_xlnm.Print_Area" localSheetId="3">'Balanço Financeiro '!$A$1:$P$58</definedName>
    <definedName name="_xlnm.Print_Area" localSheetId="5">'Balanço Orçamentário MCASP'!$A$1:$M$79</definedName>
  </definedNames>
  <calcPr fullCalcOnLoad="1"/>
</workbook>
</file>

<file path=xl/comments1.xml><?xml version="1.0" encoding="utf-8"?>
<comments xmlns="http://schemas.openxmlformats.org/spreadsheetml/2006/main">
  <authors>
    <author>d835717</author>
    <author>Cleber Tavares de Souza</author>
    <author>d579973</author>
    <author>Carlos Benito Martinez</author>
  </authors>
  <commentList>
    <comment ref="A151" authorId="0">
      <text>
        <r>
          <rPr>
            <sz val="9"/>
            <rFont val="Tahoma"/>
            <family val="2"/>
          </rPr>
          <t xml:space="preserve">Desvinculação adicional de R$ 5.158.455,99 referente aos valores arrecadados até 31/12/2016 ajustado no saldo Caixa e Equivalente de Caixa. Processo SEI nº 6017.2017/0004407-8.
A SAÍDA FINANCEITO DESTA DESVINCULAÇÃO OCORRERÁ NA COMPETÊNCIA DE FEVEREIRO/2017.
</t>
        </r>
      </text>
    </comment>
    <comment ref="B63" authorId="0">
      <text>
        <r>
          <rPr>
            <sz val="9"/>
            <rFont val="Tahoma"/>
            <family val="2"/>
          </rPr>
          <t>Desvinculação adicional de R$ 15.262.094,25 referente aos valores arrecadados até 31/12/2017 ajustado no saldo Caixa e Equivalente de Caixa. Processo SEI nº 6017.2017/0004407-8.
A SAÍDA FINANCEITO DESTA DESVINCULAÇÃO OCORREREU NA COMPETÊNCIA DE JANEIRO 2018.</t>
        </r>
      </text>
    </comment>
    <comment ref="C63" authorId="0">
      <text>
        <r>
          <rPr>
            <sz val="9"/>
            <rFont val="Tahoma"/>
            <family val="2"/>
          </rPr>
          <t>Transferência financeira da Desvinculação adicional de R$ 15.262.094,25 referente aos valores arrecadados até 31/12/2017 ajustado no saldo Caixa e Equivalente de Caixa. A SAÍDA FINANCEIRA DESTA DESVINCULAÇÃO OCORREREU 31/01/2018.</t>
        </r>
      </text>
    </comment>
    <comment ref="A152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N165" authorId="1">
      <text>
        <r>
          <rPr>
            <sz val="9"/>
            <rFont val="Tahoma"/>
            <family val="2"/>
          </rPr>
          <t>29/12/2017 - RECLASSIFICAÇÃO CONTÁBIL PARA AVERBAÇÃO - Do recolhimento efetuado por meio da Guia de Remessa nº 110/2017, referente à doação ao FUMCAD, para fins de restituição, conforme despacho
as fls. 27 e solicitação as fls. 33 do processo nº 2017-0.042.588-5.</t>
        </r>
      </text>
    </comment>
    <comment ref="N166" authorId="1">
      <text>
        <r>
          <rPr>
            <sz val="9"/>
            <rFont val="Tahoma"/>
            <family val="2"/>
          </rPr>
          <t>29/12/2017 - RECLASSIFICAÇÃO CONTÁBIL PARA AVERBAÇÃO - Do recolhimento efetuado por meio do DRD nº 427/2017, referente à doação ao FUMCAD, para fins de restituição, conforme despacho as fls. 21 e
solicitação as fls. 26 do processo nº 2017-0.108.368-6.</t>
        </r>
      </text>
    </comment>
    <comment ref="A153" authorId="0">
      <text>
        <r>
          <rPr>
            <sz val="9"/>
            <rFont val="Tahoma"/>
            <family val="2"/>
          </rPr>
          <t xml:space="preserve">Desvinculação da Receita de R$ 15.480.496,12  referente aos valores arrecadados de janeiro a 14 de julho ajustado no saldo Caixa e Equivalente de Caixa. Processo SEI nº 6017.2017/0004407-8.
A SAÍDA FINANCEITO DESTA DESVINCULAÇÃO OCORRERÁ NA COMPETÊNCIA SEGUINTE.
</t>
        </r>
      </text>
    </comment>
    <comment ref="C16" authorId="2">
      <text>
        <r>
          <rPr>
            <b/>
            <sz val="9"/>
            <rFont val="Tahoma"/>
            <family val="2"/>
          </rPr>
          <t>Boletim da Receita Atualizada em -R$5.000,00 em fev/18</t>
        </r>
        <r>
          <rPr>
            <sz val="9"/>
            <rFont val="Tahoma"/>
            <family val="2"/>
          </rPr>
          <t xml:space="preserve">
</t>
        </r>
      </text>
    </comment>
    <comment ref="C163" authorId="1">
      <text>
        <r>
          <rPr>
            <sz val="9"/>
            <rFont val="Tahoma"/>
            <family val="2"/>
          </rPr>
          <t>Do valor R$5.000,00 debitado através da Guia de Remessa nº 135758/2017 na conta Créditos - FUMCAD, que reclassificamos para SAF 28460, conforme solicitação as fls. 41 do processo 2017-0.042.588-5.</t>
        </r>
      </text>
    </comment>
    <comment ref="B48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Conta Corrente SECRETARIA DA EDUCAÇÃO 
18.302-4</t>
        </r>
      </text>
    </comment>
    <comment ref="F166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recolhimento DRD n.7747/2017 pg.2/8 Fumcad Imposto de Renda códiog 28460, cta 1.7.70.00.0.1.1.01.00
retirar da planilha/mês de maio</t>
        </r>
      </text>
    </comment>
    <comment ref="F160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</t>
        </r>
      </text>
    </comment>
    <comment ref="F154" authorId="3">
      <text>
        <r>
          <rPr>
            <b/>
            <sz val="9"/>
            <rFont val="Tahoma"/>
            <family val="0"/>
          </rPr>
          <t>Carlos Benito Martinez:</t>
        </r>
        <r>
          <rPr>
            <sz val="9"/>
            <rFont val="Tahoma"/>
            <family val="0"/>
          </rPr>
          <t xml:space="preserve">
repasse para SME
decreto n.58.863/18</t>
        </r>
      </text>
    </comment>
  </commentList>
</comments>
</file>

<file path=xl/sharedStrings.xml><?xml version="1.0" encoding="utf-8"?>
<sst xmlns="http://schemas.openxmlformats.org/spreadsheetml/2006/main" count="652" uniqueCount="286">
  <si>
    <t>FUMCAD_ Fundo Municipal da Criança e do Adolescente</t>
  </si>
  <si>
    <t xml:space="preserve">Balancete Financeiro 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</si>
  <si>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</si>
  <si>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</si>
  <si>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</si>
  <si>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</si>
  <si>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</si>
  <si>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</si>
  <si>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</si>
  <si>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</si>
  <si>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</si>
  <si>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</si>
  <si>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</si>
  <si>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</si>
  <si>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</si>
  <si>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</si>
  <si>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</si>
  <si>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</si>
  <si>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</si>
  <si>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</si>
  <si>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</si>
  <si>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</si>
  <si>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</si>
  <si>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</si>
  <si>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</si>
  <si>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</si>
  <si>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</si>
  <si>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</si>
  <si>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</si>
  <si>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</si>
  <si>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</si>
  <si>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</si>
  <si>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</si>
  <si>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</si>
  <si>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</si>
  <si>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</si>
  <si>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</si>
  <si>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</si>
  <si>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</si>
  <si>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</si>
  <si>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</si>
  <si>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</si>
  <si>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</si>
  <si>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</si>
  <si>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</si>
  <si>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</si>
  <si>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</si>
  <si>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</si>
  <si>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</si>
  <si>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Analista de Planej. e Desenv. Organiz. - Contador</t>
  </si>
  <si>
    <t>SMDHC</t>
  </si>
  <si>
    <t>RECEITAS ORÇAMENTÁRIAS</t>
  </si>
  <si>
    <t>Receitas Correntes (I)</t>
  </si>
  <si>
    <t>Receita Tributária</t>
  </si>
  <si>
    <t>Receita de Contribuições</t>
  </si>
  <si>
    <t>Receita Agropecuária</t>
  </si>
  <si>
    <t>Receita de Serviços</t>
  </si>
  <si>
    <t>Transferências Correntes</t>
  </si>
  <si>
    <t>Outras Receitas Correntes</t>
  </si>
  <si>
    <t>Operações de Crédito</t>
  </si>
  <si>
    <t>Amortizações de Empréstimos</t>
  </si>
  <si>
    <t>Recursos Arrecadados em Exercícios Anteriores (III)</t>
  </si>
  <si>
    <t>Operações de Crédito Internas</t>
  </si>
  <si>
    <t>Operações de Crédito Externas</t>
  </si>
  <si>
    <t>Reabertura de Créditos Adicionais</t>
  </si>
  <si>
    <t>DESPESAS ORÇAMENTÁRIAS</t>
  </si>
  <si>
    <t>Despesas Empenhadas (g)</t>
  </si>
  <si>
    <t>Despesas Pagas (i)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</si>
  <si>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</si>
  <si>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</si>
  <si>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</si>
  <si>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</si>
  <si>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</si>
  <si>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</si>
  <si>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Amortização da Dívida Interna</t>
  </si>
  <si>
    <t>Outras Dívidas</t>
  </si>
  <si>
    <t>Amortização da Dívida Externa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</si>
  <si>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</si>
  <si>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</si>
  <si>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</si>
  <si>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</si>
  <si>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</si>
  <si>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</si>
  <si>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</si>
  <si>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</si>
  <si>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</si>
  <si>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</si>
  <si>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1.9.1.9.32.20.02.00</t>
  </si>
  <si>
    <t>RELATÓRIOS</t>
  </si>
  <si>
    <t>DIFERENÇA</t>
  </si>
  <si>
    <t>FONTE 05</t>
  </si>
  <si>
    <t>FONTE 00</t>
  </si>
  <si>
    <t>BOLETIM DA RECEITA POR FONTE E ORGÃO</t>
  </si>
  <si>
    <t>Receita Prevista</t>
  </si>
  <si>
    <t>Realizada no Mês</t>
  </si>
  <si>
    <t>Realizada até o Mês</t>
  </si>
  <si>
    <t>Conta Corrente</t>
  </si>
  <si>
    <t>Cód. 100738 - 8946-X</t>
  </si>
  <si>
    <t>Cód. 100738 - Aplicação</t>
  </si>
  <si>
    <t>Cód. 100071 - 5738-X</t>
  </si>
  <si>
    <t>Saldo Inicial</t>
  </si>
  <si>
    <t>FONTE 08 - Tesouro Municipal - Recursos Vinculados</t>
  </si>
  <si>
    <t>Realizada no Mês - CONCILIADO</t>
  </si>
  <si>
    <t>Realizada até o Mês - CONCILIADO</t>
  </si>
  <si>
    <t>FONTE 05 - Outras Fontes</t>
  </si>
  <si>
    <t>RAZÃO DE DISPONÍVEIS</t>
  </si>
  <si>
    <t>RAZÃO DE ARRECADAÇÃO</t>
  </si>
  <si>
    <t>(23239) - FUMCAD - Multas Judiciais</t>
  </si>
  <si>
    <t>Valores Indevidos (-)</t>
  </si>
  <si>
    <t>ACOMPANHAMENTO DE EXECUÇÃO ORÇAMENTÁRIA</t>
  </si>
  <si>
    <t>Empenhado Até o Mês</t>
  </si>
  <si>
    <t>Pago Até o Mês</t>
  </si>
  <si>
    <t>Liquidado Até o Mês</t>
  </si>
  <si>
    <t>Liquidado A Pagar</t>
  </si>
  <si>
    <t>NÃO Liquidado A Pagar</t>
  </si>
  <si>
    <t>POR FONTE RECURSO</t>
  </si>
  <si>
    <t>POR CONTA DE DESPESA</t>
  </si>
  <si>
    <t>Orçamento Inicial</t>
  </si>
  <si>
    <t>Orçamento Atualizado</t>
  </si>
  <si>
    <t>DESPESA CORRENTE</t>
  </si>
  <si>
    <t>DESPESA CAPITAL</t>
  </si>
  <si>
    <r>
      <t xml:space="preserve">ACOMPANHAMENTO DE EXECUÇÃO ORÇAMENTÁRIA - </t>
    </r>
    <r>
      <rPr>
        <b/>
        <i/>
        <sz val="10"/>
        <color indexed="8"/>
        <rFont val="Arial"/>
        <family val="2"/>
      </rPr>
      <t>RESTO A PAGAR</t>
    </r>
  </si>
  <si>
    <t>Não Processado</t>
  </si>
  <si>
    <t>Processado</t>
  </si>
  <si>
    <t>PAGAMENTO</t>
  </si>
  <si>
    <t>POR CONTA DE DESPESA - DESPESA CORRENTE</t>
  </si>
  <si>
    <t>SALDO TRANSFERIDO</t>
  </si>
  <si>
    <t>CANCELAMENTO</t>
  </si>
  <si>
    <t>POR CONTA DE DESPESA - DESPESA CAPITAL</t>
  </si>
  <si>
    <t>TOTAL GERAL</t>
  </si>
  <si>
    <t>Fonte:</t>
  </si>
  <si>
    <t>Notas Explicativas:</t>
  </si>
  <si>
    <t>Nome do Responsável e assinatura</t>
  </si>
  <si>
    <t>Cargo</t>
  </si>
  <si>
    <t>CRC</t>
  </si>
  <si>
    <t>Balanço Financeiro - FONTE 05</t>
  </si>
  <si>
    <t>Balanço Financeiro - FONTE 00</t>
  </si>
  <si>
    <t xml:space="preserve">     Retenção Extra</t>
  </si>
  <si>
    <t>PAGAMENTOS eE RESTOS A PAGAR PROCESSAeOS - TESOURO</t>
  </si>
  <si>
    <t>Cód. 100072 - 5737-1</t>
  </si>
  <si>
    <r>
      <t xml:space="preserve">A.E.O. - </t>
    </r>
    <r>
      <rPr>
        <b/>
        <i/>
        <sz val="10"/>
        <color indexed="8"/>
        <rFont val="Arial"/>
        <family val="2"/>
      </rPr>
      <t>RESTO A PAGAR - COMPETÊNCIAS ANTERIORES</t>
    </r>
  </si>
  <si>
    <t>TRANSFERÊNCIAS FINANCEIRAS RECEBIDAS (II)</t>
  </si>
  <si>
    <t>TRANSFERÊNCIAS FINANCEIRAS CONCEDIDAS (VII)</t>
  </si>
  <si>
    <t>Não Processado - FONTE 05</t>
  </si>
  <si>
    <t>Processado - FONTE 00</t>
  </si>
  <si>
    <t>Não Processado - FONTE 00</t>
  </si>
  <si>
    <t>Processado - FONTE 05</t>
  </si>
  <si>
    <t xml:space="preserve">RECEBIMENTOS EXTRAORÇAMENTÁRIOS (III)  </t>
  </si>
  <si>
    <t xml:space="preserve">PAGAMENTOS EXTRAORÇAMENTÁRIOS  (VIII)    </t>
  </si>
  <si>
    <t>RECURSO MÊS ANTERIOR</t>
  </si>
  <si>
    <t>TOTAL RECEBIMENTO ACUMULADO</t>
  </si>
  <si>
    <t>TOTAL PAGAMENTO ACUMULADO</t>
  </si>
  <si>
    <t>Cód. 100071 - Aplicação</t>
  </si>
  <si>
    <t>EXECUÇÃO DE RESTOS A PAGAR PROCESSADO E NÃO PROCESSADOS</t>
  </si>
  <si>
    <t>BALANÇO ORÇAMENTÁRIO</t>
  </si>
  <si>
    <t>ORÇAMENTOS FISCAL E DA SEGURIDADE SOCIAL</t>
  </si>
  <si>
    <t>Previsão Inicial (a)</t>
  </si>
  <si>
    <t>Previsão Atualizada (b)</t>
  </si>
  <si>
    <t>Receitas Realizadas ( c )</t>
  </si>
  <si>
    <t>Saldo d= (c-b)</t>
  </si>
  <si>
    <t>Receita Patrimonial</t>
  </si>
  <si>
    <t>Receita Industrial</t>
  </si>
  <si>
    <t>Receitas de Capital (II)</t>
  </si>
  <si>
    <t>Alienação de Bens</t>
  </si>
  <si>
    <t>Transferências de Capital</t>
  </si>
  <si>
    <t>Outras Receitas de Capital</t>
  </si>
  <si>
    <t>Mobiliária</t>
  </si>
  <si>
    <t>Contratual</t>
  </si>
  <si>
    <t>SALDOS DE EXERCÍCIO ANTERIORES</t>
  </si>
  <si>
    <t>Dotação Inicial (e)</t>
  </si>
  <si>
    <t>Dotação Atualizada (f)</t>
  </si>
  <si>
    <t>Despesas Liquidadas (h)</t>
  </si>
  <si>
    <t>Saldo da dotação (j) =(f-g)</t>
  </si>
  <si>
    <t>Dívida mobiliária</t>
  </si>
  <si>
    <t>Dívida Mobiliária</t>
  </si>
  <si>
    <t>1.9.1.9.32.20.02.00 - FUMCAD - Multas Decorrentes De Sentenças Judiciais</t>
  </si>
  <si>
    <t>Cód. 100991 - 18114-X</t>
  </si>
  <si>
    <t>Exercício Anterior</t>
  </si>
  <si>
    <t>RENDIMENTO FINANCEIRO DA TRANSFERÊNCIA PARA EDUCAÇÃO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</si>
  <si>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</si>
  <si>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r>
      <t xml:space="preserve">6. </t>
    </r>
    <r>
      <rPr>
        <b/>
        <sz val="7"/>
        <rFont val="Arial"/>
        <family val="2"/>
      </rPr>
      <t>Outros Pagamentos Extraorçamentários</t>
    </r>
  </si>
  <si>
    <t>Ajuste - Desvinculação de Receita 2017</t>
  </si>
  <si>
    <t>Saida de recurso para pagamento D+1 a ser realizado no mês seguinte</t>
  </si>
  <si>
    <t>RECURSOS A RECEBER</t>
  </si>
  <si>
    <t>RECURSOS A RECEBER - CC 18114-5</t>
  </si>
  <si>
    <t>CC 18114-5 - Créditos – FUMCAD - aguardando conciliação</t>
  </si>
  <si>
    <t>Reclassificação da Arrecadação</t>
  </si>
  <si>
    <t>Supervisora de Execução Orçamentária e Financeiro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</si>
  <si>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</si>
  <si>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6.1. Trata-se de recursos extraorçamentários reclassificados como orçamentários, reclassificação entre contas de receitas e transferências de recursos para pagamentos a serem realizados na competência seguinte.</t>
  </si>
  <si>
    <t>CRC 1SP148226/O</t>
  </si>
  <si>
    <t>FUMCAD - Fundo Municipal da Criança e do Adolescente</t>
  </si>
  <si>
    <t>DESVINCULAÇÃO ADICIONAL DA RECEITA - R$5.158.455,99</t>
  </si>
  <si>
    <t>Eloisa de Sousa Arruda</t>
  </si>
  <si>
    <t>CPF: 064.531.768-31</t>
  </si>
  <si>
    <t>Reclassificação Mensal - devolução por meio depósito judicial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</si>
  <si>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</si>
  <si>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DESVINCULAÇÃO ADICIONAL DA RECEITA - R$15.480.496,12</t>
  </si>
  <si>
    <t>Superávit Financeiro</t>
  </si>
  <si>
    <t>Débora Eduarda Rezende Sindona</t>
  </si>
  <si>
    <t>DESVINCULAÇÃO ADICIONAL DA RECEITA - R$15.262.094,25</t>
  </si>
  <si>
    <t>1.3.2.1.00.5.1.01.06.022.001.11.01.000 - FUMCAD</t>
  </si>
  <si>
    <t>1.7.7.0.00.1.1.00.00.000.000.11.01.000 - FUMCAD - Imposto de Renda</t>
  </si>
  <si>
    <t>1.9.9.0.99.1.1.05.00.000.000.11.01.000 - FUMCAD</t>
  </si>
  <si>
    <t>1.3.2.1.00.5.1.01.06.022.001.11.01.000</t>
  </si>
  <si>
    <t>1.7.7.0.00.1.1.00.00.000.000.11.01.000</t>
  </si>
  <si>
    <t xml:space="preserve">1.9.9.0.99.1.1.05.00.000.000.11.01.000 </t>
  </si>
  <si>
    <t>1.9.2.2.99.1.1.01.00.000.000.11.01.000</t>
  </si>
  <si>
    <t>1.9.2.2.99.1.1.01.00.000.000.11.01.000 - FUMCAD - Outras Restituições</t>
  </si>
  <si>
    <t>(25955) - FUMCAD</t>
  </si>
  <si>
    <t>(28460) - FUMCAD - Imposto de Renda</t>
  </si>
  <si>
    <t>(28746) - FUMCAD - Outras Restit.</t>
  </si>
  <si>
    <t>(28988) FUMCAD</t>
  </si>
  <si>
    <t>C - Créditos - FUMCAD (31160) - Integração Arrecadação - Apropriação</t>
  </si>
  <si>
    <t>C - Créditos de Repasse FUMCAD (31371) - Integração Arrecadação - Reclassificação</t>
  </si>
  <si>
    <t>4.1. Saldo Inicial ajustado em R$15.262.094,25 em virtude da não transferência financeira, em dezembro 2017, do valor adicional da desvinculação para o Tesouro.</t>
  </si>
  <si>
    <t>5.1. Trata-se da conciliação dos boletos de arrecadações dos créditos e recursos extraorçamentários a apropriar.</t>
  </si>
  <si>
    <t>2. Os documentos que serviram de base para sua apresentação, encontram-se encartados no Processo SEI nº 6074.2018/0000181-9.</t>
  </si>
  <si>
    <t>D - Aprop. em F.IR dos Créditos – FUMCAD de aprop. como rec. da compet. anterior</t>
  </si>
  <si>
    <t>Valores RENDIMENTO DA CONTA SME - PROJETO MAIS ESCOLA</t>
  </si>
  <si>
    <t>D - Créditos - FUMCAD (31160) - Integração Arrecadação - Apropriação</t>
  </si>
  <si>
    <t>RESTOS A PAGAR  PROCESSADO</t>
  </si>
  <si>
    <t>RESTOS A PAGAR NÃO PROCESSADO</t>
  </si>
  <si>
    <t>5.2. Do valor R$5.000,00 debitado através da Guia de Remessa nº 135758/2017 na conta Créditos - FUMCAD, que reclassificamos para SAF 28460, conforme solicitação as fls. 41 do processo 2017-0.042.588-5.</t>
  </si>
  <si>
    <t xml:space="preserve">EMPENHOS NÃO LIQUIDADOS A PAGAR </t>
  </si>
  <si>
    <t xml:space="preserve">EMPENHOS LIQUIDADOS A PAGAR </t>
  </si>
  <si>
    <t xml:space="preserve">CAIXA E EQUIVALENTES DE CAIXA </t>
  </si>
  <si>
    <t>Carlos Benito Martinez</t>
  </si>
  <si>
    <t>CRC 1SP124487/O-6</t>
  </si>
  <si>
    <t>transferencia mais escolas</t>
  </si>
  <si>
    <t>3.1. Redimentos financeiros, do recurso transferido para o Projeto Mais Escola , repassados para SME (MAIS O REPASSE COMPLEMENTAR DO PROJETO MAIS ESCOLA DECRETO Nº 58.163/2018</t>
  </si>
  <si>
    <t>5.3. Recolhimento efetuado por meio de DRD nº 774/2017, ref. valor depositado ao FUMCAD de R$ 200,00, ofício nº 576/2016 do TJSP, cf. fls. 26 do processo 2017-0.120.214-6</t>
  </si>
  <si>
    <t>Sec.Munic.de Direitos Humanos e Cidadania</t>
  </si>
  <si>
    <t xml:space="preserve">PAGAMENTOS DE RESTOS A PAGAR NÃO PROCESSADOS </t>
  </si>
  <si>
    <t xml:space="preserve">PAGAMENTOS DE RESTOS A PAGAR PROCESSADOS </t>
  </si>
  <si>
    <t>-</t>
  </si>
  <si>
    <t>MAIO 2018</t>
  </si>
  <si>
    <t>5.4. Recebimento  atraves de determinação judicial no valor de R$ 4.389.91, tratado no processo  SEI 6021.2018/0009647-0, conforme informado por SF / Sutem/Didis.</t>
  </si>
  <si>
    <t>6.2. Saida de Recursos  no mês seguinte, no importe de R$ 502.115,50, sendo a data de pagamento  em 01/06/2018 - NLP 102420;102410;102420, conforme email de SF/Sutem/Didis.</t>
  </si>
  <si>
    <t>7.0 Exercício anteriior Maio 2017</t>
  </si>
  <si>
    <t>FMID - Fundo Municipal do Idoso</t>
  </si>
  <si>
    <t>Berenice Maria Giannella</t>
  </si>
  <si>
    <t>CPF: 119.045.358-44</t>
  </si>
  <si>
    <t>SUBTOTAL DAS RECEITAS (III) = (I + II )</t>
  </si>
  <si>
    <t>Operações de Crédito / Refinanciamento (IV)</t>
  </si>
  <si>
    <t>SUBTOTAL COM REFINANCIAMENTO (V) = (III + IV)</t>
  </si>
  <si>
    <t>Déficit (VI)</t>
  </si>
  <si>
    <t>TOTAL (VII) = (V + VI)</t>
  </si>
  <si>
    <t xml:space="preserve">Recursos Arrecadados em Exercícios Anteriores </t>
  </si>
  <si>
    <t>Despesas Correntes ( VIII)</t>
  </si>
  <si>
    <t>Despesas de Capital (IX)</t>
  </si>
  <si>
    <t>Reserva de Contingência (X)</t>
  </si>
  <si>
    <t>Amortização da Dívida/ Refinanciamento (XII)</t>
  </si>
  <si>
    <t>SUBTOTAL COM REFINANCIAMENTO (XIII)= (XI + XII)</t>
  </si>
  <si>
    <t>Superávit (XIII)</t>
  </si>
  <si>
    <t>TOTAL (XIV) = (XII + XIII)</t>
  </si>
  <si>
    <t>Reserva do RPPS</t>
  </si>
  <si>
    <t>SUBTOTAL DAS DESPESAS (XI) = ( XIII+IX+X)</t>
  </si>
  <si>
    <t>Pagos ( c)</t>
  </si>
  <si>
    <t>Cancelados (d)</t>
  </si>
  <si>
    <t>Saldo (e)= (a+b-c-d)</t>
  </si>
  <si>
    <t>2. Os documentos que serviram de base para sua apresentação, encontram-se encartados no Processo SEI nº  60.74.2019/0000/161-6</t>
  </si>
  <si>
    <t>3.Receita Patrimonial - Rendimentos de Aplicação Financeira</t>
  </si>
  <si>
    <t>Fonte: Relatórios do Sistema SOF</t>
  </si>
  <si>
    <t>3. Modelo do MCASP - 8ª edição, a partir do exercício de 2019.</t>
  </si>
  <si>
    <t xml:space="preserve"> </t>
  </si>
  <si>
    <t>2.Os documentos que serviram de base para sua apresentação, encontram-se encartados no Processo SEI nº  60.74.2019/0000/161-6</t>
  </si>
  <si>
    <t>1. Em observância a Portaria SF nº 266, de Outubro de 2016.</t>
  </si>
  <si>
    <t>1.Em observância a Portaria SF nº 266, de Outubro de 2016.</t>
  </si>
  <si>
    <t xml:space="preserve">Inês Aparecida da Costa Figueiredo Santos </t>
  </si>
  <si>
    <t>Diretora  de Divisão Técnica</t>
  </si>
  <si>
    <t>CRC 1SP256806/O-2</t>
  </si>
  <si>
    <t>Diretora de Divisão Técnica</t>
  </si>
  <si>
    <t xml:space="preserve">Sec.Munic.de Direitos Humanos e Cidadania 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</si>
  <si>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17.021 de 27 de Dezembro de 2018, que estima a receita e fixa a despesa para o exercício de 2019.</t>
    </r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</si>
  <si>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17.021 de 27 de Dezembro de 2018, que estima a receita e fixa a despesa para o exercício de 2019.</t>
    </r>
  </si>
  <si>
    <t xml:space="preserve">   é a DRD nº 2322/2019, em créditos a regularizar ( receita -extra),  até a sua  devida regularização.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</si>
  <si>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</si>
  <si>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</si>
  <si>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</si>
  <si>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 Desvinculação das Receitas Muncipais, ref. a Portaria SF nº 217 de 06/08/2019, DOC 07/08/2019 - Vr. 5.623,67 e orientação SF/DECON, processo SEI 6017.2017.0004407-8</t>
  </si>
  <si>
    <r>
      <t xml:space="preserve">7.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</si>
  <si>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17.021 de 27 de Dezembro de 2018, que estima a receita e fixa a despesa para o exercício de 2019.</t>
    </r>
  </si>
  <si>
    <r>
      <t>4.</t>
    </r>
    <r>
      <rPr>
        <b/>
        <sz val="9"/>
        <rFont val="Arial"/>
        <family val="2"/>
      </rPr>
      <t>Outros Recebimentos Extra-Orçamentários</t>
    </r>
    <r>
      <rPr>
        <sz val="9"/>
        <rFont val="Arial"/>
        <family val="2"/>
      </rPr>
      <t xml:space="preserve">  - Não foi apropriado a receita orçamentária no valor de R$ 2.230,00 por SF no sistema SOF,matéria que esta sendo  tratada no processo 2016.0.202.438-0. O documento emitido </t>
    </r>
  </si>
  <si>
    <t xml:space="preserve">OUTUBRO 2019  </t>
  </si>
  <si>
    <t>COMPETÊNCIA: OUTUBRO 2019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</si>
</sst>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  <numFmt numFmtId="192" formatCode="#,##0.00_ ;\-#,##0.00\ "/>
  </numFmts>
  <fonts count="63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5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9"/>
      <name val="Tahoma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8.15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7"/>
      <color indexed="10"/>
      <name val="Arial"/>
      <family val="2"/>
    </font>
    <font>
      <sz val="8"/>
      <color indexed="9"/>
      <name val="Arial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50">
    <xf numFmtId="0" fontId="0" fillId="0" borderId="0" xfId="0" applyAlignment="1">
      <alignment vertical="top"/>
    </xf>
    <xf numFmtId="0" fontId="23" fillId="0" borderId="0" xfId="0" applyFont="1" applyFill="1" applyAlignment="1">
      <alignment vertical="center"/>
    </xf>
    <xf numFmtId="43" fontId="23" fillId="0" borderId="0" xfId="55" applyFont="1" applyFill="1" applyAlignment="1">
      <alignment vertical="center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164" fontId="25" fillId="0" borderId="11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5" fontId="23" fillId="0" borderId="0" xfId="55" applyNumberFormat="1" applyFont="1" applyFill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4" fontId="25" fillId="0" borderId="1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5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166" fontId="21" fillId="6" borderId="13" xfId="55" applyNumberFormat="1" applyFont="1" applyFill="1" applyBorder="1" applyAlignment="1">
      <alignment/>
    </xf>
    <xf numFmtId="166" fontId="1" fillId="0" borderId="12" xfId="55" applyNumberFormat="1" applyFont="1" applyBorder="1" applyAlignment="1">
      <alignment/>
    </xf>
    <xf numFmtId="166" fontId="21" fillId="6" borderId="10" xfId="55" applyNumberFormat="1" applyFont="1" applyFill="1" applyBorder="1" applyAlignment="1">
      <alignment/>
    </xf>
    <xf numFmtId="166" fontId="1" fillId="0" borderId="12" xfId="51" applyNumberFormat="1" applyBorder="1">
      <alignment/>
      <protection/>
    </xf>
    <xf numFmtId="166" fontId="1" fillId="6" borderId="11" xfId="51" applyNumberFormat="1" applyFill="1" applyBorder="1">
      <alignment/>
      <protection/>
    </xf>
    <xf numFmtId="0" fontId="21" fillId="0" borderId="0" xfId="51" applyFont="1">
      <alignment/>
      <protection/>
    </xf>
    <xf numFmtId="166" fontId="1" fillId="6" borderId="13" xfId="55" applyNumberFormat="1" applyFont="1" applyFill="1" applyBorder="1" applyAlignment="1">
      <alignment/>
    </xf>
    <xf numFmtId="166" fontId="21" fillId="6" borderId="10" xfId="51" applyNumberFormat="1" applyFont="1" applyFill="1" applyBorder="1">
      <alignment/>
      <protection/>
    </xf>
    <xf numFmtId="43" fontId="1" fillId="6" borderId="13" xfId="55" applyFont="1" applyFill="1" applyBorder="1" applyAlignment="1">
      <alignment/>
    </xf>
    <xf numFmtId="0" fontId="1" fillId="0" borderId="11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1" fillId="0" borderId="0" xfId="51" applyAlignment="1">
      <alignment horizontal="center" vertical="center" wrapText="1"/>
      <protection/>
    </xf>
    <xf numFmtId="0" fontId="1" fillId="0" borderId="12" xfId="51" applyBorder="1">
      <alignment/>
      <protection/>
    </xf>
    <xf numFmtId="43" fontId="21" fillId="6" borderId="10" xfId="55" applyFont="1" applyFill="1" applyBorder="1" applyAlignment="1">
      <alignment/>
    </xf>
    <xf numFmtId="0" fontId="21" fillId="0" borderId="12" xfId="51" applyFont="1" applyFill="1" applyBorder="1">
      <alignment/>
      <protection/>
    </xf>
    <xf numFmtId="43" fontId="21" fillId="6" borderId="10" xfId="51" applyNumberFormat="1" applyFont="1" applyFill="1" applyBorder="1">
      <alignment/>
      <protection/>
    </xf>
    <xf numFmtId="43" fontId="21" fillId="0" borderId="0" xfId="51" applyNumberFormat="1" applyFont="1" applyAlignment="1">
      <alignment horizontal="center"/>
      <protection/>
    </xf>
    <xf numFmtId="0" fontId="21" fillId="6" borderId="14" xfId="51" applyFont="1" applyFill="1" applyBorder="1" applyAlignment="1">
      <alignment horizontal="center" vertical="center" wrapText="1"/>
      <protection/>
    </xf>
    <xf numFmtId="0" fontId="21" fillId="6" borderId="15" xfId="51" applyFont="1" applyFill="1" applyBorder="1" applyAlignment="1">
      <alignment horizontal="center" wrapText="1"/>
      <protection/>
    </xf>
    <xf numFmtId="0" fontId="21" fillId="6" borderId="15" xfId="51" applyFont="1" applyFill="1" applyBorder="1">
      <alignment/>
      <protection/>
    </xf>
    <xf numFmtId="166" fontId="21" fillId="6" borderId="14" xfId="55" applyNumberFormat="1" applyFont="1" applyFill="1" applyBorder="1" applyAlignment="1">
      <alignment/>
    </xf>
    <xf numFmtId="166" fontId="21" fillId="6" borderId="15" xfId="55" applyNumberFormat="1" applyFont="1" applyFill="1" applyBorder="1" applyAlignment="1">
      <alignment/>
    </xf>
    <xf numFmtId="166" fontId="21" fillId="6" borderId="16" xfId="55" applyNumberFormat="1" applyFont="1" applyFill="1" applyBorder="1" applyAlignment="1">
      <alignment/>
    </xf>
    <xf numFmtId="0" fontId="1" fillId="0" borderId="17" xfId="51" applyBorder="1">
      <alignment/>
      <protection/>
    </xf>
    <xf numFmtId="166" fontId="1" fillId="0" borderId="18" xfId="51" applyNumberFormat="1" applyBorder="1">
      <alignment/>
      <protection/>
    </xf>
    <xf numFmtId="166" fontId="1" fillId="0" borderId="17" xfId="51" applyNumberFormat="1" applyBorder="1">
      <alignment/>
      <protection/>
    </xf>
    <xf numFmtId="166" fontId="1" fillId="0" borderId="19" xfId="51" applyNumberFormat="1" applyBorder="1">
      <alignment/>
      <protection/>
    </xf>
    <xf numFmtId="166" fontId="1" fillId="0" borderId="17" xfId="55" applyNumberFormat="1" applyFont="1" applyBorder="1" applyAlignment="1">
      <alignment/>
    </xf>
    <xf numFmtId="166" fontId="1" fillId="0" borderId="18" xfId="55" applyNumberFormat="1" applyFont="1" applyBorder="1" applyAlignment="1">
      <alignment/>
    </xf>
    <xf numFmtId="0" fontId="1" fillId="0" borderId="20" xfId="51" applyBorder="1">
      <alignment/>
      <protection/>
    </xf>
    <xf numFmtId="166" fontId="1" fillId="0" borderId="21" xfId="51" applyNumberFormat="1" applyBorder="1">
      <alignment/>
      <protection/>
    </xf>
    <xf numFmtId="166" fontId="21" fillId="6" borderId="15" xfId="51" applyNumberFormat="1" applyFont="1" applyFill="1" applyBorder="1">
      <alignment/>
      <protection/>
    </xf>
    <xf numFmtId="0" fontId="21" fillId="6" borderId="14" xfId="51" applyFont="1" applyFill="1" applyBorder="1">
      <alignment/>
      <protection/>
    </xf>
    <xf numFmtId="0" fontId="1" fillId="0" borderId="22" xfId="51" applyBorder="1">
      <alignment/>
      <protection/>
    </xf>
    <xf numFmtId="166" fontId="1" fillId="0" borderId="17" xfId="55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11" fillId="0" borderId="10" xfId="0" applyFont="1" applyFill="1" applyBorder="1" applyAlignment="1">
      <alignment horizontal="left" vertical="top"/>
    </xf>
    <xf numFmtId="0" fontId="33" fillId="8" borderId="10" xfId="0" applyFont="1" applyFill="1" applyBorder="1" applyAlignment="1">
      <alignment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8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8" borderId="10" xfId="0" applyFill="1" applyBorder="1" applyAlignment="1">
      <alignment vertical="top"/>
    </xf>
    <xf numFmtId="0" fontId="0" fillId="8" borderId="0" xfId="0" applyFill="1" applyBorder="1" applyAlignment="1">
      <alignment horizontal="center" vertical="center" wrapText="1"/>
    </xf>
    <xf numFmtId="0" fontId="33" fillId="8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vertical="top"/>
    </xf>
    <xf numFmtId="165" fontId="0" fillId="18" borderId="10" xfId="0" applyNumberFormat="1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Alignment="1">
      <alignment vertical="top"/>
    </xf>
    <xf numFmtId="165" fontId="0" fillId="8" borderId="0" xfId="0" applyNumberFormat="1" applyFill="1" applyBorder="1" applyAlignment="1">
      <alignment vertical="top"/>
    </xf>
    <xf numFmtId="40" fontId="0" fillId="0" borderId="10" xfId="0" applyNumberFormat="1" applyBorder="1" applyAlignment="1">
      <alignment vertical="top"/>
    </xf>
    <xf numFmtId="164" fontId="23" fillId="11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 wrapText="1" readingOrder="1"/>
    </xf>
    <xf numFmtId="0" fontId="23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 readingOrder="1"/>
    </xf>
    <xf numFmtId="0" fontId="35" fillId="0" borderId="0" xfId="0" applyFont="1" applyFill="1" applyAlignment="1">
      <alignment horizontal="center" vertical="center"/>
    </xf>
    <xf numFmtId="0" fontId="33" fillId="0" borderId="23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4" fontId="23" fillId="19" borderId="12" xfId="0" applyNumberFormat="1" applyFont="1" applyFill="1" applyBorder="1" applyAlignment="1">
      <alignment vertical="center"/>
    </xf>
    <xf numFmtId="49" fontId="1" fillId="0" borderId="0" xfId="51" applyNumberFormat="1">
      <alignment/>
      <protection/>
    </xf>
    <xf numFmtId="17" fontId="32" fillId="6" borderId="24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center" wrapText="1"/>
    </xf>
    <xf numFmtId="0" fontId="33" fillId="5" borderId="10" xfId="0" applyFon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vertical="top"/>
    </xf>
    <xf numFmtId="165" fontId="11" fillId="5" borderId="10" xfId="0" applyNumberFormat="1" applyFont="1" applyFill="1" applyBorder="1" applyAlignment="1">
      <alignment vertical="top"/>
    </xf>
    <xf numFmtId="0" fontId="11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 wrapText="1"/>
    </xf>
    <xf numFmtId="0" fontId="36" fillId="19" borderId="10" xfId="0" applyFont="1" applyFill="1" applyBorder="1" applyAlignment="1">
      <alignment horizontal="center" vertical="center" wrapText="1"/>
    </xf>
    <xf numFmtId="165" fontId="37" fillId="19" borderId="10" xfId="0" applyNumberFormat="1" applyFont="1" applyFill="1" applyBorder="1" applyAlignment="1">
      <alignment vertical="top"/>
    </xf>
    <xf numFmtId="0" fontId="33" fillId="20" borderId="10" xfId="0" applyFont="1" applyFill="1" applyBorder="1" applyAlignment="1">
      <alignment horizontal="center" vertical="center" wrapText="1"/>
    </xf>
    <xf numFmtId="165" fontId="0" fillId="20" borderId="10" xfId="0" applyNumberForma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center"/>
    </xf>
    <xf numFmtId="164" fontId="39" fillId="19" borderId="12" xfId="0" applyNumberFormat="1" applyFont="1" applyFill="1" applyBorder="1" applyAlignment="1">
      <alignment vertical="center"/>
    </xf>
    <xf numFmtId="164" fontId="39" fillId="0" borderId="12" xfId="0" applyNumberFormat="1" applyFont="1" applyFill="1" applyBorder="1" applyAlignment="1">
      <alignment vertical="center"/>
    </xf>
    <xf numFmtId="164" fontId="38" fillId="0" borderId="12" xfId="0" applyNumberFormat="1" applyFont="1" applyFill="1" applyBorder="1" applyAlignment="1">
      <alignment vertical="center"/>
    </xf>
    <xf numFmtId="0" fontId="32" fillId="0" borderId="0" xfId="0" applyFont="1" applyAlignment="1">
      <alignment vertical="top"/>
    </xf>
    <xf numFmtId="0" fontId="34" fillId="18" borderId="10" xfId="0" applyFont="1" applyFill="1" applyBorder="1" applyAlignment="1">
      <alignment horizontal="center" vertical="center" wrapText="1"/>
    </xf>
    <xf numFmtId="165" fontId="32" fillId="18" borderId="10" xfId="0" applyNumberFormat="1" applyFont="1" applyFill="1" applyBorder="1" applyAlignment="1">
      <alignment vertical="top"/>
    </xf>
    <xf numFmtId="40" fontId="0" fillId="0" borderId="0" xfId="0" applyNumberFormat="1" applyAlignment="1">
      <alignment vertical="top"/>
    </xf>
    <xf numFmtId="165" fontId="11" fillId="0" borderId="10" xfId="0" applyNumberFormat="1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40" fontId="0" fillId="0" borderId="10" xfId="0" applyNumberFormat="1" applyFill="1" applyBorder="1" applyAlignment="1">
      <alignment vertical="top"/>
    </xf>
    <xf numFmtId="43" fontId="23" fillId="0" borderId="0" xfId="55" applyFont="1" applyFill="1" applyAlignment="1">
      <alignment horizontal="left" vertical="center" readingOrder="1"/>
    </xf>
    <xf numFmtId="43" fontId="1" fillId="0" borderId="12" xfId="55" applyFont="1" applyFill="1" applyBorder="1" applyAlignment="1">
      <alignment/>
    </xf>
    <xf numFmtId="43" fontId="1" fillId="0" borderId="12" xfId="51" applyNumberFormat="1" applyFill="1" applyBorder="1">
      <alignment/>
      <protection/>
    </xf>
    <xf numFmtId="166" fontId="1" fillId="0" borderId="18" xfId="51" applyNumberFormat="1" applyFill="1" applyBorder="1">
      <alignment/>
      <protection/>
    </xf>
    <xf numFmtId="166" fontId="1" fillId="0" borderId="18" xfId="55" applyNumberFormat="1" applyFont="1" applyFill="1" applyBorder="1" applyAlignment="1">
      <alignment/>
    </xf>
    <xf numFmtId="166" fontId="1" fillId="0" borderId="17" xfId="51" applyNumberFormat="1" applyFill="1" applyBorder="1">
      <alignment/>
      <protection/>
    </xf>
    <xf numFmtId="0" fontId="41" fillId="0" borderId="0" xfId="0" applyFont="1" applyFill="1" applyAlignment="1">
      <alignment vertical="center" readingOrder="1"/>
    </xf>
    <xf numFmtId="0" fontId="42" fillId="0" borderId="0" xfId="0" applyFont="1" applyFill="1" applyAlignment="1">
      <alignment vertical="center" readingOrder="1"/>
    </xf>
    <xf numFmtId="164" fontId="42" fillId="0" borderId="0" xfId="0" applyNumberFormat="1" applyFont="1" applyFill="1" applyAlignment="1">
      <alignment vertical="center"/>
    </xf>
    <xf numFmtId="164" fontId="4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readingOrder="1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Alignment="1">
      <alignment vertical="center"/>
    </xf>
    <xf numFmtId="43" fontId="43" fillId="0" borderId="0" xfId="55" applyFont="1" applyFill="1" applyAlignment="1">
      <alignment horizontal="right" vertical="center"/>
    </xf>
    <xf numFmtId="165" fontId="46" fillId="18" borderId="10" xfId="0" applyNumberFormat="1" applyFont="1" applyFill="1" applyBorder="1" applyAlignment="1">
      <alignment vertical="top"/>
    </xf>
    <xf numFmtId="40" fontId="13" fillId="0" borderId="10" xfId="0" applyNumberFormat="1" applyFont="1" applyBorder="1" applyAlignment="1">
      <alignment vertical="top"/>
    </xf>
    <xf numFmtId="165" fontId="13" fillId="0" borderId="10" xfId="0" applyNumberFormat="1" applyFont="1" applyBorder="1" applyAlignment="1">
      <alignment vertical="top"/>
    </xf>
    <xf numFmtId="43" fontId="0" fillId="0" borderId="0" xfId="55" applyFont="1" applyAlignment="1">
      <alignment vertical="top"/>
    </xf>
    <xf numFmtId="0" fontId="44" fillId="0" borderId="0" xfId="0" applyFont="1" applyFill="1" applyAlignment="1">
      <alignment vertical="center" wrapText="1" readingOrder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25" fillId="17" borderId="24" xfId="0" applyFont="1" applyFill="1" applyBorder="1" applyAlignment="1">
      <alignment horizontal="center" vertical="center" readingOrder="1"/>
    </xf>
    <xf numFmtId="164" fontId="23" fillId="0" borderId="26" xfId="0" applyNumberFormat="1" applyFont="1" applyFill="1" applyBorder="1" applyAlignment="1">
      <alignment vertical="center"/>
    </xf>
    <xf numFmtId="164" fontId="23" fillId="0" borderId="27" xfId="0" applyNumberFormat="1" applyFont="1" applyFill="1" applyBorder="1" applyAlignment="1">
      <alignment vertical="center"/>
    </xf>
    <xf numFmtId="164" fontId="23" fillId="0" borderId="28" xfId="0" applyNumberFormat="1" applyFont="1" applyFill="1" applyBorder="1" applyAlignment="1">
      <alignment vertical="center"/>
    </xf>
    <xf numFmtId="9" fontId="29" fillId="0" borderId="0" xfId="53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4" fontId="23" fillId="0" borderId="0" xfId="55" applyNumberFormat="1" applyFont="1" applyFill="1" applyAlignment="1">
      <alignment horizontal="right" vertical="center"/>
    </xf>
    <xf numFmtId="0" fontId="11" fillId="19" borderId="10" xfId="0" applyFont="1" applyFill="1" applyBorder="1" applyAlignment="1">
      <alignment horizontal="left" vertical="top"/>
    </xf>
    <xf numFmtId="40" fontId="0" fillId="19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left" vertical="center" readingOrder="1"/>
    </xf>
    <xf numFmtId="164" fontId="23" fillId="0" borderId="0" xfId="0" applyNumberFormat="1" applyFont="1" applyFill="1" applyAlignment="1">
      <alignment horizontal="right" vertical="center"/>
    </xf>
    <xf numFmtId="165" fontId="0" fillId="0" borderId="10" xfId="0" applyNumberFormat="1" applyFill="1" applyBorder="1" applyAlignment="1">
      <alignment vertical="top"/>
    </xf>
    <xf numFmtId="43" fontId="0" fillId="0" borderId="29" xfId="55" applyFont="1" applyBorder="1" applyAlignment="1">
      <alignment/>
    </xf>
    <xf numFmtId="40" fontId="34" fillId="18" borderId="10" xfId="0" applyNumberFormat="1" applyFont="1" applyFill="1" applyBorder="1" applyAlignment="1">
      <alignment horizontal="center" vertical="center" wrapText="1"/>
    </xf>
    <xf numFmtId="40" fontId="32" fillId="18" borderId="10" xfId="0" applyNumberFormat="1" applyFont="1" applyFill="1" applyBorder="1" applyAlignment="1">
      <alignment vertical="top"/>
    </xf>
    <xf numFmtId="43" fontId="33" fillId="8" borderId="10" xfId="55" applyFont="1" applyFill="1" applyBorder="1" applyAlignment="1">
      <alignment vertical="center" wrapText="1"/>
    </xf>
    <xf numFmtId="192" fontId="33" fillId="8" borderId="10" xfId="55" applyNumberFormat="1" applyFont="1" applyFill="1" applyBorder="1" applyAlignment="1">
      <alignment vertical="center" wrapText="1"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4" fontId="23" fillId="0" borderId="0" xfId="0" applyNumberFormat="1" applyFont="1" applyFill="1" applyAlignment="1">
      <alignment vertical="center"/>
    </xf>
    <xf numFmtId="164" fontId="23" fillId="8" borderId="12" xfId="0" applyNumberFormat="1" applyFont="1" applyFill="1" applyBorder="1" applyAlignment="1">
      <alignment vertical="center"/>
    </xf>
    <xf numFmtId="164" fontId="57" fillId="19" borderId="12" xfId="0" applyNumberFormat="1" applyFont="1" applyFill="1" applyBorder="1" applyAlignment="1">
      <alignment vertical="center"/>
    </xf>
    <xf numFmtId="43" fontId="43" fillId="0" borderId="0" xfId="55" applyFont="1" applyFill="1" applyAlignment="1">
      <alignment vertical="center"/>
    </xf>
    <xf numFmtId="43" fontId="1" fillId="0" borderId="0" xfId="55" applyFont="1" applyAlignment="1">
      <alignment/>
    </xf>
    <xf numFmtId="164" fontId="23" fillId="19" borderId="12" xfId="0" applyNumberFormat="1" applyFont="1" applyFill="1" applyBorder="1" applyAlignment="1">
      <alignment vertical="center"/>
    </xf>
    <xf numFmtId="166" fontId="21" fillId="6" borderId="11" xfId="51" applyNumberFormat="1" applyFont="1" applyFill="1" applyBorder="1">
      <alignment/>
      <protection/>
    </xf>
    <xf numFmtId="0" fontId="21" fillId="6" borderId="10" xfId="51" applyFont="1" applyFill="1" applyBorder="1">
      <alignment/>
      <protection/>
    </xf>
    <xf numFmtId="0" fontId="21" fillId="6" borderId="10" xfId="51" applyFont="1" applyFill="1" applyBorder="1" applyAlignment="1">
      <alignment horizontal="center"/>
      <protection/>
    </xf>
    <xf numFmtId="0" fontId="21" fillId="6" borderId="13" xfId="51" applyFont="1" applyFill="1" applyBorder="1">
      <alignment/>
      <protection/>
    </xf>
    <xf numFmtId="0" fontId="1" fillId="0" borderId="12" xfId="51" applyFont="1" applyBorder="1">
      <alignment/>
      <protection/>
    </xf>
    <xf numFmtId="0" fontId="21" fillId="6" borderId="11" xfId="51" applyFont="1" applyFill="1" applyBorder="1">
      <alignment/>
      <protection/>
    </xf>
    <xf numFmtId="0" fontId="21" fillId="0" borderId="11" xfId="51" applyFont="1" applyBorder="1">
      <alignment/>
      <protection/>
    </xf>
    <xf numFmtId="0" fontId="21" fillId="0" borderId="13" xfId="51" applyFont="1" applyBorder="1">
      <alignment/>
      <protection/>
    </xf>
    <xf numFmtId="0" fontId="1" fillId="0" borderId="13" xfId="51" applyBorder="1">
      <alignment/>
      <protection/>
    </xf>
    <xf numFmtId="43" fontId="21" fillId="6" borderId="13" xfId="55" applyFont="1" applyFill="1" applyBorder="1" applyAlignment="1">
      <alignment/>
    </xf>
    <xf numFmtId="0" fontId="21" fillId="6" borderId="10" xfId="51" applyFont="1" applyFill="1" applyBorder="1" applyAlignment="1">
      <alignment horizontal="center" vertical="center" wrapText="1"/>
      <protection/>
    </xf>
    <xf numFmtId="43" fontId="1" fillId="0" borderId="12" xfId="51" applyNumberFormat="1" applyBorder="1">
      <alignment/>
      <protection/>
    </xf>
    <xf numFmtId="43" fontId="21" fillId="0" borderId="0" xfId="55" applyFont="1" applyAlignment="1">
      <alignment/>
    </xf>
    <xf numFmtId="43" fontId="1" fillId="0" borderId="0" xfId="55" applyFont="1" applyAlignment="1">
      <alignment horizontal="center" vertical="center" wrapText="1"/>
    </xf>
    <xf numFmtId="43" fontId="43" fillId="0" borderId="0" xfId="55" applyFont="1" applyFill="1" applyAlignment="1">
      <alignment horizontal="left" vertical="center" readingOrder="1"/>
    </xf>
    <xf numFmtId="43" fontId="25" fillId="0" borderId="0" xfId="55" applyFont="1" applyFill="1" applyAlignment="1">
      <alignment vertical="center"/>
    </xf>
    <xf numFmtId="0" fontId="44" fillId="0" borderId="0" xfId="0" applyFont="1" applyFill="1" applyAlignment="1">
      <alignment horizontal="left" vertical="center" wrapText="1" readingOrder="1"/>
    </xf>
    <xf numFmtId="0" fontId="0" fillId="19" borderId="10" xfId="0" applyFill="1" applyBorder="1" applyAlignment="1">
      <alignment vertical="top"/>
    </xf>
    <xf numFmtId="165" fontId="46" fillId="0" borderId="10" xfId="0" applyNumberFormat="1" applyFont="1" applyFill="1" applyBorder="1" applyAlignment="1">
      <alignment vertical="top"/>
    </xf>
    <xf numFmtId="165" fontId="1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19" borderId="10" xfId="0" applyFill="1" applyBorder="1" applyAlignment="1">
      <alignment vertical="center" wrapText="1"/>
    </xf>
    <xf numFmtId="165" fontId="46" fillId="19" borderId="10" xfId="0" applyNumberFormat="1" applyFont="1" applyFill="1" applyBorder="1" applyAlignment="1">
      <alignment vertical="top"/>
    </xf>
    <xf numFmtId="165" fontId="0" fillId="6" borderId="10" xfId="0" applyNumberFormat="1" applyFill="1" applyBorder="1" applyAlignment="1">
      <alignment vertical="top"/>
    </xf>
    <xf numFmtId="0" fontId="43" fillId="11" borderId="0" xfId="0" applyFont="1" applyFill="1" applyAlignment="1">
      <alignment vertical="center"/>
    </xf>
    <xf numFmtId="43" fontId="43" fillId="11" borderId="0" xfId="55" applyFont="1" applyFill="1" applyAlignment="1">
      <alignment vertical="center"/>
    </xf>
    <xf numFmtId="165" fontId="0" fillId="20" borderId="10" xfId="0" applyNumberFormat="1" applyFill="1" applyBorder="1" applyAlignment="1">
      <alignment vertical="top"/>
    </xf>
    <xf numFmtId="40" fontId="0" fillId="20" borderId="10" xfId="0" applyNumberFormat="1" applyFill="1" applyBorder="1" applyAlignment="1">
      <alignment vertical="top"/>
    </xf>
    <xf numFmtId="43" fontId="23" fillId="0" borderId="0" xfId="0" applyNumberFormat="1" applyFont="1" applyFill="1" applyAlignment="1">
      <alignment horizontal="right" vertical="center"/>
    </xf>
    <xf numFmtId="40" fontId="13" fillId="19" borderId="10" xfId="0" applyNumberFormat="1" applyFont="1" applyFill="1" applyBorder="1" applyAlignment="1">
      <alignment vertical="top"/>
    </xf>
    <xf numFmtId="165" fontId="0" fillId="21" borderId="10" xfId="0" applyNumberFormat="1" applyFill="1" applyBorder="1" applyAlignment="1">
      <alignment vertical="top"/>
    </xf>
    <xf numFmtId="164" fontId="25" fillId="11" borderId="11" xfId="0" applyNumberFormat="1" applyFont="1" applyFill="1" applyBorder="1" applyAlignment="1">
      <alignment vertical="center"/>
    </xf>
    <xf numFmtId="164" fontId="25" fillId="11" borderId="13" xfId="0" applyNumberFormat="1" applyFont="1" applyFill="1" applyBorder="1" applyAlignment="1">
      <alignment vertical="center"/>
    </xf>
    <xf numFmtId="164" fontId="25" fillId="11" borderId="10" xfId="0" applyNumberFormat="1" applyFont="1" applyFill="1" applyBorder="1" applyAlignment="1">
      <alignment vertical="center"/>
    </xf>
    <xf numFmtId="164" fontId="23" fillId="11" borderId="11" xfId="0" applyNumberFormat="1" applyFont="1" applyFill="1" applyBorder="1" applyAlignment="1">
      <alignment vertical="center"/>
    </xf>
    <xf numFmtId="164" fontId="23" fillId="11" borderId="12" xfId="0" applyNumberFormat="1" applyFont="1" applyFill="1" applyBorder="1" applyAlignment="1">
      <alignment vertical="center"/>
    </xf>
    <xf numFmtId="164" fontId="23" fillId="11" borderId="13" xfId="0" applyNumberFormat="1" applyFont="1" applyFill="1" applyBorder="1" applyAlignment="1">
      <alignment vertical="center"/>
    </xf>
    <xf numFmtId="165" fontId="0" fillId="19" borderId="10" xfId="0" applyNumberFormat="1" applyFill="1" applyBorder="1" applyAlignment="1">
      <alignment vertical="top"/>
    </xf>
    <xf numFmtId="0" fontId="23" fillId="0" borderId="22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5" fillId="0" borderId="27" xfId="0" applyNumberFormat="1" applyFont="1" applyFill="1" applyBorder="1" applyAlignment="1">
      <alignment vertical="center"/>
    </xf>
    <xf numFmtId="43" fontId="11" fillId="0" borderId="0" xfId="55" applyFont="1" applyFill="1" applyAlignment="1">
      <alignment vertical="center"/>
    </xf>
    <xf numFmtId="4" fontId="25" fillId="0" borderId="10" xfId="0" applyNumberFormat="1" applyFont="1" applyFill="1" applyBorder="1" applyAlignment="1">
      <alignment vertical="center" readingOrder="1"/>
    </xf>
    <xf numFmtId="0" fontId="23" fillId="0" borderId="13" xfId="0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22" fillId="0" borderId="0" xfId="0" applyFont="1" applyFill="1" applyAlignment="1">
      <alignment horizontal="left" vertical="center" readingOrder="1"/>
    </xf>
    <xf numFmtId="9" fontId="29" fillId="0" borderId="0" xfId="53" applyFont="1" applyFill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 readingOrder="1"/>
    </xf>
    <xf numFmtId="0" fontId="44" fillId="11" borderId="0" xfId="0" applyFont="1" applyFill="1" applyBorder="1" applyAlignment="1">
      <alignment horizontal="left" vertical="center" wrapText="1" readingOrder="1"/>
    </xf>
    <xf numFmtId="0" fontId="29" fillId="0" borderId="0" xfId="0" applyFont="1" applyFill="1" applyAlignment="1">
      <alignment horizontal="center" vertical="center" readingOrder="1"/>
    </xf>
    <xf numFmtId="0" fontId="44" fillId="11" borderId="0" xfId="0" applyFont="1" applyFill="1" applyAlignment="1">
      <alignment horizontal="left" vertical="center" wrapText="1" readingOrder="1"/>
    </xf>
    <xf numFmtId="0" fontId="46" fillId="0" borderId="0" xfId="0" applyFont="1" applyFill="1" applyAlignment="1">
      <alignment horizontal="center" vertical="center"/>
    </xf>
    <xf numFmtId="0" fontId="25" fillId="17" borderId="12" xfId="0" applyFont="1" applyFill="1" applyBorder="1" applyAlignment="1">
      <alignment horizontal="center" vertical="center" readingOrder="1"/>
    </xf>
    <xf numFmtId="4" fontId="25" fillId="0" borderId="10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14" fontId="1" fillId="11" borderId="0" xfId="51" applyNumberFormat="1" applyFill="1">
      <alignment/>
      <protection/>
    </xf>
    <xf numFmtId="4" fontId="23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vertical="center" readingOrder="1"/>
    </xf>
    <xf numFmtId="164" fontId="45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 readingOrder="1"/>
    </xf>
    <xf numFmtId="4" fontId="43" fillId="0" borderId="0" xfId="0" applyNumberFormat="1" applyFont="1" applyFill="1" applyAlignment="1">
      <alignment vertical="center"/>
    </xf>
    <xf numFmtId="0" fontId="23" fillId="11" borderId="0" xfId="0" applyFont="1" applyFill="1" applyAlignment="1">
      <alignment horizontal="center" vertical="center" wrapText="1" readingOrder="1"/>
    </xf>
    <xf numFmtId="0" fontId="23" fillId="11" borderId="0" xfId="0" applyFont="1" applyFill="1" applyAlignment="1">
      <alignment horizontal="right" vertical="center" wrapText="1" readingOrder="1"/>
    </xf>
    <xf numFmtId="166" fontId="1" fillId="11" borderId="12" xfId="55" applyNumberFormat="1" applyFont="1" applyFill="1" applyBorder="1" applyAlignment="1">
      <alignment/>
    </xf>
    <xf numFmtId="43" fontId="1" fillId="11" borderId="12" xfId="51" applyNumberFormat="1" applyFont="1" applyFill="1" applyBorder="1">
      <alignment/>
      <protection/>
    </xf>
    <xf numFmtId="43" fontId="1" fillId="11" borderId="0" xfId="55" applyFont="1" applyFill="1" applyAlignment="1">
      <alignment/>
    </xf>
    <xf numFmtId="0" fontId="1" fillId="11" borderId="0" xfId="51" applyFill="1">
      <alignment/>
      <protection/>
    </xf>
    <xf numFmtId="0" fontId="59" fillId="11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43" fontId="60" fillId="0" borderId="0" xfId="55" applyFont="1" applyAlignment="1">
      <alignment/>
    </xf>
    <xf numFmtId="0" fontId="21" fillId="11" borderId="22" xfId="51" applyFont="1" applyFill="1" applyBorder="1" applyAlignment="1">
      <alignment horizontal="left" wrapText="1"/>
      <protection/>
    </xf>
    <xf numFmtId="166" fontId="21" fillId="11" borderId="23" xfId="51" applyNumberFormat="1" applyFont="1" applyFill="1" applyBorder="1" applyAlignment="1">
      <alignment horizontal="center" wrapText="1"/>
      <protection/>
    </xf>
    <xf numFmtId="0" fontId="21" fillId="11" borderId="24" xfId="51" applyFont="1" applyFill="1" applyBorder="1" applyAlignment="1">
      <alignment horizontal="center" wrapText="1"/>
      <protection/>
    </xf>
    <xf numFmtId="43" fontId="1" fillId="11" borderId="12" xfId="55" applyFont="1" applyFill="1" applyBorder="1" applyAlignment="1">
      <alignment/>
    </xf>
    <xf numFmtId="0" fontId="21" fillId="11" borderId="25" xfId="51" applyFont="1" applyFill="1" applyBorder="1" applyAlignment="1">
      <alignment horizontal="center" wrapText="1"/>
      <protection/>
    </xf>
    <xf numFmtId="0" fontId="21" fillId="22" borderId="13" xfId="51" applyFont="1" applyFill="1" applyBorder="1" applyAlignment="1">
      <alignment horizontal="left" wrapText="1"/>
      <protection/>
    </xf>
    <xf numFmtId="43" fontId="1" fillId="22" borderId="13" xfId="55" applyFont="1" applyFill="1" applyBorder="1" applyAlignment="1">
      <alignment/>
    </xf>
    <xf numFmtId="0" fontId="21" fillId="6" borderId="24" xfId="51" applyFont="1" applyFill="1" applyBorder="1">
      <alignment/>
      <protection/>
    </xf>
    <xf numFmtId="0" fontId="51" fillId="0" borderId="0" xfId="51" applyFont="1">
      <alignment/>
      <protection/>
    </xf>
    <xf numFmtId="0" fontId="40" fillId="11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left" vertical="center"/>
    </xf>
    <xf numFmtId="0" fontId="52" fillId="11" borderId="0" xfId="0" applyFont="1" applyFill="1" applyAlignment="1">
      <alignment horizontal="left" vertical="center" wrapText="1" readingOrder="1"/>
    </xf>
    <xf numFmtId="0" fontId="25" fillId="0" borderId="0" xfId="0" applyFont="1" applyFill="1" applyAlignment="1">
      <alignment vertical="center" readingOrder="1"/>
    </xf>
    <xf numFmtId="0" fontId="50" fillId="0" borderId="0" xfId="0" applyFont="1" applyFill="1" applyAlignment="1">
      <alignment vertical="center" readingOrder="1"/>
    </xf>
    <xf numFmtId="0" fontId="53" fillId="0" borderId="0" xfId="51" applyFont="1">
      <alignment/>
      <protection/>
    </xf>
    <xf numFmtId="0" fontId="50" fillId="0" borderId="0" xfId="0" applyFont="1" applyFill="1" applyAlignment="1">
      <alignment horizontal="left" vertical="center" readingOrder="1"/>
    </xf>
    <xf numFmtId="0" fontId="50" fillId="11" borderId="0" xfId="0" applyFont="1" applyFill="1" applyAlignment="1">
      <alignment horizontal="left" vertical="center" wrapText="1" readingOrder="1"/>
    </xf>
    <xf numFmtId="0" fontId="50" fillId="0" borderId="0" xfId="0" applyFont="1" applyFill="1" applyBorder="1" applyAlignment="1">
      <alignment horizontal="left" vertical="center" wrapText="1" readingOrder="1"/>
    </xf>
    <xf numFmtId="0" fontId="5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horizontal="center" vertical="center"/>
    </xf>
    <xf numFmtId="0" fontId="13" fillId="0" borderId="0" xfId="51" applyFont="1">
      <alignment/>
      <protection/>
    </xf>
    <xf numFmtId="0" fontId="32" fillId="0" borderId="0" xfId="0" applyFont="1" applyFill="1" applyAlignment="1">
      <alignment vertical="center" readingOrder="1"/>
    </xf>
    <xf numFmtId="165" fontId="23" fillId="11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 readingOrder="1"/>
    </xf>
    <xf numFmtId="0" fontId="13" fillId="11" borderId="0" xfId="0" applyFont="1" applyFill="1" applyAlignment="1">
      <alignment horizontal="left" vertical="center" wrapText="1" readingOrder="1"/>
    </xf>
    <xf numFmtId="0" fontId="11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 readingOrder="1"/>
    </xf>
    <xf numFmtId="0" fontId="56" fillId="0" borderId="0" xfId="0" applyFont="1" applyFill="1" applyAlignment="1">
      <alignment vertical="center"/>
    </xf>
    <xf numFmtId="43" fontId="56" fillId="0" borderId="0" xfId="55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23" fillId="0" borderId="0" xfId="0" applyFont="1" applyFill="1" applyAlignment="1" quotePrefix="1">
      <alignment vertical="center"/>
    </xf>
    <xf numFmtId="0" fontId="4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64" fontId="32" fillId="0" borderId="10" xfId="0" applyNumberFormat="1" applyFont="1" applyFill="1" applyBorder="1" applyAlignment="1">
      <alignment vertical="center"/>
    </xf>
    <xf numFmtId="164" fontId="32" fillId="0" borderId="11" xfId="0" applyNumberFormat="1" applyFont="1" applyFill="1" applyBorder="1" applyAlignment="1">
      <alignment vertical="center"/>
    </xf>
    <xf numFmtId="164" fontId="25" fillId="0" borderId="27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164" fontId="23" fillId="0" borderId="27" xfId="0" applyNumberFormat="1" applyFont="1" applyFill="1" applyBorder="1" applyAlignment="1">
      <alignment vertical="center"/>
    </xf>
    <xf numFmtId="164" fontId="32" fillId="0" borderId="12" xfId="0" applyNumberFormat="1" applyFont="1" applyFill="1" applyBorder="1" applyAlignment="1">
      <alignment vertical="center"/>
    </xf>
    <xf numFmtId="164" fontId="11" fillId="0" borderId="13" xfId="0" applyNumberFormat="1" applyFont="1" applyFill="1" applyBorder="1" applyAlignment="1">
      <alignment vertical="center"/>
    </xf>
    <xf numFmtId="164" fontId="32" fillId="0" borderId="27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>
      <alignment vertical="center"/>
    </xf>
    <xf numFmtId="164" fontId="23" fillId="0" borderId="26" xfId="0" applyNumberFormat="1" applyFont="1" applyFill="1" applyBorder="1" applyAlignment="1">
      <alignment vertical="center"/>
    </xf>
    <xf numFmtId="164" fontId="23" fillId="0" borderId="28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3" fontId="32" fillId="0" borderId="10" xfId="0" applyNumberFormat="1" applyFont="1" applyFill="1" applyBorder="1" applyAlignment="1">
      <alignment vertical="center" readingOrder="1"/>
    </xf>
    <xf numFmtId="164" fontId="25" fillId="0" borderId="12" xfId="0" applyNumberFormat="1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vertical="center"/>
    </xf>
    <xf numFmtId="164" fontId="11" fillId="0" borderId="12" xfId="0" applyNumberFormat="1" applyFont="1" applyFill="1" applyBorder="1" applyAlignment="1">
      <alignment horizontal="right" vertical="center"/>
    </xf>
    <xf numFmtId="164" fontId="23" fillId="0" borderId="12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indent="1"/>
    </xf>
    <xf numFmtId="0" fontId="23" fillId="0" borderId="33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34" xfId="0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5" fillId="17" borderId="24" xfId="0" applyFont="1" applyFill="1" applyBorder="1" applyAlignment="1">
      <alignment horizontal="center" vertical="center" readingOrder="1"/>
    </xf>
    <xf numFmtId="0" fontId="25" fillId="17" borderId="23" xfId="0" applyFont="1" applyFill="1" applyBorder="1" applyAlignment="1">
      <alignment horizontal="left" vertical="center"/>
    </xf>
    <xf numFmtId="0" fontId="0" fillId="17" borderId="25" xfId="0" applyFill="1" applyBorder="1" applyAlignment="1">
      <alignment horizontal="left" vertical="center"/>
    </xf>
    <xf numFmtId="0" fontId="0" fillId="17" borderId="24" xfId="0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0" fontId="25" fillId="17" borderId="23" xfId="0" applyFont="1" applyFill="1" applyBorder="1" applyAlignment="1">
      <alignment horizontal="center" vertical="center" readingOrder="1"/>
    </xf>
    <xf numFmtId="0" fontId="25" fillId="17" borderId="25" xfId="0" applyFont="1" applyFill="1" applyBorder="1" applyAlignment="1">
      <alignment horizontal="center" vertical="center" readingOrder="1"/>
    </xf>
    <xf numFmtId="0" fontId="33" fillId="0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19" borderId="23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left" vertical="top"/>
    </xf>
    <xf numFmtId="0" fontId="32" fillId="13" borderId="10" xfId="0" applyFont="1" applyFill="1" applyBorder="1" applyAlignment="1">
      <alignment horizontal="center" vertical="top"/>
    </xf>
    <xf numFmtId="0" fontId="34" fillId="8" borderId="10" xfId="0" applyFont="1" applyFill="1" applyBorder="1" applyAlignment="1">
      <alignment horizontal="left" vertical="top"/>
    </xf>
    <xf numFmtId="0" fontId="33" fillId="0" borderId="10" xfId="0" applyFont="1" applyBorder="1" applyAlignment="1">
      <alignment horizontal="center" vertical="center"/>
    </xf>
    <xf numFmtId="0" fontId="32" fillId="23" borderId="10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left" vertical="center"/>
    </xf>
    <xf numFmtId="0" fontId="33" fillId="8" borderId="24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19" borderId="23" xfId="0" applyFont="1" applyFill="1" applyBorder="1" applyAlignment="1">
      <alignment horizontal="center" vertical="center"/>
    </xf>
    <xf numFmtId="0" fontId="33" fillId="19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0" fontId="23" fillId="0" borderId="33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7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 readingOrder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readingOrder="1"/>
    </xf>
    <xf numFmtId="0" fontId="44" fillId="0" borderId="0" xfId="0" applyFont="1" applyFill="1" applyAlignment="1">
      <alignment horizontal="left" vertical="center" wrapText="1" readingOrder="1"/>
    </xf>
    <xf numFmtId="0" fontId="28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readingOrder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readingOrder="1"/>
    </xf>
    <xf numFmtId="9" fontId="29" fillId="0" borderId="0" xfId="53" applyFont="1" applyFill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49" fontId="13" fillId="0" borderId="0" xfId="0" applyNumberFormat="1" applyFont="1" applyFill="1" applyAlignment="1">
      <alignment horizontal="center" vertical="center" readingOrder="1"/>
    </xf>
    <xf numFmtId="0" fontId="23" fillId="0" borderId="27" xfId="0" applyFont="1" applyFill="1" applyBorder="1" applyAlignment="1">
      <alignment horizontal="left" vertical="center"/>
    </xf>
    <xf numFmtId="0" fontId="44" fillId="11" borderId="0" xfId="0" applyFont="1" applyFill="1" applyAlignment="1">
      <alignment horizontal="left" vertical="center" wrapText="1" readingOrder="1"/>
    </xf>
    <xf numFmtId="0" fontId="23" fillId="0" borderId="26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 wrapText="1" readingOrder="1"/>
    </xf>
    <xf numFmtId="0" fontId="44" fillId="0" borderId="0" xfId="0" applyFont="1" applyFill="1" applyAlignment="1">
      <alignment horizontal="left" vertical="center" readingOrder="1"/>
    </xf>
    <xf numFmtId="0" fontId="23" fillId="0" borderId="28" xfId="0" applyFont="1" applyFill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23" fillId="0" borderId="27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46" fillId="0" borderId="0" xfId="0" applyFont="1" applyFill="1" applyAlignment="1">
      <alignment horizontal="center" vertical="center"/>
    </xf>
    <xf numFmtId="0" fontId="25" fillId="17" borderId="25" xfId="0" applyFont="1" applyFill="1" applyBorder="1" applyAlignment="1">
      <alignment horizontal="left" vertical="center"/>
    </xf>
    <xf numFmtId="0" fontId="25" fillId="17" borderId="24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readingOrder="1"/>
    </xf>
    <xf numFmtId="0" fontId="25" fillId="17" borderId="23" xfId="0" applyFont="1" applyFill="1" applyBorder="1" applyAlignment="1">
      <alignment horizontal="center" vertical="center"/>
    </xf>
    <xf numFmtId="0" fontId="25" fillId="17" borderId="25" xfId="0" applyFont="1" applyFill="1" applyBorder="1" applyAlignment="1">
      <alignment horizontal="center" vertical="center"/>
    </xf>
    <xf numFmtId="0" fontId="25" fillId="17" borderId="2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 readingOrder="1"/>
    </xf>
    <xf numFmtId="0" fontId="28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readingOrder="1"/>
    </xf>
    <xf numFmtId="0" fontId="25" fillId="17" borderId="35" xfId="0" applyFont="1" applyFill="1" applyBorder="1" applyAlignment="1">
      <alignment horizontal="center" vertical="center" readingOrder="1"/>
    </xf>
    <xf numFmtId="0" fontId="25" fillId="17" borderId="34" xfId="0" applyFont="1" applyFill="1" applyBorder="1" applyAlignment="1">
      <alignment horizontal="center" vertical="center" readingOrder="1"/>
    </xf>
    <xf numFmtId="0" fontId="25" fillId="17" borderId="35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0" fillId="0" borderId="0" xfId="0" applyFont="1" applyFill="1" applyAlignment="1">
      <alignment horizontal="left" vertical="center" readingOrder="1"/>
    </xf>
    <xf numFmtId="0" fontId="56" fillId="0" borderId="0" xfId="0" applyFont="1" applyFill="1" applyAlignment="1">
      <alignment horizontal="left" vertical="center" readingOrder="1"/>
    </xf>
    <xf numFmtId="0" fontId="50" fillId="11" borderId="0" xfId="0" applyFont="1" applyFill="1" applyAlignment="1">
      <alignment horizontal="left" vertical="center" wrapText="1" readingOrder="1"/>
    </xf>
    <xf numFmtId="0" fontId="28" fillId="0" borderId="0" xfId="0" applyFont="1" applyFill="1" applyBorder="1" applyAlignment="1">
      <alignment horizontal="center" vertical="center" readingOrder="1"/>
    </xf>
    <xf numFmtId="0" fontId="50" fillId="0" borderId="0" xfId="0" applyFont="1" applyFill="1" applyAlignment="1">
      <alignment horizontal="left" vertical="center" wrapText="1" readingOrder="1"/>
    </xf>
    <xf numFmtId="0" fontId="61" fillId="11" borderId="0" xfId="0" applyFont="1" applyFill="1" applyAlignment="1">
      <alignment horizontal="left" vertical="center" wrapText="1" readingOrder="1"/>
    </xf>
    <xf numFmtId="166" fontId="1" fillId="0" borderId="22" xfId="55" applyNumberFormat="1" applyFont="1" applyBorder="1" applyAlignment="1">
      <alignment horizontal="center"/>
    </xf>
    <xf numFmtId="166" fontId="1" fillId="0" borderId="27" xfId="55" applyNumberFormat="1" applyFont="1" applyBorder="1" applyAlignment="1">
      <alignment horizontal="center"/>
    </xf>
    <xf numFmtId="166" fontId="1" fillId="0" borderId="22" xfId="51" applyNumberFormat="1" applyBorder="1" applyAlignment="1">
      <alignment horizontal="center"/>
      <protection/>
    </xf>
    <xf numFmtId="166" fontId="1" fillId="0" borderId="27" xfId="51" applyNumberFormat="1" applyBorder="1" applyAlignment="1">
      <alignment horizontal="center"/>
      <protection/>
    </xf>
    <xf numFmtId="166" fontId="1" fillId="6" borderId="11" xfId="51" applyNumberFormat="1" applyFill="1" applyBorder="1" applyAlignment="1">
      <alignment horizontal="center"/>
      <protection/>
    </xf>
    <xf numFmtId="166" fontId="21" fillId="6" borderId="11" xfId="51" applyNumberFormat="1" applyFont="1" applyFill="1" applyBorder="1" applyAlignment="1">
      <alignment horizontal="center"/>
      <protection/>
    </xf>
    <xf numFmtId="166" fontId="21" fillId="6" borderId="10" xfId="51" applyNumberFormat="1" applyFont="1" applyFill="1" applyBorder="1" applyAlignment="1">
      <alignment horizontal="center"/>
      <protection/>
    </xf>
    <xf numFmtId="166" fontId="1" fillId="0" borderId="12" xfId="51" applyNumberFormat="1" applyBorder="1" applyAlignment="1">
      <alignment horizontal="center"/>
      <protection/>
    </xf>
    <xf numFmtId="0" fontId="29" fillId="0" borderId="0" xfId="0" applyFont="1" applyFill="1" applyAlignment="1">
      <alignment horizontal="left" vertical="center" readingOrder="1"/>
    </xf>
    <xf numFmtId="0" fontId="30" fillId="0" borderId="0" xfId="0" applyFont="1" applyFill="1" applyAlignment="1">
      <alignment horizontal="left" vertical="center" readingOrder="1"/>
    </xf>
    <xf numFmtId="166" fontId="1" fillId="0" borderId="13" xfId="51" applyNumberFormat="1" applyBorder="1" applyAlignment="1">
      <alignment horizontal="center"/>
      <protection/>
    </xf>
    <xf numFmtId="0" fontId="29" fillId="11" borderId="0" xfId="0" applyFont="1" applyFill="1" applyAlignment="1">
      <alignment horizontal="left" vertical="center" wrapText="1" readingOrder="1"/>
    </xf>
    <xf numFmtId="0" fontId="48" fillId="0" borderId="0" xfId="51" applyFont="1" applyAlignment="1">
      <alignment horizontal="center"/>
      <protection/>
    </xf>
    <xf numFmtId="166" fontId="21" fillId="22" borderId="12" xfId="51" applyNumberFormat="1" applyFont="1" applyFill="1" applyBorder="1" applyAlignment="1">
      <alignment horizontal="center" wrapText="1"/>
      <protection/>
    </xf>
    <xf numFmtId="0" fontId="21" fillId="22" borderId="12" xfId="51" applyFont="1" applyFill="1" applyBorder="1" applyAlignment="1">
      <alignment horizontal="center" wrapText="1"/>
      <protection/>
    </xf>
    <xf numFmtId="166" fontId="1" fillId="6" borderId="13" xfId="55" applyNumberFormat="1" applyFont="1" applyFill="1" applyBorder="1" applyAlignment="1">
      <alignment horizontal="center"/>
    </xf>
    <xf numFmtId="166" fontId="1" fillId="0" borderId="22" xfId="55" applyNumberFormat="1" applyFont="1" applyFill="1" applyBorder="1" applyAlignment="1">
      <alignment horizontal="center"/>
    </xf>
    <xf numFmtId="166" fontId="1" fillId="0" borderId="27" xfId="55" applyNumberFormat="1" applyFont="1" applyFill="1" applyBorder="1" applyAlignment="1">
      <alignment horizontal="center"/>
    </xf>
    <xf numFmtId="0" fontId="21" fillId="6" borderId="10" xfId="51" applyFont="1" applyFill="1" applyBorder="1" applyAlignment="1">
      <alignment horizontal="center"/>
      <protection/>
    </xf>
    <xf numFmtId="166" fontId="21" fillId="6" borderId="13" xfId="55" applyNumberFormat="1" applyFont="1" applyFill="1" applyBorder="1" applyAlignment="1">
      <alignment horizontal="center"/>
    </xf>
    <xf numFmtId="166" fontId="21" fillId="6" borderId="10" xfId="55" applyNumberFormat="1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 readingOrder="1"/>
    </xf>
    <xf numFmtId="0" fontId="13" fillId="0" borderId="0" xfId="0" applyFont="1" applyFill="1" applyAlignment="1">
      <alignment horizontal="left" vertical="center" readingOrder="1"/>
    </xf>
    <xf numFmtId="0" fontId="21" fillId="6" borderId="36" xfId="51" applyFont="1" applyFill="1" applyBorder="1" applyAlignment="1">
      <alignment horizontal="center" vertical="center" wrapText="1"/>
      <protection/>
    </xf>
    <xf numFmtId="0" fontId="21" fillId="6" borderId="20" xfId="5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1" fillId="6" borderId="37" xfId="51" applyFont="1" applyFill="1" applyBorder="1" applyAlignment="1">
      <alignment horizontal="center" vertical="center"/>
      <protection/>
    </xf>
    <xf numFmtId="0" fontId="21" fillId="6" borderId="38" xfId="51" applyFont="1" applyFill="1" applyBorder="1" applyAlignment="1">
      <alignment horizontal="center" vertical="center"/>
      <protection/>
    </xf>
    <xf numFmtId="0" fontId="21" fillId="6" borderId="39" xfId="51" applyFont="1" applyFill="1" applyBorder="1" applyAlignment="1">
      <alignment horizontal="center"/>
      <protection/>
    </xf>
    <xf numFmtId="0" fontId="21" fillId="6" borderId="40" xfId="51" applyFont="1" applyFill="1" applyBorder="1" applyAlignment="1">
      <alignment horizontal="center"/>
      <protection/>
    </xf>
    <xf numFmtId="0" fontId="21" fillId="0" borderId="0" xfId="51" applyFont="1" applyAlignment="1">
      <alignment horizontal="center"/>
      <protection/>
    </xf>
    <xf numFmtId="0" fontId="21" fillId="6" borderId="37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 wrapText="1"/>
      <protection/>
    </xf>
    <xf numFmtId="0" fontId="21" fillId="6" borderId="42" xfId="51" applyFont="1" applyFill="1" applyBorder="1" applyAlignment="1">
      <alignment horizontal="center" vertical="center" wrapText="1"/>
      <protection/>
    </xf>
    <xf numFmtId="0" fontId="21" fillId="6" borderId="38" xfId="51" applyFont="1" applyFill="1" applyBorder="1" applyAlignment="1">
      <alignment horizontal="center" vertical="center" wrapText="1"/>
      <protection/>
    </xf>
    <xf numFmtId="0" fontId="21" fillId="6" borderId="43" xfId="51" applyFont="1" applyFill="1" applyBorder="1" applyAlignment="1">
      <alignment horizontal="center" vertical="center" wrapText="1"/>
      <protection/>
    </xf>
    <xf numFmtId="0" fontId="21" fillId="6" borderId="44" xfId="51" applyFont="1" applyFill="1" applyBorder="1" applyAlignment="1">
      <alignment horizontal="center" vertical="center" wrapText="1"/>
      <protection/>
    </xf>
    <xf numFmtId="0" fontId="21" fillId="6" borderId="41" xfId="51" applyFont="1" applyFill="1" applyBorder="1" applyAlignment="1">
      <alignment horizontal="center" vertic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1038225</xdr:colOff>
      <xdr:row>0</xdr:row>
      <xdr:rowOff>19050</xdr:rowOff>
    </xdr:from>
    <xdr:to>
      <xdr:col>6</xdr:col>
      <xdr:colOff>1047750</xdr:colOff>
      <xdr:row>179</xdr:row>
      <xdr:rowOff>28575</xdr:rowOff>
    </xdr:to>
    <xdr:sp>
      <xdr:nvSpPr>
        <xdr:cNvPr id="1" name="Retângulo 1"/>
        <xdr:cNvSpPr>
          <a:spLocks/>
        </xdr:cNvSpPr>
      </xdr:nvSpPr>
      <xdr:spPr>
        <a:xfrm>
          <a:off x="8867775" y="1905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28575</xdr:colOff>
      <xdr:row>179</xdr:row>
      <xdr:rowOff>9525</xdr:rowOff>
    </xdr:to>
    <xdr:sp>
      <xdr:nvSpPr>
        <xdr:cNvPr id="2" name="Retângulo 2"/>
        <xdr:cNvSpPr>
          <a:spLocks/>
        </xdr:cNvSpPr>
      </xdr:nvSpPr>
      <xdr:spPr>
        <a:xfrm>
          <a:off x="8896350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28575</xdr:colOff>
      <xdr:row>179</xdr:row>
      <xdr:rowOff>9525</xdr:rowOff>
    </xdr:to>
    <xdr:sp>
      <xdr:nvSpPr>
        <xdr:cNvPr id="3" name="Retângulo 3"/>
        <xdr:cNvSpPr>
          <a:spLocks/>
        </xdr:cNvSpPr>
      </xdr:nvSpPr>
      <xdr:spPr>
        <a:xfrm>
          <a:off x="8896350" y="0"/>
          <a:ext cx="1057275" cy="28127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0</xdr:rowOff>
    </xdr:from>
    <xdr:to>
      <xdr:col>0</xdr:col>
      <xdr:colOff>457200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457200</xdr:colOff>
      <xdr:row>2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4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181"/>
  <sheetViews>
    <sheetView showGridLines="0" zoomScalePageLayoutView="0" workbookViewId="0" topLeftCell="A1">
      <pane xSplit="2" ySplit="1" topLeftCell="C8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3" sqref="F23"/>
    </sheetView>
  </sheetViews>
  <sheetFormatPr defaultColWidth="9.140625" defaultRowHeight="12.75"/>
  <cols>
    <col min="1" max="1" width="34.00390625" style="0" customWidth="1"/>
    <col min="2" max="2" width="36.28125" style="0" customWidth="1"/>
    <col min="3" max="14" width="15.7109375" style="0" customWidth="1"/>
    <col min="15" max="15" width="12.28125" style="0" bestFit="1" customWidth="1"/>
  </cols>
  <sheetData>
    <row r="1" spans="1:14" ht="12.75">
      <c r="A1" s="349" t="s">
        <v>88</v>
      </c>
      <c r="B1" s="349"/>
      <c r="C1" s="104">
        <v>43101</v>
      </c>
      <c r="D1" s="104">
        <v>43132</v>
      </c>
      <c r="E1" s="104">
        <v>43160</v>
      </c>
      <c r="F1" s="104">
        <v>43191</v>
      </c>
      <c r="G1" s="104">
        <v>43221</v>
      </c>
      <c r="H1" s="104">
        <v>43252</v>
      </c>
      <c r="I1" s="104">
        <v>43282</v>
      </c>
      <c r="J1" s="104">
        <v>43313</v>
      </c>
      <c r="K1" s="104">
        <v>43344</v>
      </c>
      <c r="L1" s="104">
        <v>43374</v>
      </c>
      <c r="M1" s="104">
        <v>43405</v>
      </c>
      <c r="N1" s="104">
        <v>43435</v>
      </c>
    </row>
    <row r="2" spans="1:2" ht="12.75">
      <c r="A2" s="341" t="s">
        <v>92</v>
      </c>
      <c r="B2" s="341"/>
    </row>
    <row r="3" spans="1:2" ht="12.75">
      <c r="A3" s="342" t="s">
        <v>104</v>
      </c>
      <c r="B3" s="343"/>
    </row>
    <row r="4" spans="1:14" ht="12.75">
      <c r="A4" s="346" t="s">
        <v>201</v>
      </c>
      <c r="B4" s="75" t="s">
        <v>93</v>
      </c>
      <c r="C4" s="164">
        <v>20456624</v>
      </c>
      <c r="D4" s="164">
        <v>20456624</v>
      </c>
      <c r="E4" s="164">
        <v>20456624</v>
      </c>
      <c r="F4" s="164">
        <v>20456624</v>
      </c>
      <c r="G4" s="164">
        <v>20456624</v>
      </c>
      <c r="H4" s="164">
        <v>20456624</v>
      </c>
      <c r="I4" s="164">
        <v>20456624</v>
      </c>
      <c r="J4" s="164">
        <v>20456624</v>
      </c>
      <c r="K4" s="164">
        <v>20456624</v>
      </c>
      <c r="L4" s="164">
        <v>20456624</v>
      </c>
      <c r="M4" s="164">
        <v>20456624</v>
      </c>
      <c r="N4" s="164">
        <v>20456624</v>
      </c>
    </row>
    <row r="5" spans="1:14" ht="12.75">
      <c r="A5" s="347"/>
      <c r="B5" s="75" t="s">
        <v>94</v>
      </c>
      <c r="C5" s="124">
        <v>1648138.52</v>
      </c>
      <c r="D5" s="87">
        <v>1254544.62</v>
      </c>
      <c r="E5" s="87">
        <v>1375244.73</v>
      </c>
      <c r="F5" s="87">
        <v>1297128.87</v>
      </c>
      <c r="G5" s="87">
        <v>1180365.43</v>
      </c>
      <c r="H5" s="87"/>
      <c r="I5" s="87"/>
      <c r="J5" s="87"/>
      <c r="K5" s="87"/>
      <c r="L5" s="87"/>
      <c r="M5" s="87"/>
      <c r="N5" s="87"/>
    </row>
    <row r="6" spans="1:14" ht="12.75">
      <c r="A6" s="347"/>
      <c r="B6" s="107" t="s">
        <v>102</v>
      </c>
      <c r="C6" s="108">
        <f>C47</f>
        <v>1648138.52</v>
      </c>
      <c r="D6" s="108">
        <f aca="true" t="shared" si="0" ref="D6:N6">D47</f>
        <v>1254544.62</v>
      </c>
      <c r="E6" s="108">
        <f t="shared" si="0"/>
        <v>1375244.73</v>
      </c>
      <c r="F6" s="108">
        <f t="shared" si="0"/>
        <v>1297128.87</v>
      </c>
      <c r="G6" s="108">
        <f t="shared" si="0"/>
        <v>1180365.43</v>
      </c>
      <c r="H6" s="108">
        <f t="shared" si="0"/>
        <v>0</v>
      </c>
      <c r="I6" s="108">
        <f t="shared" si="0"/>
        <v>0</v>
      </c>
      <c r="J6" s="108">
        <f t="shared" si="0"/>
        <v>0</v>
      </c>
      <c r="K6" s="108">
        <f t="shared" si="0"/>
        <v>0</v>
      </c>
      <c r="L6" s="108">
        <f t="shared" si="0"/>
        <v>0</v>
      </c>
      <c r="M6" s="108">
        <f t="shared" si="0"/>
        <v>0</v>
      </c>
      <c r="N6" s="108">
        <f t="shared" si="0"/>
        <v>0</v>
      </c>
    </row>
    <row r="7" spans="1:14" ht="12.75">
      <c r="A7" s="347"/>
      <c r="B7" s="112" t="s">
        <v>89</v>
      </c>
      <c r="C7" s="113">
        <f>C5-C6</f>
        <v>0</v>
      </c>
      <c r="D7" s="113">
        <f aca="true" t="shared" si="1" ref="D7:N7">+D6-D5</f>
        <v>0</v>
      </c>
      <c r="E7" s="113">
        <f t="shared" si="1"/>
        <v>0</v>
      </c>
      <c r="F7" s="113">
        <f t="shared" si="1"/>
        <v>0</v>
      </c>
      <c r="G7" s="113">
        <f t="shared" si="1"/>
        <v>0</v>
      </c>
      <c r="H7" s="113">
        <f t="shared" si="1"/>
        <v>0</v>
      </c>
      <c r="I7" s="113">
        <f t="shared" si="1"/>
        <v>0</v>
      </c>
      <c r="J7" s="113">
        <f t="shared" si="1"/>
        <v>0</v>
      </c>
      <c r="K7" s="113">
        <f t="shared" si="1"/>
        <v>0</v>
      </c>
      <c r="L7" s="113">
        <f t="shared" si="1"/>
        <v>0</v>
      </c>
      <c r="M7" s="113">
        <f t="shared" si="1"/>
        <v>0</v>
      </c>
      <c r="N7" s="113">
        <f t="shared" si="1"/>
        <v>0</v>
      </c>
    </row>
    <row r="8" spans="1:14" ht="12.75">
      <c r="A8" s="347"/>
      <c r="B8" s="75" t="s">
        <v>95</v>
      </c>
      <c r="C8" s="87">
        <v>1648138.52</v>
      </c>
      <c r="D8" s="87">
        <v>2902683.14</v>
      </c>
      <c r="E8" s="87">
        <v>4277927.87</v>
      </c>
      <c r="F8" s="87">
        <v>5575056.74</v>
      </c>
      <c r="G8" s="87">
        <v>6755422.17</v>
      </c>
      <c r="H8" s="87"/>
      <c r="I8" s="87"/>
      <c r="J8" s="87"/>
      <c r="K8" s="87"/>
      <c r="L8" s="87"/>
      <c r="M8" s="87"/>
      <c r="N8" s="87"/>
    </row>
    <row r="9" spans="1:14" ht="12.75">
      <c r="A9" s="347"/>
      <c r="B9" s="107" t="s">
        <v>103</v>
      </c>
      <c r="C9" s="109">
        <f>C8+C7</f>
        <v>1648138.52</v>
      </c>
      <c r="D9" s="108">
        <f>C9+D6</f>
        <v>2902683.14</v>
      </c>
      <c r="E9" s="108">
        <f aca="true" t="shared" si="2" ref="E9:N9">D9+E6</f>
        <v>4277927.87</v>
      </c>
      <c r="F9" s="108">
        <f t="shared" si="2"/>
        <v>5575056.74</v>
      </c>
      <c r="G9" s="108">
        <f t="shared" si="2"/>
        <v>6755422.17</v>
      </c>
      <c r="H9" s="108">
        <f t="shared" si="2"/>
        <v>6755422.17</v>
      </c>
      <c r="I9" s="108">
        <f t="shared" si="2"/>
        <v>6755422.17</v>
      </c>
      <c r="J9" s="108">
        <f t="shared" si="2"/>
        <v>6755422.17</v>
      </c>
      <c r="K9" s="108">
        <f t="shared" si="2"/>
        <v>6755422.17</v>
      </c>
      <c r="L9" s="108">
        <f t="shared" si="2"/>
        <v>6755422.17</v>
      </c>
      <c r="M9" s="108">
        <f t="shared" si="2"/>
        <v>6755422.17</v>
      </c>
      <c r="N9" s="108">
        <f t="shared" si="2"/>
        <v>6755422.17</v>
      </c>
    </row>
    <row r="10" spans="1:14" ht="12.75" customHeight="1">
      <c r="A10" s="348"/>
      <c r="B10" s="76" t="s">
        <v>86</v>
      </c>
      <c r="C10" s="88">
        <f>C9</f>
        <v>1648138.52</v>
      </c>
      <c r="D10" s="88">
        <f aca="true" t="shared" si="3" ref="D10:N10">+C10+D6</f>
        <v>2902683.14</v>
      </c>
      <c r="E10" s="88">
        <f t="shared" si="3"/>
        <v>4277927.87</v>
      </c>
      <c r="F10" s="88">
        <f t="shared" si="3"/>
        <v>5575056.74</v>
      </c>
      <c r="G10" s="88">
        <f t="shared" si="3"/>
        <v>6755422.17</v>
      </c>
      <c r="H10" s="88">
        <f t="shared" si="3"/>
        <v>6755422.17</v>
      </c>
      <c r="I10" s="88">
        <f t="shared" si="3"/>
        <v>6755422.17</v>
      </c>
      <c r="J10" s="88">
        <f t="shared" si="3"/>
        <v>6755422.17</v>
      </c>
      <c r="K10" s="88">
        <f t="shared" si="3"/>
        <v>6755422.17</v>
      </c>
      <c r="L10" s="88">
        <f t="shared" si="3"/>
        <v>6755422.17</v>
      </c>
      <c r="M10" s="88">
        <f t="shared" si="3"/>
        <v>6755422.17</v>
      </c>
      <c r="N10" s="88">
        <f t="shared" si="3"/>
        <v>6755422.17</v>
      </c>
    </row>
    <row r="11" spans="1:14" s="72" customFormat="1" ht="3.75" customHeight="1">
      <c r="A11" s="78"/>
      <c r="B11" s="7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2.75">
      <c r="A12" s="346" t="s">
        <v>202</v>
      </c>
      <c r="B12" s="75" t="s">
        <v>93</v>
      </c>
      <c r="C12" s="164">
        <v>146220496</v>
      </c>
      <c r="D12" s="164">
        <v>146220496</v>
      </c>
      <c r="E12" s="164">
        <v>146220496</v>
      </c>
      <c r="F12" s="164">
        <v>146220496</v>
      </c>
      <c r="G12" s="164">
        <v>146220496</v>
      </c>
      <c r="H12" s="164">
        <v>146220496</v>
      </c>
      <c r="I12" s="164">
        <v>146220496</v>
      </c>
      <c r="J12" s="164">
        <v>146220496</v>
      </c>
      <c r="K12" s="164">
        <v>146220496</v>
      </c>
      <c r="L12" s="164">
        <v>146220496</v>
      </c>
      <c r="M12" s="164">
        <v>146220496</v>
      </c>
      <c r="N12" s="164">
        <v>146220496</v>
      </c>
    </row>
    <row r="13" spans="1:14" ht="12.75">
      <c r="A13" s="347"/>
      <c r="B13" s="75" t="s">
        <v>94</v>
      </c>
      <c r="C13" s="87">
        <v>747929.24</v>
      </c>
      <c r="D13" s="87">
        <v>407534.34</v>
      </c>
      <c r="E13" s="87">
        <v>1006412.74</v>
      </c>
      <c r="F13" s="87">
        <v>191863.23</v>
      </c>
      <c r="G13" s="87">
        <v>193401.98</v>
      </c>
      <c r="H13" s="87"/>
      <c r="I13" s="87"/>
      <c r="J13" s="87"/>
      <c r="K13" s="87"/>
      <c r="L13" s="87"/>
      <c r="M13" s="87"/>
      <c r="N13" s="87"/>
    </row>
    <row r="14" spans="1:14" ht="12.75">
      <c r="A14" s="347"/>
      <c r="B14" s="107" t="s">
        <v>102</v>
      </c>
      <c r="C14" s="108">
        <f>C49-C50</f>
        <v>747929.24</v>
      </c>
      <c r="D14" s="108">
        <f>D13</f>
        <v>407534.34</v>
      </c>
      <c r="E14" s="108">
        <f>E49-E50</f>
        <v>1006412.74</v>
      </c>
      <c r="F14" s="108">
        <f>F49-F50</f>
        <v>191863.23</v>
      </c>
      <c r="G14" s="108">
        <f>G49-G50</f>
        <v>193401.98</v>
      </c>
      <c r="H14" s="108">
        <f aca="true" t="shared" si="4" ref="H14:N14">H49-H50</f>
        <v>0</v>
      </c>
      <c r="I14" s="108">
        <f t="shared" si="4"/>
        <v>0</v>
      </c>
      <c r="J14" s="108">
        <f t="shared" si="4"/>
        <v>0</v>
      </c>
      <c r="K14" s="108">
        <f t="shared" si="4"/>
        <v>0</v>
      </c>
      <c r="L14" s="108">
        <f t="shared" si="4"/>
        <v>0</v>
      </c>
      <c r="M14" s="108">
        <f t="shared" si="4"/>
        <v>0</v>
      </c>
      <c r="N14" s="108">
        <f t="shared" si="4"/>
        <v>0</v>
      </c>
    </row>
    <row r="15" spans="1:14" ht="12.75">
      <c r="A15" s="347"/>
      <c r="B15" s="112" t="s">
        <v>89</v>
      </c>
      <c r="C15" s="113">
        <f aca="true" t="shared" si="5" ref="C15:N15">+C14-C13</f>
        <v>0</v>
      </c>
      <c r="D15" s="113">
        <f t="shared" si="5"/>
        <v>0</v>
      </c>
      <c r="E15" s="113">
        <f>+E14-E13</f>
        <v>0</v>
      </c>
      <c r="F15" s="113">
        <f>+F14-F13</f>
        <v>0</v>
      </c>
      <c r="G15" s="113">
        <f>+G14-G13</f>
        <v>0</v>
      </c>
      <c r="H15" s="113">
        <f t="shared" si="5"/>
        <v>0</v>
      </c>
      <c r="I15" s="113">
        <f t="shared" si="5"/>
        <v>0</v>
      </c>
      <c r="J15" s="113">
        <f t="shared" si="5"/>
        <v>0</v>
      </c>
      <c r="K15" s="113">
        <f t="shared" si="5"/>
        <v>0</v>
      </c>
      <c r="L15" s="113">
        <f t="shared" si="5"/>
        <v>0</v>
      </c>
      <c r="M15" s="113">
        <f t="shared" si="5"/>
        <v>0</v>
      </c>
      <c r="N15" s="113">
        <f t="shared" si="5"/>
        <v>0</v>
      </c>
    </row>
    <row r="16" spans="1:14" ht="12.75">
      <c r="A16" s="347"/>
      <c r="B16" s="75" t="s">
        <v>95</v>
      </c>
      <c r="C16" s="124">
        <f>747929.24-5000</f>
        <v>742929.24</v>
      </c>
      <c r="D16" s="87">
        <v>1150463.58</v>
      </c>
      <c r="E16" s="87">
        <v>2156876.32</v>
      </c>
      <c r="F16" s="87">
        <v>2348739.55</v>
      </c>
      <c r="G16" s="87">
        <v>2542141.53</v>
      </c>
      <c r="H16" s="87"/>
      <c r="I16" s="87"/>
      <c r="J16" s="87"/>
      <c r="K16" s="87"/>
      <c r="L16" s="87"/>
      <c r="M16" s="87"/>
      <c r="N16" s="87"/>
    </row>
    <row r="17" spans="1:14" ht="12.75">
      <c r="A17" s="347"/>
      <c r="B17" s="107" t="s">
        <v>103</v>
      </c>
      <c r="C17" s="108">
        <f>C16</f>
        <v>742929.24</v>
      </c>
      <c r="D17" s="108">
        <f aca="true" t="shared" si="6" ref="D17:N17">D16</f>
        <v>1150463.58</v>
      </c>
      <c r="E17" s="108">
        <f t="shared" si="6"/>
        <v>2156876.32</v>
      </c>
      <c r="F17" s="108">
        <f t="shared" si="6"/>
        <v>2348739.55</v>
      </c>
      <c r="G17" s="108">
        <f t="shared" si="6"/>
        <v>2542141.53</v>
      </c>
      <c r="H17" s="108">
        <f t="shared" si="6"/>
        <v>0</v>
      </c>
      <c r="I17" s="108">
        <f t="shared" si="6"/>
        <v>0</v>
      </c>
      <c r="J17" s="108">
        <f t="shared" si="6"/>
        <v>0</v>
      </c>
      <c r="K17" s="108">
        <f t="shared" si="6"/>
        <v>0</v>
      </c>
      <c r="L17" s="108">
        <f t="shared" si="6"/>
        <v>0</v>
      </c>
      <c r="M17" s="108">
        <f t="shared" si="6"/>
        <v>0</v>
      </c>
      <c r="N17" s="108">
        <f t="shared" si="6"/>
        <v>0</v>
      </c>
    </row>
    <row r="18" spans="1:14" ht="12.75" customHeight="1">
      <c r="A18" s="348"/>
      <c r="B18" s="76" t="s">
        <v>86</v>
      </c>
      <c r="C18" s="88">
        <f>C17</f>
        <v>742929.24</v>
      </c>
      <c r="D18" s="88">
        <f>+C18+D14</f>
        <v>1150463.58</v>
      </c>
      <c r="E18" s="88">
        <f>+D18+E14</f>
        <v>2156876.3200000003</v>
      </c>
      <c r="F18" s="88">
        <f>+E18+F14</f>
        <v>2348739.5500000003</v>
      </c>
      <c r="G18" s="88">
        <f>+F18+G14</f>
        <v>2542141.5300000003</v>
      </c>
      <c r="H18" s="88">
        <f aca="true" t="shared" si="7" ref="H18:N18">+G18+H14</f>
        <v>2542141.5300000003</v>
      </c>
      <c r="I18" s="88">
        <f t="shared" si="7"/>
        <v>2542141.5300000003</v>
      </c>
      <c r="J18" s="88">
        <f t="shared" si="7"/>
        <v>2542141.5300000003</v>
      </c>
      <c r="K18" s="88">
        <f t="shared" si="7"/>
        <v>2542141.5300000003</v>
      </c>
      <c r="L18" s="88">
        <f t="shared" si="7"/>
        <v>2542141.5300000003</v>
      </c>
      <c r="M18" s="88">
        <f t="shared" si="7"/>
        <v>2542141.5300000003</v>
      </c>
      <c r="N18" s="88">
        <f t="shared" si="7"/>
        <v>2542141.5300000003</v>
      </c>
    </row>
    <row r="19" spans="1:14" s="72" customFormat="1" ht="3.75" customHeight="1">
      <c r="A19" s="80"/>
      <c r="B19" s="7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2.75">
      <c r="A20" s="350" t="s">
        <v>208</v>
      </c>
      <c r="B20" s="75" t="s">
        <v>93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</row>
    <row r="21" spans="1:14" ht="12.75">
      <c r="A21" s="347"/>
      <c r="B21" s="75" t="s">
        <v>94</v>
      </c>
      <c r="C21" s="87">
        <v>162938.57</v>
      </c>
      <c r="D21" s="87">
        <v>0</v>
      </c>
      <c r="E21" s="87">
        <v>156040.24</v>
      </c>
      <c r="F21" s="87">
        <v>94147.07</v>
      </c>
      <c r="G21" s="87">
        <v>82206.09</v>
      </c>
      <c r="H21" s="144"/>
      <c r="I21" s="87"/>
      <c r="J21" s="87"/>
      <c r="K21" s="87"/>
      <c r="L21" s="87"/>
      <c r="M21" s="87"/>
      <c r="N21" s="87"/>
    </row>
    <row r="22" spans="1:14" ht="12.75">
      <c r="A22" s="347"/>
      <c r="B22" s="114" t="s">
        <v>102</v>
      </c>
      <c r="C22" s="115">
        <f>C51</f>
        <v>162938.57</v>
      </c>
      <c r="D22" s="115">
        <f aca="true" t="shared" si="8" ref="D22:N22">D51</f>
        <v>0</v>
      </c>
      <c r="E22" s="115">
        <f t="shared" si="8"/>
        <v>156040.24</v>
      </c>
      <c r="F22" s="115">
        <f t="shared" si="8"/>
        <v>94147.07</v>
      </c>
      <c r="G22" s="115">
        <f t="shared" si="8"/>
        <v>82206.09</v>
      </c>
      <c r="H22" s="115">
        <f t="shared" si="8"/>
        <v>0</v>
      </c>
      <c r="I22" s="115">
        <f t="shared" si="8"/>
        <v>0</v>
      </c>
      <c r="J22" s="115">
        <f t="shared" si="8"/>
        <v>0</v>
      </c>
      <c r="K22" s="115">
        <f t="shared" si="8"/>
        <v>0</v>
      </c>
      <c r="L22" s="115">
        <f t="shared" si="8"/>
        <v>0</v>
      </c>
      <c r="M22" s="115">
        <f t="shared" si="8"/>
        <v>0</v>
      </c>
      <c r="N22" s="115">
        <f t="shared" si="8"/>
        <v>0</v>
      </c>
    </row>
    <row r="23" spans="1:14" ht="12.75">
      <c r="A23" s="347"/>
      <c r="B23" s="112" t="s">
        <v>89</v>
      </c>
      <c r="C23" s="113">
        <f>+C22-C21</f>
        <v>0</v>
      </c>
      <c r="D23" s="113">
        <v>0</v>
      </c>
      <c r="E23" s="113">
        <f aca="true" t="shared" si="9" ref="E23:N23">+E22-E21</f>
        <v>0</v>
      </c>
      <c r="F23" s="113">
        <f t="shared" si="9"/>
        <v>0</v>
      </c>
      <c r="G23" s="113">
        <f t="shared" si="9"/>
        <v>0</v>
      </c>
      <c r="H23" s="113">
        <f t="shared" si="9"/>
        <v>0</v>
      </c>
      <c r="I23" s="113">
        <f t="shared" si="9"/>
        <v>0</v>
      </c>
      <c r="J23" s="113">
        <f t="shared" si="9"/>
        <v>0</v>
      </c>
      <c r="K23" s="113">
        <f t="shared" si="9"/>
        <v>0</v>
      </c>
      <c r="L23" s="113">
        <f t="shared" si="9"/>
        <v>0</v>
      </c>
      <c r="M23" s="113">
        <f t="shared" si="9"/>
        <v>0</v>
      </c>
      <c r="N23" s="113">
        <f t="shared" si="9"/>
        <v>0</v>
      </c>
    </row>
    <row r="24" spans="1:14" ht="12.75">
      <c r="A24" s="347"/>
      <c r="B24" s="75" t="s">
        <v>95</v>
      </c>
      <c r="C24" s="87">
        <v>162938.57</v>
      </c>
      <c r="D24" s="87">
        <v>162938.57</v>
      </c>
      <c r="E24" s="87">
        <v>318978.81</v>
      </c>
      <c r="F24" s="87">
        <v>413125.88</v>
      </c>
      <c r="G24" s="87">
        <v>495331.97</v>
      </c>
      <c r="H24" s="144"/>
      <c r="I24" s="87"/>
      <c r="J24" s="87"/>
      <c r="K24" s="87"/>
      <c r="L24" s="87"/>
      <c r="M24" s="87"/>
      <c r="N24" s="87"/>
    </row>
    <row r="25" spans="1:14" ht="12.75">
      <c r="A25" s="347"/>
      <c r="B25" s="76" t="s">
        <v>103</v>
      </c>
      <c r="C25" s="87">
        <v>162938.57</v>
      </c>
      <c r="D25" s="87">
        <v>162938.57</v>
      </c>
      <c r="E25" s="87">
        <v>318978.81</v>
      </c>
      <c r="F25" s="87">
        <v>413125.88</v>
      </c>
      <c r="G25" s="87">
        <v>495331.97</v>
      </c>
      <c r="H25" s="87"/>
      <c r="I25" s="87"/>
      <c r="J25" s="87"/>
      <c r="K25" s="87"/>
      <c r="L25" s="87"/>
      <c r="M25" s="87"/>
      <c r="N25" s="87"/>
    </row>
    <row r="26" spans="1:14" ht="12.75">
      <c r="A26" s="348"/>
      <c r="B26" s="76" t="s">
        <v>86</v>
      </c>
      <c r="C26" s="88">
        <f>C25</f>
        <v>162938.57</v>
      </c>
      <c r="D26" s="88">
        <f aca="true" t="shared" si="10" ref="D26:N26">+C26+D22</f>
        <v>162938.57</v>
      </c>
      <c r="E26" s="88">
        <f t="shared" si="10"/>
        <v>318978.81</v>
      </c>
      <c r="F26" s="88">
        <f t="shared" si="10"/>
        <v>413125.88</v>
      </c>
      <c r="G26" s="88">
        <f t="shared" si="10"/>
        <v>495331.97</v>
      </c>
      <c r="H26" s="88">
        <f t="shared" si="10"/>
        <v>495331.97</v>
      </c>
      <c r="I26" s="88">
        <f t="shared" si="10"/>
        <v>495331.97</v>
      </c>
      <c r="J26" s="88">
        <f t="shared" si="10"/>
        <v>495331.97</v>
      </c>
      <c r="K26" s="88">
        <f t="shared" si="10"/>
        <v>495331.97</v>
      </c>
      <c r="L26" s="88">
        <f t="shared" si="10"/>
        <v>495331.97</v>
      </c>
      <c r="M26" s="88">
        <f t="shared" si="10"/>
        <v>495331.97</v>
      </c>
      <c r="N26" s="88">
        <f t="shared" si="10"/>
        <v>495331.97</v>
      </c>
    </row>
    <row r="27" spans="1:14" s="72" customFormat="1" ht="3.75" customHeight="1">
      <c r="A27" s="80"/>
      <c r="B27" s="7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 ht="12.75">
      <c r="A28" s="346" t="s">
        <v>203</v>
      </c>
      <c r="B28" s="75" t="s">
        <v>93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</row>
    <row r="29" spans="1:14" ht="12.75">
      <c r="A29" s="347"/>
      <c r="B29" s="75" t="s">
        <v>94</v>
      </c>
      <c r="C29" s="87">
        <v>131386.59</v>
      </c>
      <c r="D29" s="87">
        <v>74311.22</v>
      </c>
      <c r="E29" s="87">
        <v>113417.79</v>
      </c>
      <c r="F29" s="87">
        <v>50987.13</v>
      </c>
      <c r="G29" s="87">
        <v>19573.05</v>
      </c>
      <c r="H29" s="87"/>
      <c r="I29" s="87"/>
      <c r="J29" s="87"/>
      <c r="K29" s="87"/>
      <c r="L29" s="87"/>
      <c r="M29" s="87"/>
      <c r="N29" s="87"/>
    </row>
    <row r="30" spans="1:14" ht="12.75">
      <c r="A30" s="347"/>
      <c r="B30" s="114" t="s">
        <v>102</v>
      </c>
      <c r="C30" s="115">
        <f>C52</f>
        <v>131386.59</v>
      </c>
      <c r="D30" s="115">
        <f>D52</f>
        <v>74311.22</v>
      </c>
      <c r="E30" s="115">
        <f aca="true" t="shared" si="11" ref="E30:N30">E52</f>
        <v>113417.79</v>
      </c>
      <c r="F30" s="115">
        <f t="shared" si="11"/>
        <v>50987.13</v>
      </c>
      <c r="G30" s="115">
        <f t="shared" si="11"/>
        <v>19573.05</v>
      </c>
      <c r="H30" s="115">
        <f t="shared" si="11"/>
        <v>0</v>
      </c>
      <c r="I30" s="115">
        <f t="shared" si="11"/>
        <v>0</v>
      </c>
      <c r="J30" s="115">
        <f t="shared" si="11"/>
        <v>0</v>
      </c>
      <c r="K30" s="115">
        <f t="shared" si="11"/>
        <v>0</v>
      </c>
      <c r="L30" s="115">
        <f t="shared" si="11"/>
        <v>0</v>
      </c>
      <c r="M30" s="115">
        <f t="shared" si="11"/>
        <v>0</v>
      </c>
      <c r="N30" s="115">
        <f t="shared" si="11"/>
        <v>0</v>
      </c>
    </row>
    <row r="31" spans="1:14" ht="12.75">
      <c r="A31" s="347"/>
      <c r="B31" s="112" t="s">
        <v>89</v>
      </c>
      <c r="C31" s="113">
        <f>+C30-C29</f>
        <v>0</v>
      </c>
      <c r="D31" s="113">
        <v>0</v>
      </c>
      <c r="E31" s="113">
        <f>+E30-E29</f>
        <v>0</v>
      </c>
      <c r="F31" s="113">
        <f>+F30-F29</f>
        <v>0</v>
      </c>
      <c r="G31" s="113">
        <f>+G30-G29</f>
        <v>0</v>
      </c>
      <c r="H31" s="113">
        <f aca="true" t="shared" si="12" ref="H31:N31">+H30-H29</f>
        <v>0</v>
      </c>
      <c r="I31" s="113">
        <f t="shared" si="12"/>
        <v>0</v>
      </c>
      <c r="J31" s="113">
        <f t="shared" si="12"/>
        <v>0</v>
      </c>
      <c r="K31" s="113">
        <f t="shared" si="12"/>
        <v>0</v>
      </c>
      <c r="L31" s="113">
        <f t="shared" si="12"/>
        <v>0</v>
      </c>
      <c r="M31" s="113">
        <f t="shared" si="12"/>
        <v>0</v>
      </c>
      <c r="N31" s="113">
        <f t="shared" si="12"/>
        <v>0</v>
      </c>
    </row>
    <row r="32" spans="1:14" ht="12.75">
      <c r="A32" s="347"/>
      <c r="B32" s="75" t="s">
        <v>95</v>
      </c>
      <c r="C32" s="87">
        <v>131386.59</v>
      </c>
      <c r="D32" s="87">
        <v>205697.81</v>
      </c>
      <c r="E32" s="87">
        <v>319115.6</v>
      </c>
      <c r="F32" s="87">
        <v>370102.73</v>
      </c>
      <c r="G32" s="87">
        <v>389675.78</v>
      </c>
      <c r="H32" s="87"/>
      <c r="I32" s="87"/>
      <c r="J32" s="87"/>
      <c r="K32" s="87"/>
      <c r="L32" s="87"/>
      <c r="M32" s="87"/>
      <c r="N32" s="87"/>
    </row>
    <row r="33" spans="1:14" ht="12.75">
      <c r="A33" s="347"/>
      <c r="B33" s="114" t="s">
        <v>103</v>
      </c>
      <c r="C33" s="115">
        <f>C52</f>
        <v>131386.59</v>
      </c>
      <c r="D33" s="115">
        <f>D52</f>
        <v>74311.22</v>
      </c>
      <c r="E33" s="115">
        <f aca="true" t="shared" si="13" ref="E33:N33">E52</f>
        <v>113417.79</v>
      </c>
      <c r="F33" s="115">
        <f t="shared" si="13"/>
        <v>50987.13</v>
      </c>
      <c r="G33" s="115">
        <f t="shared" si="13"/>
        <v>19573.05</v>
      </c>
      <c r="H33" s="115">
        <f t="shared" si="13"/>
        <v>0</v>
      </c>
      <c r="I33" s="115">
        <f t="shared" si="13"/>
        <v>0</v>
      </c>
      <c r="J33" s="115">
        <f t="shared" si="13"/>
        <v>0</v>
      </c>
      <c r="K33" s="115">
        <f t="shared" si="13"/>
        <v>0</v>
      </c>
      <c r="L33" s="115">
        <f>L52</f>
        <v>0</v>
      </c>
      <c r="M33" s="115">
        <f t="shared" si="13"/>
        <v>0</v>
      </c>
      <c r="N33" s="115">
        <f t="shared" si="13"/>
        <v>0</v>
      </c>
    </row>
    <row r="34" spans="1:14" ht="12.75">
      <c r="A34" s="348"/>
      <c r="B34" s="76" t="s">
        <v>86</v>
      </c>
      <c r="C34" s="88">
        <f>C33</f>
        <v>131386.59</v>
      </c>
      <c r="D34" s="88">
        <f>+C34+D30</f>
        <v>205697.81</v>
      </c>
      <c r="E34" s="88">
        <f aca="true" t="shared" si="14" ref="E34:N34">+D34+E30</f>
        <v>319115.6</v>
      </c>
      <c r="F34" s="88">
        <f t="shared" si="14"/>
        <v>370102.73</v>
      </c>
      <c r="G34" s="88">
        <f t="shared" si="14"/>
        <v>389675.77999999997</v>
      </c>
      <c r="H34" s="88">
        <f t="shared" si="14"/>
        <v>389675.77999999997</v>
      </c>
      <c r="I34" s="88">
        <f t="shared" si="14"/>
        <v>389675.77999999997</v>
      </c>
      <c r="J34" s="88">
        <f t="shared" si="14"/>
        <v>389675.77999999997</v>
      </c>
      <c r="K34" s="88">
        <f t="shared" si="14"/>
        <v>389675.77999999997</v>
      </c>
      <c r="L34" s="88">
        <f t="shared" si="14"/>
        <v>389675.77999999997</v>
      </c>
      <c r="M34" s="88">
        <f t="shared" si="14"/>
        <v>389675.77999999997</v>
      </c>
      <c r="N34" s="88">
        <f t="shared" si="14"/>
        <v>389675.77999999997</v>
      </c>
    </row>
    <row r="35" spans="1:14" s="120" customFormat="1" ht="12.75">
      <c r="A35" s="125"/>
      <c r="B35" s="121" t="s">
        <v>129</v>
      </c>
      <c r="C35" s="122">
        <f>C26+C18+C10+C34</f>
        <v>2685392.92</v>
      </c>
      <c r="D35" s="122">
        <f>D26+D18+D10+D34</f>
        <v>4421783.1</v>
      </c>
      <c r="E35" s="122">
        <f aca="true" t="shared" si="15" ref="E35:N35">E26+E18+E10+E34</f>
        <v>7072898.6</v>
      </c>
      <c r="F35" s="122">
        <f>F26+F18+F10+F34</f>
        <v>8707024.9</v>
      </c>
      <c r="G35" s="122">
        <f>G26+G18+G10+G34</f>
        <v>10182571.45</v>
      </c>
      <c r="H35" s="142">
        <f t="shared" si="15"/>
        <v>10182571.45</v>
      </c>
      <c r="I35" s="122">
        <f t="shared" si="15"/>
        <v>10182571.45</v>
      </c>
      <c r="J35" s="122">
        <f t="shared" si="15"/>
        <v>10182571.45</v>
      </c>
      <c r="K35" s="122">
        <f t="shared" si="15"/>
        <v>10182571.45</v>
      </c>
      <c r="L35" s="122">
        <f t="shared" si="15"/>
        <v>10182571.45</v>
      </c>
      <c r="M35" s="122">
        <f t="shared" si="15"/>
        <v>10182571.45</v>
      </c>
      <c r="N35" s="122">
        <f t="shared" si="15"/>
        <v>10182571.45</v>
      </c>
    </row>
    <row r="36" spans="1:14" s="72" customFormat="1" ht="3.75" customHeight="1">
      <c r="A36" s="80"/>
      <c r="B36" s="81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12.75" customHeight="1">
      <c r="A37" s="337" t="s">
        <v>101</v>
      </c>
      <c r="B37" s="337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1:14" ht="12.75">
      <c r="A38" s="351" t="s">
        <v>175</v>
      </c>
      <c r="B38" s="75" t="s">
        <v>93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</row>
    <row r="39" spans="1:14" ht="12.75">
      <c r="A39" s="351"/>
      <c r="B39" s="75" t="s">
        <v>94</v>
      </c>
      <c r="C39" s="87">
        <v>0</v>
      </c>
      <c r="D39" s="87"/>
      <c r="E39" s="87"/>
      <c r="F39" s="87"/>
      <c r="G39" s="87">
        <v>299.76</v>
      </c>
      <c r="H39" s="87"/>
      <c r="I39" s="87"/>
      <c r="J39" s="87"/>
      <c r="K39" s="87"/>
      <c r="L39" s="87"/>
      <c r="M39" s="87"/>
      <c r="N39" s="87"/>
    </row>
    <row r="40" spans="1:14" ht="12.75">
      <c r="A40" s="351"/>
      <c r="B40" s="107" t="s">
        <v>102</v>
      </c>
      <c r="C40" s="108">
        <f>C53</f>
        <v>0</v>
      </c>
      <c r="D40" s="108">
        <f>D39</f>
        <v>0</v>
      </c>
      <c r="E40" s="108">
        <f aca="true" t="shared" si="16" ref="E40:N40">E39</f>
        <v>0</v>
      </c>
      <c r="F40" s="108">
        <f t="shared" si="16"/>
        <v>0</v>
      </c>
      <c r="G40" s="108">
        <f t="shared" si="16"/>
        <v>299.76</v>
      </c>
      <c r="H40" s="108">
        <f t="shared" si="16"/>
        <v>0</v>
      </c>
      <c r="I40" s="108">
        <f t="shared" si="16"/>
        <v>0</v>
      </c>
      <c r="J40" s="108">
        <f t="shared" si="16"/>
        <v>0</v>
      </c>
      <c r="K40" s="108">
        <f t="shared" si="16"/>
        <v>0</v>
      </c>
      <c r="L40" s="108">
        <f t="shared" si="16"/>
        <v>0</v>
      </c>
      <c r="M40" s="108">
        <f t="shared" si="16"/>
        <v>0</v>
      </c>
      <c r="N40" s="108">
        <f t="shared" si="16"/>
        <v>0</v>
      </c>
    </row>
    <row r="41" spans="1:14" ht="12.75">
      <c r="A41" s="351"/>
      <c r="B41" s="112" t="s">
        <v>89</v>
      </c>
      <c r="C41" s="113">
        <f>+C40-C39</f>
        <v>0</v>
      </c>
      <c r="D41" s="113">
        <v>0</v>
      </c>
      <c r="E41" s="113">
        <f aca="true" t="shared" si="17" ref="E41:N41">+E40-E39</f>
        <v>0</v>
      </c>
      <c r="F41" s="113">
        <f t="shared" si="17"/>
        <v>0</v>
      </c>
      <c r="G41" s="113">
        <f t="shared" si="17"/>
        <v>0</v>
      </c>
      <c r="H41" s="113">
        <f t="shared" si="17"/>
        <v>0</v>
      </c>
      <c r="I41" s="113">
        <f t="shared" si="17"/>
        <v>0</v>
      </c>
      <c r="J41" s="113">
        <f t="shared" si="17"/>
        <v>0</v>
      </c>
      <c r="K41" s="113">
        <f t="shared" si="17"/>
        <v>0</v>
      </c>
      <c r="L41" s="113">
        <f t="shared" si="17"/>
        <v>0</v>
      </c>
      <c r="M41" s="113">
        <f t="shared" si="17"/>
        <v>0</v>
      </c>
      <c r="N41" s="113">
        <f t="shared" si="17"/>
        <v>0</v>
      </c>
    </row>
    <row r="42" spans="1:14" ht="12.75">
      <c r="A42" s="351"/>
      <c r="B42" s="75" t="s">
        <v>95</v>
      </c>
      <c r="C42" s="87">
        <v>0</v>
      </c>
      <c r="D42" s="87"/>
      <c r="E42" s="87"/>
      <c r="F42" s="87"/>
      <c r="G42" s="87">
        <v>299.76</v>
      </c>
      <c r="H42" s="87"/>
      <c r="I42" s="87"/>
      <c r="J42" s="87"/>
      <c r="K42" s="87"/>
      <c r="L42" s="87"/>
      <c r="M42" s="87"/>
      <c r="N42" s="87"/>
    </row>
    <row r="43" spans="1:14" ht="12.75">
      <c r="A43" s="351"/>
      <c r="B43" s="107" t="s">
        <v>103</v>
      </c>
      <c r="C43" s="108">
        <f>C42</f>
        <v>0</v>
      </c>
      <c r="D43" s="108">
        <f>C43+D40</f>
        <v>0</v>
      </c>
      <c r="E43" s="108">
        <f aca="true" t="shared" si="18" ref="E43:N43">D43+E40</f>
        <v>0</v>
      </c>
      <c r="F43" s="108">
        <f t="shared" si="18"/>
        <v>0</v>
      </c>
      <c r="G43" s="108">
        <f t="shared" si="18"/>
        <v>299.76</v>
      </c>
      <c r="H43" s="108">
        <f t="shared" si="18"/>
        <v>299.76</v>
      </c>
      <c r="I43" s="108">
        <f t="shared" si="18"/>
        <v>299.76</v>
      </c>
      <c r="J43" s="108">
        <f t="shared" si="18"/>
        <v>299.76</v>
      </c>
      <c r="K43" s="108">
        <f t="shared" si="18"/>
        <v>299.76</v>
      </c>
      <c r="L43" s="108">
        <f t="shared" si="18"/>
        <v>299.76</v>
      </c>
      <c r="M43" s="108">
        <f t="shared" si="18"/>
        <v>299.76</v>
      </c>
      <c r="N43" s="108">
        <f t="shared" si="18"/>
        <v>299.76</v>
      </c>
    </row>
    <row r="44" spans="1:14" ht="12.75">
      <c r="A44" s="351"/>
      <c r="B44" s="121" t="s">
        <v>86</v>
      </c>
      <c r="C44" s="122">
        <f>C43</f>
        <v>0</v>
      </c>
      <c r="D44" s="122">
        <f aca="true" t="shared" si="19" ref="D44:N44">+C44+D40</f>
        <v>0</v>
      </c>
      <c r="E44" s="122">
        <f t="shared" si="19"/>
        <v>0</v>
      </c>
      <c r="F44" s="122">
        <f t="shared" si="19"/>
        <v>0</v>
      </c>
      <c r="G44" s="122">
        <f t="shared" si="19"/>
        <v>299.76</v>
      </c>
      <c r="H44" s="122">
        <f t="shared" si="19"/>
        <v>299.76</v>
      </c>
      <c r="I44" s="122">
        <f t="shared" si="19"/>
        <v>299.76</v>
      </c>
      <c r="J44" s="122">
        <f t="shared" si="19"/>
        <v>299.76</v>
      </c>
      <c r="K44" s="122">
        <f t="shared" si="19"/>
        <v>299.76</v>
      </c>
      <c r="L44" s="122">
        <f t="shared" si="19"/>
        <v>299.76</v>
      </c>
      <c r="M44" s="122">
        <f t="shared" si="19"/>
        <v>299.76</v>
      </c>
      <c r="N44" s="122">
        <f t="shared" si="19"/>
        <v>299.76</v>
      </c>
    </row>
    <row r="45" spans="3:14" ht="12.7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</row>
    <row r="46" spans="1:14" ht="12.75">
      <c r="A46" s="341" t="s">
        <v>106</v>
      </c>
      <c r="B46" s="34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</row>
    <row r="47" spans="1:14" ht="12.75">
      <c r="A47" s="344" t="s">
        <v>204</v>
      </c>
      <c r="B47" s="110" t="s">
        <v>209</v>
      </c>
      <c r="C47" s="108">
        <f>C5</f>
        <v>1648138.52</v>
      </c>
      <c r="D47" s="108">
        <f aca="true" t="shared" si="20" ref="D47:N47">D5</f>
        <v>1254544.62</v>
      </c>
      <c r="E47" s="108">
        <f t="shared" si="20"/>
        <v>1375244.73</v>
      </c>
      <c r="F47" s="108">
        <f t="shared" si="20"/>
        <v>1297128.87</v>
      </c>
      <c r="G47" s="108">
        <f t="shared" si="20"/>
        <v>1180365.43</v>
      </c>
      <c r="H47" s="108">
        <f t="shared" si="20"/>
        <v>0</v>
      </c>
      <c r="I47" s="108">
        <f t="shared" si="20"/>
        <v>0</v>
      </c>
      <c r="J47" s="108">
        <f t="shared" si="20"/>
        <v>0</v>
      </c>
      <c r="K47" s="108">
        <f t="shared" si="20"/>
        <v>0</v>
      </c>
      <c r="L47" s="108">
        <f t="shared" si="20"/>
        <v>0</v>
      </c>
      <c r="M47" s="108">
        <f t="shared" si="20"/>
        <v>0</v>
      </c>
      <c r="N47" s="108">
        <f t="shared" si="20"/>
        <v>0</v>
      </c>
    </row>
    <row r="48" spans="1:15" ht="12.75">
      <c r="A48" s="345"/>
      <c r="B48" s="83" t="s">
        <v>219</v>
      </c>
      <c r="C48" s="87">
        <v>87423.17</v>
      </c>
      <c r="D48" s="87">
        <v>61559.73</v>
      </c>
      <c r="E48" s="87">
        <v>44667.89</v>
      </c>
      <c r="F48" s="87">
        <v>113634.37</v>
      </c>
      <c r="G48" s="87">
        <v>120268.9</v>
      </c>
      <c r="H48" s="87"/>
      <c r="I48" s="87"/>
      <c r="J48" s="87"/>
      <c r="K48" s="87"/>
      <c r="L48" s="87"/>
      <c r="M48" s="87"/>
      <c r="N48" s="87"/>
      <c r="O48" s="90">
        <f>SUM(C48:N48)</f>
        <v>427554.05999999994</v>
      </c>
    </row>
    <row r="49" spans="1:14" ht="12.75" customHeight="1">
      <c r="A49" s="344" t="s">
        <v>205</v>
      </c>
      <c r="B49" s="111" t="s">
        <v>210</v>
      </c>
      <c r="C49" s="108">
        <f>C13</f>
        <v>747929.24</v>
      </c>
      <c r="D49" s="108">
        <f aca="true" t="shared" si="21" ref="D49:N49">D13</f>
        <v>407534.34</v>
      </c>
      <c r="E49" s="108">
        <f t="shared" si="21"/>
        <v>1006412.74</v>
      </c>
      <c r="F49" s="108">
        <f t="shared" si="21"/>
        <v>191863.23</v>
      </c>
      <c r="G49" s="108">
        <f t="shared" si="21"/>
        <v>193401.98</v>
      </c>
      <c r="H49" s="108">
        <f t="shared" si="21"/>
        <v>0</v>
      </c>
      <c r="I49" s="108">
        <f t="shared" si="21"/>
        <v>0</v>
      </c>
      <c r="J49" s="108">
        <f t="shared" si="21"/>
        <v>0</v>
      </c>
      <c r="K49" s="108">
        <f t="shared" si="21"/>
        <v>0</v>
      </c>
      <c r="L49" s="108">
        <f t="shared" si="21"/>
        <v>0</v>
      </c>
      <c r="M49" s="108">
        <f t="shared" si="21"/>
        <v>0</v>
      </c>
      <c r="N49" s="108">
        <f t="shared" si="21"/>
        <v>0</v>
      </c>
    </row>
    <row r="50" spans="1:14" ht="12.75" customHeight="1">
      <c r="A50" s="345"/>
      <c r="B50" s="83" t="s">
        <v>108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/>
      <c r="I50" s="87"/>
      <c r="J50" s="87"/>
      <c r="K50" s="87"/>
      <c r="L50" s="87"/>
      <c r="M50" s="87"/>
      <c r="N50" s="87"/>
    </row>
    <row r="51" spans="1:14" ht="12.75">
      <c r="A51" s="73" t="s">
        <v>207</v>
      </c>
      <c r="B51" s="106" t="s">
        <v>211</v>
      </c>
      <c r="C51" s="87">
        <v>162938.57</v>
      </c>
      <c r="D51" s="87">
        <v>0</v>
      </c>
      <c r="E51" s="87">
        <v>156040.24</v>
      </c>
      <c r="F51" s="200">
        <v>94147.07</v>
      </c>
      <c r="G51" s="87">
        <v>82206.09</v>
      </c>
      <c r="H51" s="87"/>
      <c r="I51" s="87"/>
      <c r="J51" s="87"/>
      <c r="K51" s="87"/>
      <c r="L51" s="87"/>
      <c r="M51" s="87"/>
      <c r="N51" s="87"/>
    </row>
    <row r="52" spans="1:14" ht="12.75">
      <c r="A52" s="105" t="s">
        <v>206</v>
      </c>
      <c r="B52" s="106" t="s">
        <v>212</v>
      </c>
      <c r="C52" s="87">
        <v>131386.59</v>
      </c>
      <c r="D52" s="87">
        <v>74311.22</v>
      </c>
      <c r="E52" s="87">
        <v>113417.79</v>
      </c>
      <c r="F52" s="200">
        <v>50987.13</v>
      </c>
      <c r="G52" s="87">
        <v>19573.05</v>
      </c>
      <c r="H52" s="87"/>
      <c r="I52" s="87"/>
      <c r="J52" s="87"/>
      <c r="K52" s="87"/>
      <c r="L52" s="87"/>
      <c r="M52" s="87"/>
      <c r="N52" s="87"/>
    </row>
    <row r="53" spans="1:14" ht="12.75">
      <c r="A53" s="191" t="s">
        <v>87</v>
      </c>
      <c r="B53" s="195" t="s">
        <v>107</v>
      </c>
      <c r="C53" s="87">
        <v>0</v>
      </c>
      <c r="D53" s="87">
        <v>0</v>
      </c>
      <c r="E53" s="87">
        <v>0</v>
      </c>
      <c r="F53" s="87">
        <v>0</v>
      </c>
      <c r="G53" s="87">
        <v>299.76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</row>
    <row r="54" spans="2:14" s="120" customFormat="1" ht="12.75">
      <c r="B54" s="121" t="s">
        <v>86</v>
      </c>
      <c r="C54" s="122">
        <f>C47+C49+C51+C52+C53</f>
        <v>2690392.9199999995</v>
      </c>
      <c r="D54" s="122">
        <f aca="true" t="shared" si="22" ref="D54:M54">D47+D49+D51+D52+D53</f>
        <v>1736390.1800000002</v>
      </c>
      <c r="E54" s="122">
        <f t="shared" si="22"/>
        <v>2651115.5</v>
      </c>
      <c r="F54" s="122">
        <f t="shared" si="22"/>
        <v>1634126.3</v>
      </c>
      <c r="G54" s="122">
        <f t="shared" si="22"/>
        <v>1475846.31</v>
      </c>
      <c r="H54" s="142">
        <f t="shared" si="22"/>
        <v>0</v>
      </c>
      <c r="I54" s="122">
        <f t="shared" si="22"/>
        <v>0</v>
      </c>
      <c r="J54" s="122">
        <f t="shared" si="22"/>
        <v>0</v>
      </c>
      <c r="K54" s="122">
        <f t="shared" si="22"/>
        <v>0</v>
      </c>
      <c r="L54" s="122">
        <f t="shared" si="22"/>
        <v>0</v>
      </c>
      <c r="M54" s="122">
        <f t="shared" si="22"/>
        <v>0</v>
      </c>
      <c r="N54" s="122">
        <f>N47+N49+N51+N52+N53</f>
        <v>0</v>
      </c>
    </row>
    <row r="55" spans="3:14" ht="12.75"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ht="12.75">
      <c r="A56" s="341" t="s">
        <v>105</v>
      </c>
      <c r="B56" s="341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ht="12.75">
      <c r="A57" s="82" t="s">
        <v>96</v>
      </c>
      <c r="B57" s="77" t="s">
        <v>100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ht="12.75">
      <c r="A58" s="74" t="s">
        <v>97</v>
      </c>
      <c r="B58" s="92">
        <v>1629</v>
      </c>
      <c r="C58" s="92">
        <v>1629</v>
      </c>
      <c r="D58" s="92">
        <v>1816.4</v>
      </c>
      <c r="E58" s="92">
        <v>1629</v>
      </c>
      <c r="F58" s="201">
        <v>1629</v>
      </c>
      <c r="G58" s="92">
        <v>1629</v>
      </c>
      <c r="H58" s="143"/>
      <c r="I58" s="92"/>
      <c r="J58" s="92"/>
      <c r="K58" s="92"/>
      <c r="L58" s="92"/>
      <c r="M58" s="92"/>
      <c r="N58" s="92"/>
    </row>
    <row r="59" spans="1:14" ht="12.75">
      <c r="A59" s="74" t="s">
        <v>98</v>
      </c>
      <c r="B59" s="92">
        <v>265722391.44</v>
      </c>
      <c r="C59" s="92">
        <v>256282617.62</v>
      </c>
      <c r="D59" s="92">
        <v>254276964.77</v>
      </c>
      <c r="E59" s="92">
        <v>247309360.69</v>
      </c>
      <c r="F59" s="201">
        <v>226567211.21</v>
      </c>
      <c r="G59" s="92">
        <v>223333234.95</v>
      </c>
      <c r="H59" s="143"/>
      <c r="I59" s="92"/>
      <c r="J59" s="92"/>
      <c r="K59" s="92"/>
      <c r="L59" s="92"/>
      <c r="M59" s="92"/>
      <c r="N59" s="92"/>
    </row>
    <row r="60" spans="1:14" ht="12.75">
      <c r="A60" s="74" t="s">
        <v>99</v>
      </c>
      <c r="B60" s="92">
        <v>32</v>
      </c>
      <c r="C60" s="92">
        <v>32</v>
      </c>
      <c r="D60" s="92">
        <v>32</v>
      </c>
      <c r="E60" s="92">
        <v>32</v>
      </c>
      <c r="F60" s="201">
        <v>32</v>
      </c>
      <c r="G60" s="92">
        <v>32</v>
      </c>
      <c r="H60" s="143"/>
      <c r="I60" s="92"/>
      <c r="J60" s="92"/>
      <c r="K60" s="92"/>
      <c r="L60" s="92"/>
      <c r="M60" s="92"/>
      <c r="N60" s="92"/>
    </row>
    <row r="61" spans="1:14" ht="12.75">
      <c r="A61" s="74" t="s">
        <v>152</v>
      </c>
      <c r="B61" s="92">
        <v>0</v>
      </c>
      <c r="C61" s="92">
        <v>0</v>
      </c>
      <c r="D61" s="92">
        <v>0</v>
      </c>
      <c r="E61" s="92"/>
      <c r="F61" s="92">
        <v>0</v>
      </c>
      <c r="G61" s="92">
        <v>0</v>
      </c>
      <c r="H61" s="143"/>
      <c r="I61" s="92"/>
      <c r="J61" s="92"/>
      <c r="K61" s="92"/>
      <c r="L61" s="92"/>
      <c r="M61" s="92"/>
      <c r="N61" s="92"/>
    </row>
    <row r="62" spans="1:14" ht="12.75">
      <c r="A62" s="74" t="s">
        <v>139</v>
      </c>
      <c r="B62" s="92">
        <v>0</v>
      </c>
      <c r="C62" s="92">
        <v>0</v>
      </c>
      <c r="D62" s="92">
        <v>0</v>
      </c>
      <c r="E62" s="92"/>
      <c r="F62" s="92">
        <v>0</v>
      </c>
      <c r="G62" s="92">
        <v>0</v>
      </c>
      <c r="H62" s="143"/>
      <c r="I62" s="126"/>
      <c r="J62" s="92"/>
      <c r="K62" s="92"/>
      <c r="L62" s="92"/>
      <c r="M62" s="92"/>
      <c r="N62" s="92"/>
    </row>
    <row r="63" spans="1:14" ht="12.75">
      <c r="A63" s="156" t="s">
        <v>181</v>
      </c>
      <c r="B63" s="157">
        <v>-15262094.25</v>
      </c>
      <c r="C63" s="157"/>
      <c r="D63" s="92">
        <v>0</v>
      </c>
      <c r="E63" s="92"/>
      <c r="F63" s="203">
        <v>-453315.34</v>
      </c>
      <c r="G63" s="92"/>
      <c r="H63" s="143"/>
      <c r="I63" s="92"/>
      <c r="J63" s="92"/>
      <c r="K63" s="92"/>
      <c r="L63" s="92"/>
      <c r="M63" s="92"/>
      <c r="N63" s="92"/>
    </row>
    <row r="64" spans="1:14" ht="12.75">
      <c r="A64" s="74" t="s">
        <v>176</v>
      </c>
      <c r="B64" s="92">
        <v>0</v>
      </c>
      <c r="C64" s="92">
        <v>1400</v>
      </c>
      <c r="D64" s="92">
        <v>4895.66</v>
      </c>
      <c r="E64" s="92">
        <v>668861.46</v>
      </c>
      <c r="F64" s="201">
        <v>46737.83</v>
      </c>
      <c r="G64" s="92">
        <v>4100</v>
      </c>
      <c r="H64" s="143"/>
      <c r="I64" s="92"/>
      <c r="J64" s="92"/>
      <c r="K64" s="92"/>
      <c r="L64" s="92"/>
      <c r="M64" s="92"/>
      <c r="N64" s="92"/>
    </row>
    <row r="65" spans="1:14" s="120" customFormat="1" ht="12.75">
      <c r="A65" s="162" t="s">
        <v>86</v>
      </c>
      <c r="B65" s="162">
        <f>SUM(B58:B64)</f>
        <v>250461958.19</v>
      </c>
      <c r="C65" s="163">
        <f>SUM(C58:C64)</f>
        <v>256285678.62</v>
      </c>
      <c r="D65" s="163">
        <f>SUM(D58:D64)</f>
        <v>254283708.83</v>
      </c>
      <c r="E65" s="163">
        <f aca="true" t="shared" si="23" ref="E65:N65">SUM(E58:E64)</f>
        <v>247979883.15</v>
      </c>
      <c r="F65" s="163">
        <f t="shared" si="23"/>
        <v>226162294.70000002</v>
      </c>
      <c r="G65" s="163">
        <f t="shared" si="23"/>
        <v>223338995.95</v>
      </c>
      <c r="H65" s="163">
        <f>SUM(H58:H64)</f>
        <v>0</v>
      </c>
      <c r="I65" s="163">
        <f t="shared" si="23"/>
        <v>0</v>
      </c>
      <c r="J65" s="163">
        <f t="shared" si="23"/>
        <v>0</v>
      </c>
      <c r="K65" s="163">
        <f t="shared" si="23"/>
        <v>0</v>
      </c>
      <c r="L65" s="163">
        <f t="shared" si="23"/>
        <v>0</v>
      </c>
      <c r="M65" s="163">
        <f t="shared" si="23"/>
        <v>0</v>
      </c>
      <c r="N65" s="163">
        <f t="shared" si="23"/>
        <v>0</v>
      </c>
    </row>
    <row r="66" spans="2:14" ht="12.75">
      <c r="B66" s="123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 ht="12.75">
      <c r="A67" s="341" t="s">
        <v>109</v>
      </c>
      <c r="B67" s="341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ht="12.75">
      <c r="A68" s="339" t="s">
        <v>115</v>
      </c>
      <c r="B68" s="33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ht="12.75">
      <c r="A69" s="352" t="s">
        <v>90</v>
      </c>
      <c r="B69" s="84" t="s">
        <v>110</v>
      </c>
      <c r="C69" s="87">
        <v>4556155.32</v>
      </c>
      <c r="D69" s="87">
        <v>29975504.81</v>
      </c>
      <c r="E69" s="87">
        <v>40043625.36</v>
      </c>
      <c r="F69" s="200">
        <v>48148300.57</v>
      </c>
      <c r="G69" s="87">
        <v>49074446.21</v>
      </c>
      <c r="H69" s="87"/>
      <c r="I69" s="87"/>
      <c r="J69" s="87"/>
      <c r="K69" s="87"/>
      <c r="L69" s="87"/>
      <c r="M69" s="87"/>
      <c r="N69" s="87"/>
    </row>
    <row r="70" spans="1:14" ht="12.75">
      <c r="A70" s="353"/>
      <c r="B70" s="84" t="s">
        <v>111</v>
      </c>
      <c r="C70" s="87">
        <v>0</v>
      </c>
      <c r="D70" s="87">
        <v>1490900.95</v>
      </c>
      <c r="E70" s="87">
        <v>10411775.4</v>
      </c>
      <c r="F70" s="200">
        <v>16655120.36</v>
      </c>
      <c r="G70" s="87">
        <v>20347180.94</v>
      </c>
      <c r="H70" s="87"/>
      <c r="I70" s="87"/>
      <c r="J70" s="87"/>
      <c r="K70" s="87"/>
      <c r="L70" s="87"/>
      <c r="M70" s="87"/>
      <c r="N70" s="87"/>
    </row>
    <row r="71" spans="1:14" ht="12.75">
      <c r="A71" s="353"/>
      <c r="B71" s="84" t="s">
        <v>113</v>
      </c>
      <c r="C71" s="87">
        <v>0</v>
      </c>
      <c r="D71" s="87">
        <v>1093770.44</v>
      </c>
      <c r="E71" s="87">
        <v>990446.66</v>
      </c>
      <c r="F71" s="200">
        <v>232753.85</v>
      </c>
      <c r="G71" s="87">
        <v>2360783.6</v>
      </c>
      <c r="H71" s="87"/>
      <c r="I71" s="87"/>
      <c r="J71" s="87"/>
      <c r="K71" s="87"/>
      <c r="L71" s="87"/>
      <c r="M71" s="87"/>
      <c r="N71" s="87"/>
    </row>
    <row r="72" spans="1:14" ht="12.75">
      <c r="A72" s="353"/>
      <c r="B72" s="84" t="s">
        <v>137</v>
      </c>
      <c r="C72" s="87">
        <v>0</v>
      </c>
      <c r="D72" s="87">
        <v>0</v>
      </c>
      <c r="E72" s="87">
        <v>0</v>
      </c>
      <c r="F72" s="87">
        <v>0</v>
      </c>
      <c r="G72" s="87">
        <v>0</v>
      </c>
      <c r="H72" s="87"/>
      <c r="I72" s="87"/>
      <c r="J72" s="87"/>
      <c r="K72" s="87"/>
      <c r="L72" s="87"/>
      <c r="M72" s="87"/>
      <c r="N72" s="87"/>
    </row>
    <row r="73" spans="1:14" ht="12.75">
      <c r="A73" s="354"/>
      <c r="B73" s="84" t="s">
        <v>114</v>
      </c>
      <c r="C73" s="87">
        <v>4556155.32</v>
      </c>
      <c r="D73" s="87">
        <v>27390833.42</v>
      </c>
      <c r="E73" s="87">
        <f>+E69-E70-E71</f>
        <v>28641403.3</v>
      </c>
      <c r="F73" s="200">
        <v>31260426.36</v>
      </c>
      <c r="G73" s="87">
        <v>26366481.67</v>
      </c>
      <c r="H73" s="87"/>
      <c r="I73" s="87"/>
      <c r="J73" s="87"/>
      <c r="K73" s="87"/>
      <c r="L73" s="87"/>
      <c r="M73" s="87"/>
      <c r="N73" s="87"/>
    </row>
    <row r="74" spans="1:14" s="72" customFormat="1" ht="3.75" customHeight="1">
      <c r="A74" s="85"/>
      <c r="B74" s="86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2.75">
      <c r="A75" s="352" t="s">
        <v>91</v>
      </c>
      <c r="B75" s="84" t="s">
        <v>110</v>
      </c>
      <c r="C75" s="87">
        <v>32407.87</v>
      </c>
      <c r="D75" s="87">
        <v>36758.37</v>
      </c>
      <c r="E75" s="87">
        <v>36758.37</v>
      </c>
      <c r="F75" s="200">
        <v>37480.47</v>
      </c>
      <c r="G75" s="87">
        <v>82847.97</v>
      </c>
      <c r="H75" s="87"/>
      <c r="I75" s="87"/>
      <c r="J75" s="87"/>
      <c r="K75" s="87"/>
      <c r="L75" s="87"/>
      <c r="M75" s="87"/>
      <c r="N75" s="87"/>
    </row>
    <row r="76" spans="1:14" ht="12.75">
      <c r="A76" s="353"/>
      <c r="B76" s="84" t="s">
        <v>111</v>
      </c>
      <c r="C76" s="87">
        <v>0</v>
      </c>
      <c r="D76" s="87">
        <v>344.1</v>
      </c>
      <c r="E76" s="87">
        <v>910.35</v>
      </c>
      <c r="F76" s="200">
        <v>3076.73</v>
      </c>
      <c r="G76" s="87">
        <v>5682.43</v>
      </c>
      <c r="H76" s="87"/>
      <c r="I76" s="87"/>
      <c r="J76" s="87"/>
      <c r="K76" s="87"/>
      <c r="L76" s="87"/>
      <c r="M76" s="87"/>
      <c r="N76" s="87"/>
    </row>
    <row r="77" spans="1:14" ht="12.75">
      <c r="A77" s="353"/>
      <c r="B77" s="84" t="s">
        <v>113</v>
      </c>
      <c r="C77" s="87">
        <v>0</v>
      </c>
      <c r="D77" s="87">
        <v>0</v>
      </c>
      <c r="E77" s="87">
        <v>0</v>
      </c>
      <c r="F77" s="200">
        <v>1227.1</v>
      </c>
      <c r="G77" s="87">
        <v>0</v>
      </c>
      <c r="H77" s="87"/>
      <c r="I77" s="87"/>
      <c r="J77" s="87"/>
      <c r="K77" s="87"/>
      <c r="L77" s="87"/>
      <c r="M77" s="87"/>
      <c r="N77" s="87"/>
    </row>
    <row r="78" spans="1:14" ht="12.75">
      <c r="A78" s="353"/>
      <c r="B78" s="84" t="s">
        <v>137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/>
      <c r="I78" s="87"/>
      <c r="J78" s="87"/>
      <c r="K78" s="87"/>
      <c r="L78" s="87"/>
      <c r="M78" s="87"/>
      <c r="N78" s="87"/>
    </row>
    <row r="79" spans="1:14" ht="12.75">
      <c r="A79" s="354"/>
      <c r="B79" s="84" t="s">
        <v>114</v>
      </c>
      <c r="C79" s="87">
        <v>32407.87</v>
      </c>
      <c r="D79" s="87">
        <v>36414.27</v>
      </c>
      <c r="E79" s="87">
        <f>+E75-E76</f>
        <v>35848.020000000004</v>
      </c>
      <c r="F79" s="200">
        <v>33176.64</v>
      </c>
      <c r="G79" s="87">
        <v>77165.54</v>
      </c>
      <c r="H79" s="87"/>
      <c r="I79" s="87"/>
      <c r="J79" s="87"/>
      <c r="K79" s="87"/>
      <c r="L79" s="87"/>
      <c r="M79" s="87"/>
      <c r="N79" s="87"/>
    </row>
    <row r="80" spans="1:14" s="72" customFormat="1" ht="3.75" customHeight="1">
      <c r="A80" s="80"/>
      <c r="B80" s="81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</row>
    <row r="81" spans="1:14" ht="12.75">
      <c r="A81" s="337" t="s">
        <v>116</v>
      </c>
      <c r="B81" s="337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</row>
    <row r="82" spans="1:14" ht="12.75">
      <c r="A82" s="355" t="s">
        <v>119</v>
      </c>
      <c r="B82" s="84" t="s">
        <v>117</v>
      </c>
      <c r="C82" s="87">
        <v>16355000</v>
      </c>
      <c r="D82" s="87">
        <v>16355000</v>
      </c>
      <c r="E82" s="87">
        <v>16355000</v>
      </c>
      <c r="F82" s="87">
        <v>16355000</v>
      </c>
      <c r="G82" s="87">
        <v>16355000</v>
      </c>
      <c r="H82" s="87"/>
      <c r="I82" s="87"/>
      <c r="J82" s="87"/>
      <c r="K82" s="87"/>
      <c r="L82" s="87"/>
      <c r="M82" s="87"/>
      <c r="N82" s="87"/>
    </row>
    <row r="83" spans="1:14" ht="12.75">
      <c r="A83" s="355"/>
      <c r="B83" s="84" t="s">
        <v>118</v>
      </c>
      <c r="C83" s="87">
        <v>16355000</v>
      </c>
      <c r="D83" s="87">
        <v>103028894</v>
      </c>
      <c r="E83" s="87">
        <v>85670273.59</v>
      </c>
      <c r="F83" s="87">
        <v>85717580.69</v>
      </c>
      <c r="G83" s="87">
        <v>85717580.69</v>
      </c>
      <c r="H83" s="87"/>
      <c r="I83" s="87"/>
      <c r="J83" s="87"/>
      <c r="K83" s="87"/>
      <c r="L83" s="87"/>
      <c r="M83" s="87"/>
      <c r="N83" s="87"/>
    </row>
    <row r="84" spans="1:14" ht="12.75">
      <c r="A84" s="355"/>
      <c r="B84" s="84" t="s">
        <v>110</v>
      </c>
      <c r="C84" s="87">
        <v>4511663.19</v>
      </c>
      <c r="D84" s="87">
        <v>29735654.86</v>
      </c>
      <c r="E84" s="87">
        <v>38633437.88</v>
      </c>
      <c r="F84" s="200">
        <v>45801611.35</v>
      </c>
      <c r="G84" s="87">
        <v>46727084.19</v>
      </c>
      <c r="H84" s="87"/>
      <c r="I84" s="87"/>
      <c r="J84" s="87"/>
      <c r="K84" s="87"/>
      <c r="L84" s="87"/>
      <c r="M84" s="87"/>
      <c r="N84" s="87"/>
    </row>
    <row r="85" spans="1:14" ht="12.75">
      <c r="A85" s="355"/>
      <c r="B85" s="84" t="s">
        <v>112</v>
      </c>
      <c r="C85" s="87">
        <v>0</v>
      </c>
      <c r="D85" s="87">
        <v>2585015.49</v>
      </c>
      <c r="E85" s="87">
        <v>11172694.4</v>
      </c>
      <c r="F85" s="200">
        <v>16425501.49</v>
      </c>
      <c r="G85" s="87">
        <v>21363365.74</v>
      </c>
      <c r="H85" s="87"/>
      <c r="I85" s="87"/>
      <c r="J85" s="87"/>
      <c r="K85" s="87"/>
      <c r="L85" s="87"/>
      <c r="M85" s="87"/>
      <c r="N85" s="87"/>
    </row>
    <row r="86" spans="1:14" ht="12.75">
      <c r="A86" s="355"/>
      <c r="B86" s="84" t="s">
        <v>111</v>
      </c>
      <c r="C86" s="87">
        <v>0</v>
      </c>
      <c r="D86" s="87">
        <v>1491245.05</v>
      </c>
      <c r="E86" s="87">
        <v>10217399.39</v>
      </c>
      <c r="F86" s="200">
        <v>16191520.54</v>
      </c>
      <c r="G86" s="87">
        <v>19105842.14</v>
      </c>
      <c r="H86" s="87"/>
      <c r="I86" s="87"/>
      <c r="J86" s="87"/>
      <c r="K86" s="87"/>
      <c r="L86" s="87"/>
      <c r="M86" s="87"/>
      <c r="N86" s="87"/>
    </row>
    <row r="87" spans="1:14" s="72" customFormat="1" ht="3.75" customHeight="1">
      <c r="A87" s="85"/>
      <c r="B87" s="86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 ht="12.75">
      <c r="A88" s="355" t="s">
        <v>120</v>
      </c>
      <c r="B88" s="84" t="s">
        <v>117</v>
      </c>
      <c r="C88" s="87">
        <v>104856584</v>
      </c>
      <c r="D88" s="87">
        <v>104856584</v>
      </c>
      <c r="E88" s="87">
        <v>104856584</v>
      </c>
      <c r="F88" s="87">
        <v>104856584</v>
      </c>
      <c r="G88" s="87">
        <v>104856584</v>
      </c>
      <c r="H88" s="87"/>
      <c r="I88" s="87"/>
      <c r="J88" s="87"/>
      <c r="K88" s="87"/>
      <c r="L88" s="87"/>
      <c r="M88" s="87"/>
      <c r="N88" s="87"/>
    </row>
    <row r="89" spans="1:14" ht="12.75">
      <c r="A89" s="355"/>
      <c r="B89" s="84" t="s">
        <v>118</v>
      </c>
      <c r="C89" s="87">
        <v>104856584</v>
      </c>
      <c r="D89" s="87">
        <v>18182690</v>
      </c>
      <c r="E89" s="87">
        <v>18182690</v>
      </c>
      <c r="F89" s="87">
        <v>18180890</v>
      </c>
      <c r="G89" s="87">
        <v>18180890</v>
      </c>
      <c r="H89" s="87"/>
      <c r="I89" s="87"/>
      <c r="J89" s="87"/>
      <c r="K89" s="87"/>
      <c r="L89" s="87"/>
      <c r="M89" s="87"/>
      <c r="N89" s="87"/>
    </row>
    <row r="90" spans="1:14" ht="12.75">
      <c r="A90" s="355"/>
      <c r="B90" s="84" t="s">
        <v>110</v>
      </c>
      <c r="C90" s="87">
        <v>76900</v>
      </c>
      <c r="D90" s="87">
        <v>276608.32</v>
      </c>
      <c r="E90" s="87">
        <v>1446945.85</v>
      </c>
      <c r="F90" s="200">
        <v>2384169.69</v>
      </c>
      <c r="G90" s="87">
        <v>2430209.99</v>
      </c>
      <c r="H90" s="87"/>
      <c r="I90" s="87"/>
      <c r="J90" s="87"/>
      <c r="K90" s="87"/>
      <c r="L90" s="87"/>
      <c r="M90" s="87"/>
      <c r="N90" s="87"/>
    </row>
    <row r="91" spans="1:14" ht="12.75">
      <c r="A91" s="355"/>
      <c r="B91" s="84" t="s">
        <v>112</v>
      </c>
      <c r="C91" s="87">
        <v>0</v>
      </c>
      <c r="D91" s="87">
        <v>0</v>
      </c>
      <c r="E91" s="87">
        <v>230438.01</v>
      </c>
      <c r="F91" s="200">
        <v>466676.55</v>
      </c>
      <c r="G91" s="87">
        <v>1350281.23</v>
      </c>
      <c r="H91" s="87"/>
      <c r="I91" s="87"/>
      <c r="J91" s="87"/>
      <c r="K91" s="87"/>
      <c r="L91" s="87"/>
      <c r="M91" s="87"/>
      <c r="N91" s="87"/>
    </row>
    <row r="92" spans="1:14" ht="12.75">
      <c r="A92" s="355"/>
      <c r="B92" s="84" t="s">
        <v>111</v>
      </c>
      <c r="C92" s="87">
        <v>0</v>
      </c>
      <c r="D92" s="87">
        <v>0</v>
      </c>
      <c r="E92" s="87">
        <v>195286.36</v>
      </c>
      <c r="F92" s="200">
        <v>466676.55</v>
      </c>
      <c r="G92" s="87">
        <v>1247021.23</v>
      </c>
      <c r="H92" s="87"/>
      <c r="I92" s="87"/>
      <c r="J92" s="87"/>
      <c r="K92" s="87"/>
      <c r="L92" s="87"/>
      <c r="M92" s="87"/>
      <c r="N92" s="87"/>
    </row>
    <row r="93" spans="3:14" ht="12.75"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</row>
    <row r="94" spans="3:14" ht="12.75"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</row>
    <row r="95" spans="1:14" ht="12.75">
      <c r="A95" s="341" t="s">
        <v>121</v>
      </c>
      <c r="B95" s="341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</row>
    <row r="96" spans="1:14" ht="12.75">
      <c r="A96" s="337" t="s">
        <v>115</v>
      </c>
      <c r="B96" s="337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</row>
    <row r="97" spans="1:14" ht="12.75">
      <c r="A97" s="340" t="s">
        <v>124</v>
      </c>
      <c r="B97" s="73" t="s">
        <v>143</v>
      </c>
      <c r="C97" s="87">
        <v>1006066.72</v>
      </c>
      <c r="D97" s="87">
        <v>2365905.4</v>
      </c>
      <c r="E97" s="87">
        <v>2810690</v>
      </c>
      <c r="F97" s="87">
        <v>2810690</v>
      </c>
      <c r="G97" s="87">
        <v>2810690</v>
      </c>
      <c r="H97" s="87"/>
      <c r="I97" s="87"/>
      <c r="J97" s="87"/>
      <c r="K97" s="87"/>
      <c r="L97" s="87"/>
      <c r="M97" s="87"/>
      <c r="N97" s="87"/>
    </row>
    <row r="98" spans="1:14" ht="12.75">
      <c r="A98" s="340"/>
      <c r="B98" s="73" t="s">
        <v>146</v>
      </c>
      <c r="C98" s="87">
        <v>221030</v>
      </c>
      <c r="D98" s="87">
        <v>317159.85</v>
      </c>
      <c r="E98" s="87">
        <v>317159.85</v>
      </c>
      <c r="F98" s="87">
        <v>317159.85</v>
      </c>
      <c r="G98" s="87">
        <v>317159.85</v>
      </c>
      <c r="H98" s="87"/>
      <c r="I98" s="87"/>
      <c r="J98" s="87"/>
      <c r="K98" s="87"/>
      <c r="L98" s="87"/>
      <c r="M98" s="87"/>
      <c r="N98" s="87"/>
    </row>
    <row r="99" spans="1:14" ht="12.75">
      <c r="A99" s="101"/>
      <c r="B99" s="76" t="s">
        <v>86</v>
      </c>
      <c r="C99" s="88">
        <f>SUM(C97:C98)</f>
        <v>1227096.72</v>
      </c>
      <c r="D99" s="88">
        <f aca="true" t="shared" si="24" ref="D99:N99">SUM(D97:D98)</f>
        <v>2683065.25</v>
      </c>
      <c r="E99" s="88">
        <f t="shared" si="24"/>
        <v>3127849.85</v>
      </c>
      <c r="F99" s="88">
        <f t="shared" si="24"/>
        <v>3127849.85</v>
      </c>
      <c r="G99" s="88">
        <f t="shared" si="24"/>
        <v>3127849.85</v>
      </c>
      <c r="H99" s="88">
        <f t="shared" si="24"/>
        <v>0</v>
      </c>
      <c r="I99" s="88">
        <f t="shared" si="24"/>
        <v>0</v>
      </c>
      <c r="J99" s="88">
        <f t="shared" si="24"/>
        <v>0</v>
      </c>
      <c r="K99" s="88">
        <f t="shared" si="24"/>
        <v>0</v>
      </c>
      <c r="L99" s="88">
        <f t="shared" si="24"/>
        <v>0</v>
      </c>
      <c r="M99" s="88">
        <f t="shared" si="24"/>
        <v>0</v>
      </c>
      <c r="N99" s="88">
        <f t="shared" si="24"/>
        <v>0</v>
      </c>
    </row>
    <row r="100" spans="1:14" s="72" customFormat="1" ht="3.75" customHeight="1">
      <c r="A100" s="80"/>
      <c r="B100" s="81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</row>
    <row r="101" spans="1:14" ht="12.75">
      <c r="A101" s="340" t="s">
        <v>124</v>
      </c>
      <c r="B101" s="73" t="s">
        <v>145</v>
      </c>
      <c r="C101" s="87">
        <v>541.12</v>
      </c>
      <c r="D101" s="87">
        <v>50387.99</v>
      </c>
      <c r="E101" s="87">
        <v>153175.99</v>
      </c>
      <c r="F101" s="87">
        <v>153175.99</v>
      </c>
      <c r="G101" s="87">
        <v>153175.99</v>
      </c>
      <c r="H101" s="87"/>
      <c r="I101" s="87"/>
      <c r="J101" s="87"/>
      <c r="K101" s="87"/>
      <c r="L101" s="87"/>
      <c r="M101" s="87"/>
      <c r="N101" s="87"/>
    </row>
    <row r="102" spans="1:14" ht="12.75">
      <c r="A102" s="340"/>
      <c r="B102" s="73" t="s">
        <v>144</v>
      </c>
      <c r="C102" s="87">
        <v>17757.42</v>
      </c>
      <c r="D102" s="87">
        <v>17757.42</v>
      </c>
      <c r="E102" s="87">
        <v>17757.42</v>
      </c>
      <c r="F102" s="87">
        <v>17757.42</v>
      </c>
      <c r="G102" s="87">
        <v>17757.42</v>
      </c>
      <c r="H102" s="87"/>
      <c r="I102" s="87"/>
      <c r="J102" s="87"/>
      <c r="K102" s="87"/>
      <c r="L102" s="87"/>
      <c r="M102" s="87"/>
      <c r="N102" s="87"/>
    </row>
    <row r="103" spans="1:14" ht="12.75">
      <c r="A103" s="101"/>
      <c r="B103" s="76" t="s">
        <v>86</v>
      </c>
      <c r="C103" s="88">
        <f>SUM(C101:C102)</f>
        <v>18298.539999999997</v>
      </c>
      <c r="D103" s="88">
        <f aca="true" t="shared" si="25" ref="D103:N103">SUM(D101:D102)</f>
        <v>68145.41</v>
      </c>
      <c r="E103" s="88">
        <f t="shared" si="25"/>
        <v>170933.40999999997</v>
      </c>
      <c r="F103" s="88">
        <f t="shared" si="25"/>
        <v>170933.40999999997</v>
      </c>
      <c r="G103" s="88">
        <f t="shared" si="25"/>
        <v>170933.40999999997</v>
      </c>
      <c r="H103" s="88">
        <f t="shared" si="25"/>
        <v>0</v>
      </c>
      <c r="I103" s="88">
        <f t="shared" si="25"/>
        <v>0</v>
      </c>
      <c r="J103" s="88">
        <f t="shared" si="25"/>
        <v>0</v>
      </c>
      <c r="K103" s="88">
        <f t="shared" si="25"/>
        <v>0</v>
      </c>
      <c r="L103" s="88">
        <f t="shared" si="25"/>
        <v>0</v>
      </c>
      <c r="M103" s="88">
        <f t="shared" si="25"/>
        <v>0</v>
      </c>
      <c r="N103" s="88">
        <f t="shared" si="25"/>
        <v>0</v>
      </c>
    </row>
    <row r="104" spans="1:14" s="72" customFormat="1" ht="3.75" customHeight="1">
      <c r="A104" s="80"/>
      <c r="B104" s="81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 ht="12.75">
      <c r="A105" s="337" t="s">
        <v>125</v>
      </c>
      <c r="B105" s="337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</row>
    <row r="106" spans="1:14" ht="12.75">
      <c r="A106" s="340" t="s">
        <v>126</v>
      </c>
      <c r="B106" s="73" t="s">
        <v>122</v>
      </c>
      <c r="C106" s="87">
        <v>11304553.16</v>
      </c>
      <c r="D106" s="87">
        <v>11304553.16</v>
      </c>
      <c r="E106" s="87">
        <v>11304553.16</v>
      </c>
      <c r="F106" s="87">
        <v>11304553.16</v>
      </c>
      <c r="G106" s="87">
        <v>11304553.16</v>
      </c>
      <c r="H106" s="87"/>
      <c r="I106" s="87"/>
      <c r="J106" s="87"/>
      <c r="K106" s="87"/>
      <c r="L106" s="87"/>
      <c r="M106" s="87"/>
      <c r="N106" s="87"/>
    </row>
    <row r="107" spans="1:14" ht="12.75">
      <c r="A107" s="340"/>
      <c r="B107" s="73" t="s">
        <v>123</v>
      </c>
      <c r="C107" s="87">
        <v>366795.42</v>
      </c>
      <c r="D107" s="87">
        <v>366795.42</v>
      </c>
      <c r="E107" s="87">
        <v>366795.42</v>
      </c>
      <c r="F107" s="87">
        <v>366795.42</v>
      </c>
      <c r="G107" s="87">
        <v>366795.42</v>
      </c>
      <c r="H107" s="87"/>
      <c r="I107" s="87"/>
      <c r="J107" s="87"/>
      <c r="K107" s="87"/>
      <c r="L107" s="87"/>
      <c r="M107" s="87"/>
      <c r="N107" s="87"/>
    </row>
    <row r="108" spans="1:14" ht="12.75">
      <c r="A108" s="340" t="s">
        <v>124</v>
      </c>
      <c r="B108" s="73" t="s">
        <v>122</v>
      </c>
      <c r="C108" s="87">
        <v>991954.87</v>
      </c>
      <c r="D108" s="87">
        <v>2396640.42</v>
      </c>
      <c r="E108" s="87">
        <v>2944213.02</v>
      </c>
      <c r="F108" s="87">
        <v>2944213.02</v>
      </c>
      <c r="G108" s="87">
        <v>2944213.02</v>
      </c>
      <c r="H108" s="87"/>
      <c r="I108" s="87"/>
      <c r="J108" s="87"/>
      <c r="K108" s="87"/>
      <c r="L108" s="87"/>
      <c r="M108" s="87"/>
      <c r="N108" s="87"/>
    </row>
    <row r="109" spans="1:14" ht="12.75">
      <c r="A109" s="340"/>
      <c r="B109" s="73" t="s">
        <v>123</v>
      </c>
      <c r="C109" s="87">
        <v>238787.42</v>
      </c>
      <c r="D109" s="87">
        <v>334917.27</v>
      </c>
      <c r="E109" s="87">
        <v>334917.27</v>
      </c>
      <c r="F109" s="87">
        <v>334917.27</v>
      </c>
      <c r="G109" s="87">
        <v>334917.27</v>
      </c>
      <c r="H109" s="87"/>
      <c r="I109" s="87"/>
      <c r="J109" s="87"/>
      <c r="K109" s="87"/>
      <c r="L109" s="87"/>
      <c r="M109" s="87"/>
      <c r="N109" s="87"/>
    </row>
    <row r="110" spans="1:14" ht="12.75">
      <c r="A110" s="340" t="s">
        <v>127</v>
      </c>
      <c r="B110" s="73" t="s">
        <v>122</v>
      </c>
      <c r="C110" s="87">
        <v>16650.7</v>
      </c>
      <c r="D110" s="87">
        <v>2896371.47</v>
      </c>
      <c r="E110" s="87">
        <v>8293178.14</v>
      </c>
      <c r="F110" s="87">
        <v>8293178.14</v>
      </c>
      <c r="G110" s="87">
        <v>8293178.14</v>
      </c>
      <c r="H110" s="87"/>
      <c r="I110" s="87"/>
      <c r="J110" s="87"/>
      <c r="K110" s="87"/>
      <c r="L110" s="87"/>
      <c r="M110" s="87"/>
      <c r="N110" s="87"/>
    </row>
    <row r="111" spans="1:14" ht="12.75">
      <c r="A111" s="340"/>
      <c r="B111" s="73" t="s">
        <v>123</v>
      </c>
      <c r="C111" s="87">
        <v>0</v>
      </c>
      <c r="D111" s="87">
        <v>0</v>
      </c>
      <c r="E111" s="87">
        <v>0</v>
      </c>
      <c r="F111" s="87">
        <v>0</v>
      </c>
      <c r="G111" s="87">
        <v>0</v>
      </c>
      <c r="H111" s="87"/>
      <c r="I111" s="87"/>
      <c r="J111" s="87"/>
      <c r="K111" s="87"/>
      <c r="L111" s="87"/>
      <c r="M111" s="87"/>
      <c r="N111" s="87"/>
    </row>
    <row r="112" spans="1:14" ht="12.75">
      <c r="A112" s="337" t="s">
        <v>128</v>
      </c>
      <c r="B112" s="337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2.75">
      <c r="A113" s="340" t="s">
        <v>126</v>
      </c>
      <c r="B113" s="73" t="s">
        <v>122</v>
      </c>
      <c r="C113" s="87">
        <v>140878.38</v>
      </c>
      <c r="D113" s="87">
        <v>140878.38</v>
      </c>
      <c r="E113" s="87">
        <v>140878.38</v>
      </c>
      <c r="F113" s="87">
        <v>140878.38</v>
      </c>
      <c r="G113" s="87">
        <v>140878.38</v>
      </c>
      <c r="H113" s="87"/>
      <c r="I113" s="87"/>
      <c r="J113" s="87"/>
      <c r="K113" s="87"/>
      <c r="L113" s="87"/>
      <c r="M113" s="87"/>
      <c r="N113" s="87"/>
    </row>
    <row r="114" spans="1:14" ht="12.75">
      <c r="A114" s="340"/>
      <c r="B114" s="73" t="s">
        <v>123</v>
      </c>
      <c r="C114" s="87">
        <v>0</v>
      </c>
      <c r="D114" s="87">
        <v>0</v>
      </c>
      <c r="E114" s="87">
        <v>0</v>
      </c>
      <c r="F114" s="87">
        <v>0</v>
      </c>
      <c r="G114" s="87">
        <v>0</v>
      </c>
      <c r="H114" s="87"/>
      <c r="I114" s="87"/>
      <c r="J114" s="87"/>
      <c r="K114" s="87"/>
      <c r="L114" s="87"/>
      <c r="M114" s="87"/>
      <c r="N114" s="87"/>
    </row>
    <row r="115" spans="1:14" ht="12.75">
      <c r="A115" s="340" t="s">
        <v>124</v>
      </c>
      <c r="B115" s="73" t="s">
        <v>122</v>
      </c>
      <c r="C115" s="87">
        <v>14652.97</v>
      </c>
      <c r="D115" s="87">
        <v>19652.97</v>
      </c>
      <c r="E115" s="87">
        <v>19652.97</v>
      </c>
      <c r="F115" s="87">
        <v>19652.97</v>
      </c>
      <c r="G115" s="87">
        <v>19652.97</v>
      </c>
      <c r="H115" s="87"/>
      <c r="I115" s="87"/>
      <c r="J115" s="87"/>
      <c r="K115" s="87"/>
      <c r="L115" s="87"/>
      <c r="M115" s="87"/>
      <c r="N115" s="87"/>
    </row>
    <row r="116" spans="1:14" ht="12.75">
      <c r="A116" s="340"/>
      <c r="B116" s="73" t="s">
        <v>123</v>
      </c>
      <c r="C116" s="87">
        <v>0</v>
      </c>
      <c r="D116" s="87">
        <v>0</v>
      </c>
      <c r="E116" s="87">
        <v>0</v>
      </c>
      <c r="F116" s="87">
        <v>0</v>
      </c>
      <c r="G116" s="87">
        <v>0</v>
      </c>
      <c r="H116" s="87"/>
      <c r="I116" s="87"/>
      <c r="J116" s="87"/>
      <c r="K116" s="87"/>
      <c r="L116" s="87"/>
      <c r="M116" s="87"/>
      <c r="N116" s="87"/>
    </row>
    <row r="117" spans="1:14" ht="12.75">
      <c r="A117" s="340" t="s">
        <v>127</v>
      </c>
      <c r="B117" s="73" t="s">
        <v>122</v>
      </c>
      <c r="C117" s="87">
        <v>0</v>
      </c>
      <c r="D117" s="87">
        <v>14202.34</v>
      </c>
      <c r="E117" s="87">
        <v>121225.41</v>
      </c>
      <c r="F117" s="87">
        <v>121225.41</v>
      </c>
      <c r="G117" s="87">
        <v>121225.41</v>
      </c>
      <c r="H117" s="87"/>
      <c r="I117" s="87"/>
      <c r="J117" s="87"/>
      <c r="K117" s="87"/>
      <c r="L117" s="87"/>
      <c r="M117" s="87"/>
      <c r="N117" s="87"/>
    </row>
    <row r="118" spans="1:14" ht="12.75">
      <c r="A118" s="340"/>
      <c r="B118" s="73" t="s">
        <v>123</v>
      </c>
      <c r="C118" s="87">
        <v>0</v>
      </c>
      <c r="D118" s="87">
        <v>0</v>
      </c>
      <c r="E118" s="87">
        <v>0</v>
      </c>
      <c r="F118" s="87">
        <v>0</v>
      </c>
      <c r="G118" s="87">
        <v>0</v>
      </c>
      <c r="H118" s="87"/>
      <c r="I118" s="87"/>
      <c r="J118" s="87"/>
      <c r="K118" s="87"/>
      <c r="L118" s="87"/>
      <c r="M118" s="87"/>
      <c r="N118" s="87"/>
    </row>
    <row r="120" spans="1:2" ht="12.75">
      <c r="A120" s="341" t="s">
        <v>140</v>
      </c>
      <c r="B120" s="341"/>
    </row>
    <row r="121" spans="1:14" ht="12.75">
      <c r="A121" s="337" t="s">
        <v>125</v>
      </c>
      <c r="B121" s="337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</row>
    <row r="122" spans="1:14" ht="12.75">
      <c r="A122" s="340" t="s">
        <v>126</v>
      </c>
      <c r="B122" s="73" t="s">
        <v>122</v>
      </c>
      <c r="C122" s="87">
        <v>1990.57</v>
      </c>
      <c r="D122" s="87">
        <v>1990.57</v>
      </c>
      <c r="E122" s="87">
        <v>1990.57</v>
      </c>
      <c r="F122" s="87">
        <v>1990.57</v>
      </c>
      <c r="G122" s="87">
        <v>1990.57</v>
      </c>
      <c r="H122" s="87"/>
      <c r="I122" s="87"/>
      <c r="J122" s="87"/>
      <c r="K122" s="87"/>
      <c r="L122" s="87"/>
      <c r="M122" s="87"/>
      <c r="N122" s="87"/>
    </row>
    <row r="123" spans="1:14" ht="12.75">
      <c r="A123" s="340"/>
      <c r="B123" s="73" t="s">
        <v>123</v>
      </c>
      <c r="C123" s="87">
        <v>1786.76</v>
      </c>
      <c r="D123" s="87">
        <v>1786.76</v>
      </c>
      <c r="E123" s="87">
        <v>1786.76</v>
      </c>
      <c r="F123" s="87">
        <v>1786.76</v>
      </c>
      <c r="G123" s="87">
        <v>1786.76</v>
      </c>
      <c r="H123" s="87"/>
      <c r="I123" s="87"/>
      <c r="J123" s="87"/>
      <c r="K123" s="87"/>
      <c r="L123" s="87"/>
      <c r="M123" s="87"/>
      <c r="N123" s="87"/>
    </row>
    <row r="124" spans="1:14" ht="12.75">
      <c r="A124" s="340" t="s">
        <v>124</v>
      </c>
      <c r="B124" s="73" t="s">
        <v>122</v>
      </c>
      <c r="C124" s="87">
        <v>0</v>
      </c>
      <c r="D124" s="87">
        <v>0</v>
      </c>
      <c r="E124" s="87">
        <v>0</v>
      </c>
      <c r="F124" s="87"/>
      <c r="G124" s="87"/>
      <c r="H124" s="87"/>
      <c r="I124" s="87"/>
      <c r="J124" s="87"/>
      <c r="K124" s="87"/>
      <c r="L124" s="87"/>
      <c r="M124" s="87"/>
      <c r="N124" s="87"/>
    </row>
    <row r="125" spans="1:14" ht="12.75">
      <c r="A125" s="340"/>
      <c r="B125" s="73" t="s">
        <v>123</v>
      </c>
      <c r="C125" s="87">
        <v>0</v>
      </c>
      <c r="D125" s="87">
        <v>0</v>
      </c>
      <c r="E125" s="87">
        <v>0</v>
      </c>
      <c r="F125" s="87"/>
      <c r="G125" s="87"/>
      <c r="H125" s="87"/>
      <c r="I125" s="87"/>
      <c r="J125" s="87"/>
      <c r="K125" s="87"/>
      <c r="L125" s="87"/>
      <c r="M125" s="87"/>
      <c r="N125" s="87"/>
    </row>
    <row r="126" spans="1:14" ht="12.75">
      <c r="A126" s="340" t="s">
        <v>127</v>
      </c>
      <c r="B126" s="73" t="s">
        <v>122</v>
      </c>
      <c r="C126" s="87">
        <v>0</v>
      </c>
      <c r="D126" s="87">
        <v>0</v>
      </c>
      <c r="E126" s="87">
        <v>0</v>
      </c>
      <c r="F126" s="87"/>
      <c r="G126" s="87"/>
      <c r="H126" s="87"/>
      <c r="I126" s="87"/>
      <c r="J126" s="87"/>
      <c r="K126" s="87"/>
      <c r="L126" s="87"/>
      <c r="M126" s="87"/>
      <c r="N126" s="87"/>
    </row>
    <row r="127" spans="1:14" ht="12.75">
      <c r="A127" s="340"/>
      <c r="B127" s="73" t="s">
        <v>123</v>
      </c>
      <c r="C127" s="87">
        <v>0</v>
      </c>
      <c r="D127" s="87">
        <v>0</v>
      </c>
      <c r="E127" s="87">
        <v>0</v>
      </c>
      <c r="F127" s="87"/>
      <c r="G127" s="87"/>
      <c r="H127" s="87"/>
      <c r="I127" s="87"/>
      <c r="J127" s="87"/>
      <c r="K127" s="87"/>
      <c r="L127" s="87"/>
      <c r="M127" s="87"/>
      <c r="N127" s="87"/>
    </row>
    <row r="128" spans="1:14" ht="12.75">
      <c r="A128" s="337" t="s">
        <v>128</v>
      </c>
      <c r="B128" s="337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</row>
    <row r="129" spans="1:14" ht="12.75">
      <c r="A129" s="340" t="s">
        <v>126</v>
      </c>
      <c r="B129" s="73" t="s">
        <v>122</v>
      </c>
      <c r="C129" s="87">
        <v>0</v>
      </c>
      <c r="D129" s="87">
        <v>0</v>
      </c>
      <c r="E129" s="87">
        <v>0</v>
      </c>
      <c r="F129" s="87"/>
      <c r="G129" s="87"/>
      <c r="H129" s="87"/>
      <c r="I129" s="87"/>
      <c r="J129" s="87"/>
      <c r="K129" s="87"/>
      <c r="L129" s="87"/>
      <c r="M129" s="87"/>
      <c r="N129" s="87"/>
    </row>
    <row r="130" spans="1:14" ht="12.75">
      <c r="A130" s="340"/>
      <c r="B130" s="73" t="s">
        <v>123</v>
      </c>
      <c r="C130" s="87">
        <v>0</v>
      </c>
      <c r="D130" s="87">
        <v>0</v>
      </c>
      <c r="E130" s="87">
        <v>0</v>
      </c>
      <c r="F130" s="87"/>
      <c r="G130" s="87"/>
      <c r="H130" s="87"/>
      <c r="I130" s="87"/>
      <c r="J130" s="87"/>
      <c r="K130" s="87"/>
      <c r="L130" s="87"/>
      <c r="M130" s="87"/>
      <c r="N130" s="87"/>
    </row>
    <row r="131" spans="1:14" ht="12.75">
      <c r="A131" s="340" t="s">
        <v>124</v>
      </c>
      <c r="B131" s="73" t="s">
        <v>122</v>
      </c>
      <c r="C131" s="87">
        <v>0</v>
      </c>
      <c r="D131" s="87">
        <v>0</v>
      </c>
      <c r="E131" s="87">
        <v>0</v>
      </c>
      <c r="F131" s="87"/>
      <c r="G131" s="87"/>
      <c r="H131" s="87"/>
      <c r="I131" s="87"/>
      <c r="J131" s="87"/>
      <c r="K131" s="87"/>
      <c r="L131" s="87"/>
      <c r="M131" s="87"/>
      <c r="N131" s="87"/>
    </row>
    <row r="132" spans="1:14" ht="12.75">
      <c r="A132" s="340"/>
      <c r="B132" s="73" t="s">
        <v>123</v>
      </c>
      <c r="C132" s="87">
        <v>0</v>
      </c>
      <c r="D132" s="87">
        <v>0</v>
      </c>
      <c r="E132" s="87">
        <v>0</v>
      </c>
      <c r="F132" s="87"/>
      <c r="G132" s="87"/>
      <c r="H132" s="87"/>
      <c r="I132" s="87"/>
      <c r="J132" s="87"/>
      <c r="K132" s="87"/>
      <c r="L132" s="87"/>
      <c r="M132" s="87"/>
      <c r="N132" s="87"/>
    </row>
    <row r="133" spans="1:14" ht="12.75">
      <c r="A133" s="340" t="s">
        <v>127</v>
      </c>
      <c r="B133" s="73" t="s">
        <v>122</v>
      </c>
      <c r="C133" s="87">
        <v>0</v>
      </c>
      <c r="D133" s="87">
        <v>0</v>
      </c>
      <c r="E133" s="87">
        <v>0</v>
      </c>
      <c r="F133" s="87"/>
      <c r="G133" s="87"/>
      <c r="H133" s="87"/>
      <c r="I133" s="87"/>
      <c r="J133" s="87"/>
      <c r="K133" s="87"/>
      <c r="L133" s="87"/>
      <c r="M133" s="87"/>
      <c r="N133" s="87"/>
    </row>
    <row r="134" spans="1:14" ht="12.75">
      <c r="A134" s="340"/>
      <c r="B134" s="73" t="s">
        <v>123</v>
      </c>
      <c r="C134" s="87">
        <v>0</v>
      </c>
      <c r="D134" s="87">
        <v>0</v>
      </c>
      <c r="E134" s="87">
        <v>0</v>
      </c>
      <c r="F134" s="87"/>
      <c r="G134" s="87"/>
      <c r="H134" s="87"/>
      <c r="I134" s="87"/>
      <c r="J134" s="87"/>
      <c r="K134" s="87"/>
      <c r="L134" s="87"/>
      <c r="M134" s="87"/>
      <c r="N134" s="87"/>
    </row>
    <row r="137" spans="1:2" ht="12.75">
      <c r="A137" s="338" t="s">
        <v>141</v>
      </c>
      <c r="B137" s="338"/>
    </row>
    <row r="138" spans="1:2" ht="12.75">
      <c r="A138" s="337" t="s">
        <v>23</v>
      </c>
      <c r="B138" s="337"/>
    </row>
    <row r="139" spans="1:14" ht="12.75">
      <c r="A139" s="333"/>
      <c r="B139" s="334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</row>
    <row r="140" spans="1:14" ht="12.75">
      <c r="A140" s="333"/>
      <c r="B140" s="334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</row>
    <row r="141" spans="1:14" ht="12.75">
      <c r="A141" s="333"/>
      <c r="B141" s="334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</row>
    <row r="142" spans="1:14" ht="12.75">
      <c r="A142" s="333"/>
      <c r="B142" s="334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</row>
    <row r="143" spans="1:14" ht="12.75">
      <c r="A143" s="333"/>
      <c r="B143" s="334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</row>
    <row r="144" spans="1:14" ht="12.75">
      <c r="A144" s="333"/>
      <c r="B144" s="334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</row>
    <row r="145" spans="2:14" ht="12.75">
      <c r="B145" s="76" t="s">
        <v>86</v>
      </c>
      <c r="C145" s="88">
        <f aca="true" t="shared" si="26" ref="C145:N145">SUM(C139:C144)</f>
        <v>0</v>
      </c>
      <c r="D145" s="88">
        <f t="shared" si="26"/>
        <v>0</v>
      </c>
      <c r="E145" s="88">
        <f t="shared" si="26"/>
        <v>0</v>
      </c>
      <c r="F145" s="88">
        <f t="shared" si="26"/>
        <v>0</v>
      </c>
      <c r="G145" s="88">
        <f t="shared" si="26"/>
        <v>0</v>
      </c>
      <c r="H145" s="88">
        <f t="shared" si="26"/>
        <v>0</v>
      </c>
      <c r="I145" s="88">
        <f t="shared" si="26"/>
        <v>0</v>
      </c>
      <c r="J145" s="88">
        <f t="shared" si="26"/>
        <v>0</v>
      </c>
      <c r="K145" s="88">
        <f t="shared" si="26"/>
        <v>0</v>
      </c>
      <c r="L145" s="88">
        <f t="shared" si="26"/>
        <v>0</v>
      </c>
      <c r="M145" s="88">
        <f t="shared" si="26"/>
        <v>0</v>
      </c>
      <c r="N145" s="88">
        <f t="shared" si="26"/>
        <v>0</v>
      </c>
    </row>
    <row r="148" spans="1:2" ht="12.75">
      <c r="A148" s="338" t="s">
        <v>142</v>
      </c>
      <c r="B148" s="338"/>
    </row>
    <row r="149" spans="1:2" ht="12.75">
      <c r="A149" s="337" t="s">
        <v>23</v>
      </c>
      <c r="B149" s="337"/>
    </row>
    <row r="150" spans="1:15" ht="12.75">
      <c r="A150" s="335" t="s">
        <v>178</v>
      </c>
      <c r="B150" s="336"/>
      <c r="C150" s="197">
        <f>C48</f>
        <v>87423.17</v>
      </c>
      <c r="D150" s="197">
        <f aca="true" t="shared" si="27" ref="D150:N150">D48</f>
        <v>61559.73</v>
      </c>
      <c r="E150" s="197">
        <f t="shared" si="27"/>
        <v>44667.89</v>
      </c>
      <c r="F150" s="197">
        <f t="shared" si="27"/>
        <v>113634.37</v>
      </c>
      <c r="G150" s="197">
        <f t="shared" si="27"/>
        <v>120268.9</v>
      </c>
      <c r="H150" s="197">
        <f t="shared" si="27"/>
        <v>0</v>
      </c>
      <c r="I150" s="197">
        <f t="shared" si="27"/>
        <v>0</v>
      </c>
      <c r="J150" s="197">
        <f t="shared" si="27"/>
        <v>0</v>
      </c>
      <c r="K150" s="197">
        <f t="shared" si="27"/>
        <v>0</v>
      </c>
      <c r="L150" s="197">
        <f t="shared" si="27"/>
        <v>0</v>
      </c>
      <c r="M150" s="197">
        <f t="shared" si="27"/>
        <v>0</v>
      </c>
      <c r="N150" s="197">
        <f t="shared" si="27"/>
        <v>0</v>
      </c>
      <c r="O150" s="90">
        <f>SUM(C150:N150)</f>
        <v>427554.05999999994</v>
      </c>
    </row>
    <row r="151" spans="1:14" ht="12.75">
      <c r="A151" s="333" t="s">
        <v>192</v>
      </c>
      <c r="B151" s="334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</row>
    <row r="152" spans="1:14" ht="12.75">
      <c r="A152" s="333" t="s">
        <v>197</v>
      </c>
      <c r="B152" s="334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</row>
    <row r="153" spans="1:14" ht="12.75">
      <c r="A153" s="333" t="s">
        <v>200</v>
      </c>
      <c r="B153" s="334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</row>
    <row r="154" spans="1:14" ht="12.75">
      <c r="A154" s="356" t="s">
        <v>229</v>
      </c>
      <c r="B154" s="357"/>
      <c r="C154" s="87"/>
      <c r="D154" s="87"/>
      <c r="E154" s="87"/>
      <c r="F154" s="211">
        <v>17358620.41</v>
      </c>
      <c r="G154" s="87"/>
      <c r="H154" s="87"/>
      <c r="I154" s="87"/>
      <c r="J154" s="87"/>
      <c r="K154" s="87"/>
      <c r="L154" s="87"/>
      <c r="M154" s="87"/>
      <c r="N154" s="87"/>
    </row>
    <row r="155" spans="1:14" ht="12.75">
      <c r="A155" s="333"/>
      <c r="B155" s="334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</row>
    <row r="156" spans="2:14" ht="12.75">
      <c r="B156" s="76" t="s">
        <v>86</v>
      </c>
      <c r="C156" s="88">
        <f>SUM(C150:C155)</f>
        <v>87423.17</v>
      </c>
      <c r="D156" s="88">
        <f>SUM(D150:D155)+C156</f>
        <v>148982.9</v>
      </c>
      <c r="E156" s="88">
        <f aca="true" t="shared" si="28" ref="E156:N156">SUM(E150:E155)+D156</f>
        <v>193650.78999999998</v>
      </c>
      <c r="F156" s="88">
        <f t="shared" si="28"/>
        <v>17665905.57</v>
      </c>
      <c r="G156" s="88">
        <f t="shared" si="28"/>
        <v>17786174.47</v>
      </c>
      <c r="H156" s="88">
        <f t="shared" si="28"/>
        <v>17786174.47</v>
      </c>
      <c r="I156" s="88">
        <f t="shared" si="28"/>
        <v>17786174.47</v>
      </c>
      <c r="J156" s="88">
        <f t="shared" si="28"/>
        <v>17786174.47</v>
      </c>
      <c r="K156" s="88">
        <f t="shared" si="28"/>
        <v>17786174.47</v>
      </c>
      <c r="L156" s="88">
        <f t="shared" si="28"/>
        <v>17786174.47</v>
      </c>
      <c r="M156" s="88">
        <f t="shared" si="28"/>
        <v>17786174.47</v>
      </c>
      <c r="N156" s="88">
        <f t="shared" si="28"/>
        <v>17786174.47</v>
      </c>
    </row>
    <row r="158" spans="1:2" ht="12.75">
      <c r="A158" s="338" t="s">
        <v>147</v>
      </c>
      <c r="B158" s="338"/>
    </row>
    <row r="159" spans="1:2" ht="12.75">
      <c r="A159" s="337" t="s">
        <v>38</v>
      </c>
      <c r="B159" s="337"/>
    </row>
    <row r="160" spans="1:14" ht="12.75">
      <c r="A160" s="335" t="s">
        <v>149</v>
      </c>
      <c r="B160" s="336"/>
      <c r="C160" s="87"/>
      <c r="D160" s="193">
        <f aca="true" t="shared" si="29" ref="D160:N160">C178</f>
        <v>0</v>
      </c>
      <c r="E160" s="193">
        <f>D178-1370</f>
        <v>728560.76</v>
      </c>
      <c r="F160" s="193">
        <f>E178-273175</f>
        <v>0</v>
      </c>
      <c r="G160" s="193">
        <f>F178</f>
        <v>0</v>
      </c>
      <c r="H160" s="193">
        <f t="shared" si="29"/>
        <v>502115.5</v>
      </c>
      <c r="I160" s="193">
        <f t="shared" si="29"/>
        <v>0</v>
      </c>
      <c r="J160" s="193">
        <f t="shared" si="29"/>
        <v>0</v>
      </c>
      <c r="K160" s="193">
        <f t="shared" si="29"/>
        <v>0</v>
      </c>
      <c r="L160" s="193">
        <f t="shared" si="29"/>
        <v>0</v>
      </c>
      <c r="M160" s="193">
        <f t="shared" si="29"/>
        <v>0</v>
      </c>
      <c r="N160" s="193">
        <f t="shared" si="29"/>
        <v>0</v>
      </c>
    </row>
    <row r="161" spans="1:14" ht="12.75">
      <c r="A161" s="333" t="s">
        <v>184</v>
      </c>
      <c r="B161" s="334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</row>
    <row r="162" spans="1:14" ht="12.75">
      <c r="A162" s="333" t="s">
        <v>185</v>
      </c>
      <c r="B162" s="334"/>
      <c r="C162" s="87"/>
      <c r="D162" s="87"/>
      <c r="F162" s="87"/>
      <c r="G162" s="87"/>
      <c r="H162" s="87"/>
      <c r="I162" s="87"/>
      <c r="J162" s="87"/>
      <c r="K162" s="87"/>
      <c r="L162" s="87"/>
      <c r="M162" s="87"/>
      <c r="N162" s="87"/>
    </row>
    <row r="163" spans="1:14" ht="12.75">
      <c r="A163" s="333" t="s">
        <v>213</v>
      </c>
      <c r="B163" s="334"/>
      <c r="C163" s="204">
        <f>4447597.4+5000</f>
        <v>4452597.4</v>
      </c>
      <c r="D163" s="87"/>
      <c r="E163" s="87"/>
      <c r="F163" s="204">
        <v>263684.99</v>
      </c>
      <c r="G163" s="87">
        <v>10910.01</v>
      </c>
      <c r="H163" s="87"/>
      <c r="I163" s="87"/>
      <c r="J163" s="87"/>
      <c r="K163" s="87"/>
      <c r="L163" s="87"/>
      <c r="M163" s="87"/>
      <c r="N163" s="87"/>
    </row>
    <row r="164" spans="1:14" ht="12.75">
      <c r="A164" s="333" t="s">
        <v>214</v>
      </c>
      <c r="B164" s="334"/>
      <c r="C164" s="87">
        <v>250</v>
      </c>
      <c r="D164" s="87"/>
      <c r="E164" s="87"/>
      <c r="F164" s="87"/>
      <c r="G164" s="211">
        <v>4389.91</v>
      </c>
      <c r="H164" s="87"/>
      <c r="I164" s="87"/>
      <c r="J164" s="87"/>
      <c r="K164" s="87"/>
      <c r="L164" s="87"/>
      <c r="M164" s="87"/>
      <c r="N164" s="87"/>
    </row>
    <row r="165" spans="1:14" ht="12.75">
      <c r="A165" s="333" t="s">
        <v>195</v>
      </c>
      <c r="B165" s="334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</row>
    <row r="166" spans="1:14" ht="12.75">
      <c r="A166" s="333"/>
      <c r="B166" s="334"/>
      <c r="C166" s="87"/>
      <c r="D166" s="87"/>
      <c r="E166" s="87"/>
      <c r="F166" s="211">
        <v>200</v>
      </c>
      <c r="G166" s="87"/>
      <c r="H166" s="166"/>
      <c r="I166" s="87"/>
      <c r="J166" s="87"/>
      <c r="K166" s="87"/>
      <c r="L166" s="87"/>
      <c r="M166" s="87"/>
      <c r="N166" s="87"/>
    </row>
    <row r="167" spans="2:14" ht="12.75">
      <c r="B167" s="76" t="s">
        <v>86</v>
      </c>
      <c r="C167" s="88">
        <f>SUM(C161:C166)</f>
        <v>4452847.4</v>
      </c>
      <c r="D167" s="88">
        <f>SUM(D160:D166)</f>
        <v>0</v>
      </c>
      <c r="E167" s="88">
        <f aca="true" t="shared" si="30" ref="E167:N167">SUM(E160:E166)</f>
        <v>728560.76</v>
      </c>
      <c r="F167" s="88">
        <f t="shared" si="30"/>
        <v>263884.99</v>
      </c>
      <c r="G167" s="88">
        <f t="shared" si="30"/>
        <v>15299.92</v>
      </c>
      <c r="H167" s="88">
        <f t="shared" si="30"/>
        <v>502115.5</v>
      </c>
      <c r="I167" s="88">
        <f t="shared" si="30"/>
        <v>0</v>
      </c>
      <c r="J167" s="88">
        <f t="shared" si="30"/>
        <v>0</v>
      </c>
      <c r="K167" s="88">
        <f t="shared" si="30"/>
        <v>0</v>
      </c>
      <c r="L167" s="88">
        <f t="shared" si="30"/>
        <v>0</v>
      </c>
      <c r="M167" s="88">
        <f t="shared" si="30"/>
        <v>0</v>
      </c>
      <c r="N167" s="88">
        <f t="shared" si="30"/>
        <v>0</v>
      </c>
    </row>
    <row r="168" spans="2:14" s="120" customFormat="1" ht="25.5">
      <c r="B168" s="121" t="s">
        <v>150</v>
      </c>
      <c r="C168" s="122">
        <f>C167</f>
        <v>4452847.4</v>
      </c>
      <c r="D168" s="122">
        <f>+C168+D167</f>
        <v>4452847.4</v>
      </c>
      <c r="E168" s="122">
        <f>+D168+E167</f>
        <v>5181408.16</v>
      </c>
      <c r="F168" s="122">
        <f>+E168+F167</f>
        <v>5445293.15</v>
      </c>
      <c r="G168" s="122">
        <f>+F168+G167</f>
        <v>5460593.07</v>
      </c>
      <c r="H168" s="122">
        <f aca="true" t="shared" si="31" ref="H168:N168">+G168+H167</f>
        <v>5962708.57</v>
      </c>
      <c r="I168" s="122">
        <f t="shared" si="31"/>
        <v>5962708.57</v>
      </c>
      <c r="J168" s="122">
        <f t="shared" si="31"/>
        <v>5962708.57</v>
      </c>
      <c r="K168" s="122">
        <f>+J168+K167</f>
        <v>5962708.57</v>
      </c>
      <c r="L168" s="122">
        <f>+K168+L167</f>
        <v>5962708.57</v>
      </c>
      <c r="M168" s="122">
        <f t="shared" si="31"/>
        <v>5962708.57</v>
      </c>
      <c r="N168" s="122">
        <f t="shared" si="31"/>
        <v>5962708.57</v>
      </c>
    </row>
    <row r="170" spans="1:2" ht="12.75">
      <c r="A170" s="338" t="s">
        <v>148</v>
      </c>
      <c r="B170" s="338"/>
    </row>
    <row r="171" spans="1:14" ht="12.75">
      <c r="A171" s="337" t="s">
        <v>39</v>
      </c>
      <c r="B171" s="337"/>
      <c r="N171" s="145"/>
    </row>
    <row r="172" spans="1:14" ht="12.75">
      <c r="A172" s="333" t="s">
        <v>183</v>
      </c>
      <c r="B172" s="334"/>
      <c r="C172" s="160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</row>
    <row r="173" spans="1:14" ht="12.75">
      <c r="A173" s="333" t="s">
        <v>218</v>
      </c>
      <c r="B173" s="334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</row>
    <row r="174" spans="1:14" s="194" customFormat="1" ht="12.75">
      <c r="A174" s="331" t="s">
        <v>182</v>
      </c>
      <c r="B174" s="332"/>
      <c r="C174" s="192"/>
      <c r="D174" s="196">
        <f>661398.76+67162</f>
        <v>728560.76</v>
      </c>
      <c r="E174" s="192"/>
      <c r="F174" s="160"/>
      <c r="G174" s="211">
        <v>502115.5</v>
      </c>
      <c r="H174" s="192"/>
      <c r="I174" s="192"/>
      <c r="J174" s="160"/>
      <c r="K174" s="192"/>
      <c r="L174" s="160"/>
      <c r="M174" s="160"/>
      <c r="N174" s="192"/>
    </row>
    <row r="175" spans="1:14" ht="12.75">
      <c r="A175" s="331" t="s">
        <v>186</v>
      </c>
      <c r="B175" s="332"/>
      <c r="C175" s="87"/>
      <c r="D175" s="87"/>
      <c r="E175" s="87"/>
      <c r="F175" s="161"/>
      <c r="G175" s="87"/>
      <c r="H175" s="87"/>
      <c r="I175" s="87"/>
      <c r="J175" s="87"/>
      <c r="K175" s="87"/>
      <c r="L175" s="87"/>
      <c r="M175" s="87"/>
      <c r="N175" s="87"/>
    </row>
    <row r="176" spans="1:14" ht="12.75">
      <c r="A176" s="333" t="s">
        <v>220</v>
      </c>
      <c r="B176" s="334"/>
      <c r="C176" s="87"/>
      <c r="D176" s="204">
        <v>1370</v>
      </c>
      <c r="E176" s="204">
        <v>273175</v>
      </c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ht="12.75">
      <c r="A177" s="99"/>
      <c r="B177" s="100"/>
      <c r="C177" s="87"/>
      <c r="D177" s="87"/>
      <c r="E177" s="87"/>
      <c r="F177" s="87"/>
      <c r="G177" s="87"/>
      <c r="H177" s="167"/>
      <c r="I177" s="87"/>
      <c r="J177" s="87"/>
      <c r="K177" s="87"/>
      <c r="L177" s="87"/>
      <c r="M177" s="87"/>
      <c r="N177" s="87"/>
    </row>
    <row r="178" spans="2:14" ht="12.75">
      <c r="B178" s="76" t="s">
        <v>86</v>
      </c>
      <c r="C178" s="88">
        <f aca="true" t="shared" si="32" ref="C178:N178">SUM(C172:C177)</f>
        <v>0</v>
      </c>
      <c r="D178" s="88">
        <f t="shared" si="32"/>
        <v>729930.76</v>
      </c>
      <c r="E178" s="88">
        <f t="shared" si="32"/>
        <v>273175</v>
      </c>
      <c r="F178" s="88">
        <f t="shared" si="32"/>
        <v>0</v>
      </c>
      <c r="G178" s="88">
        <f t="shared" si="32"/>
        <v>502115.5</v>
      </c>
      <c r="H178" s="88">
        <f t="shared" si="32"/>
        <v>0</v>
      </c>
      <c r="I178" s="88">
        <f t="shared" si="32"/>
        <v>0</v>
      </c>
      <c r="J178" s="88">
        <f t="shared" si="32"/>
        <v>0</v>
      </c>
      <c r="K178" s="88">
        <f t="shared" si="32"/>
        <v>0</v>
      </c>
      <c r="L178" s="88">
        <f t="shared" si="32"/>
        <v>0</v>
      </c>
      <c r="M178" s="88">
        <f t="shared" si="32"/>
        <v>0</v>
      </c>
      <c r="N178" s="88">
        <f t="shared" si="32"/>
        <v>0</v>
      </c>
    </row>
    <row r="179" spans="2:14" s="120" customFormat="1" ht="12.75">
      <c r="B179" s="121" t="s">
        <v>151</v>
      </c>
      <c r="C179" s="122">
        <f>C178</f>
        <v>0</v>
      </c>
      <c r="D179" s="122">
        <f aca="true" t="shared" si="33" ref="D179:N179">+C179+D178</f>
        <v>729930.76</v>
      </c>
      <c r="E179" s="122">
        <f t="shared" si="33"/>
        <v>1003105.76</v>
      </c>
      <c r="F179" s="122">
        <f t="shared" si="33"/>
        <v>1003105.76</v>
      </c>
      <c r="G179" s="122">
        <f t="shared" si="33"/>
        <v>1505221.26</v>
      </c>
      <c r="H179" s="122">
        <f t="shared" si="33"/>
        <v>1505221.26</v>
      </c>
      <c r="I179" s="122">
        <f t="shared" si="33"/>
        <v>1505221.26</v>
      </c>
      <c r="J179" s="122">
        <f t="shared" si="33"/>
        <v>1505221.26</v>
      </c>
      <c r="K179" s="122">
        <f t="shared" si="33"/>
        <v>1505221.26</v>
      </c>
      <c r="L179" s="122">
        <f t="shared" si="33"/>
        <v>1505221.26</v>
      </c>
      <c r="M179" s="122">
        <f t="shared" si="33"/>
        <v>1505221.26</v>
      </c>
      <c r="N179" s="122">
        <f t="shared" si="33"/>
        <v>1505221.26</v>
      </c>
    </row>
    <row r="181" ht="12.75">
      <c r="F181" s="90"/>
    </row>
  </sheetData>
  <sheetProtection/>
  <mergeCells count="73">
    <mergeCell ref="A155:B155"/>
    <mergeCell ref="A151:B151"/>
    <mergeCell ref="A152:B152"/>
    <mergeCell ref="A153:B153"/>
    <mergeCell ref="A154:B154"/>
    <mergeCell ref="A142:B142"/>
    <mergeCell ref="A143:B143"/>
    <mergeCell ref="A144:B144"/>
    <mergeCell ref="A150:B150"/>
    <mergeCell ref="A133:A134"/>
    <mergeCell ref="A139:B139"/>
    <mergeCell ref="A140:B140"/>
    <mergeCell ref="A141:B141"/>
    <mergeCell ref="A81:B81"/>
    <mergeCell ref="A176:B176"/>
    <mergeCell ref="A158:B158"/>
    <mergeCell ref="A117:A118"/>
    <mergeCell ref="A148:B148"/>
    <mergeCell ref="A149:B149"/>
    <mergeCell ref="A121:B121"/>
    <mergeCell ref="A128:B128"/>
    <mergeCell ref="A129:A130"/>
    <mergeCell ref="A131:A132"/>
    <mergeCell ref="A126:A127"/>
    <mergeCell ref="A101:A102"/>
    <mergeCell ref="A122:A123"/>
    <mergeCell ref="A69:A73"/>
    <mergeCell ref="A75:A79"/>
    <mergeCell ref="A97:A98"/>
    <mergeCell ref="A82:A86"/>
    <mergeCell ref="A88:A92"/>
    <mergeCell ref="A95:B95"/>
    <mergeCell ref="A96:B96"/>
    <mergeCell ref="A112:B112"/>
    <mergeCell ref="A113:A114"/>
    <mergeCell ref="A115:A116"/>
    <mergeCell ref="A124:A125"/>
    <mergeCell ref="A2:B2"/>
    <mergeCell ref="A1:B1"/>
    <mergeCell ref="A159:B159"/>
    <mergeCell ref="A56:B56"/>
    <mergeCell ref="A46:B46"/>
    <mergeCell ref="A47:A48"/>
    <mergeCell ref="A20:A26"/>
    <mergeCell ref="A38:A44"/>
    <mergeCell ref="A105:B105"/>
    <mergeCell ref="A67:B67"/>
    <mergeCell ref="A3:B3"/>
    <mergeCell ref="A49:A50"/>
    <mergeCell ref="A4:A10"/>
    <mergeCell ref="A12:A18"/>
    <mergeCell ref="A37:B37"/>
    <mergeCell ref="A28:A34"/>
    <mergeCell ref="A164:B164"/>
    <mergeCell ref="A165:B165"/>
    <mergeCell ref="A166:B166"/>
    <mergeCell ref="A68:B68"/>
    <mergeCell ref="A138:B138"/>
    <mergeCell ref="A106:A107"/>
    <mergeCell ref="A108:A109"/>
    <mergeCell ref="A110:A111"/>
    <mergeCell ref="A137:B137"/>
    <mergeCell ref="A120:B120"/>
    <mergeCell ref="A175:B175"/>
    <mergeCell ref="A161:B161"/>
    <mergeCell ref="A160:B160"/>
    <mergeCell ref="A174:B174"/>
    <mergeCell ref="A173:B173"/>
    <mergeCell ref="A172:B172"/>
    <mergeCell ref="A171:B171"/>
    <mergeCell ref="A170:B170"/>
    <mergeCell ref="A162:B162"/>
    <mergeCell ref="A163:B163"/>
  </mergeCells>
  <printOptions/>
  <pageMargins left="0.07874015748031496" right="0.07874015748031496" top="0.11811023622047245" bottom="0.07874015748031496" header="0.11811023622047245" footer="0.11811023622047245"/>
  <pageSetup horizontalDpi="600" verticalDpi="600" orientation="landscape" paperSize="9" r:id="rId4"/>
  <ignoredErrors>
    <ignoredError sqref="D14" formula="1"/>
    <ignoredError sqref="E178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N47"/>
  <sheetViews>
    <sheetView showGridLines="0" zoomScale="115" zoomScaleNormal="115" zoomScalePageLayoutView="0" workbookViewId="0" topLeftCell="A1">
      <selection activeCell="A30" sqref="A30:C3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7.00390625" style="1" customWidth="1"/>
    <col min="5" max="9" width="9.8515625" style="1" customWidth="1"/>
    <col min="10" max="10" width="7.28125" style="1" customWidth="1"/>
    <col min="11" max="11" width="15.57421875" style="25" customWidth="1"/>
    <col min="12" max="12" width="10.57421875" style="1" bestFit="1" customWidth="1"/>
    <col min="13" max="13" width="6.8515625" style="1" customWidth="1"/>
    <col min="14" max="14" width="12.00390625" style="1" bestFit="1" customWidth="1"/>
    <col min="15" max="16384" width="6.8515625" style="1" customWidth="1"/>
  </cols>
  <sheetData>
    <row r="1" ht="13.5" customHeight="1">
      <c r="C1" s="168"/>
    </row>
    <row r="3" spans="1:11" ht="13.5" customHeight="1">
      <c r="A3" s="358" t="s">
        <v>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1" ht="15" customHeight="1">
      <c r="A4" s="358" t="s">
        <v>135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</row>
    <row r="5" spans="1:14" ht="15" customHeight="1">
      <c r="A5" s="359">
        <v>43221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N5" s="2"/>
    </row>
    <row r="6" spans="1:11" ht="19.5" customHeight="1">
      <c r="A6" s="329" t="s">
        <v>3</v>
      </c>
      <c r="B6" s="330"/>
      <c r="C6" s="330"/>
      <c r="D6" s="330"/>
      <c r="E6" s="329" t="s">
        <v>4</v>
      </c>
      <c r="F6" s="330"/>
      <c r="G6" s="330"/>
      <c r="H6" s="330"/>
      <c r="I6" s="330"/>
      <c r="J6" s="330"/>
      <c r="K6" s="315"/>
    </row>
    <row r="7" spans="1:11" ht="19.5" customHeight="1">
      <c r="A7" s="316" t="s">
        <v>5</v>
      </c>
      <c r="B7" s="317"/>
      <c r="C7" s="317"/>
      <c r="D7" s="5" t="s">
        <v>6</v>
      </c>
      <c r="E7" s="316" t="s">
        <v>5</v>
      </c>
      <c r="F7" s="317"/>
      <c r="G7" s="317"/>
      <c r="H7" s="317"/>
      <c r="I7" s="317"/>
      <c r="J7" s="318"/>
      <c r="K7" s="5" t="s">
        <v>6</v>
      </c>
    </row>
    <row r="8" spans="1:11" ht="13.5" customHeight="1">
      <c r="A8" s="319" t="s">
        <v>7</v>
      </c>
      <c r="B8" s="320"/>
      <c r="C8" s="320"/>
      <c r="D8" s="116">
        <f>+$D$9+$D$13</f>
        <v>10182871.209999999</v>
      </c>
      <c r="E8" s="319" t="s">
        <v>8</v>
      </c>
      <c r="F8" s="320"/>
      <c r="G8" s="320"/>
      <c r="H8" s="320"/>
      <c r="I8" s="320"/>
      <c r="J8" s="321"/>
      <c r="K8" s="116">
        <f>+$K$13+$K$9</f>
        <v>49074446.21</v>
      </c>
    </row>
    <row r="9" spans="1:11" ht="13.5" customHeight="1">
      <c r="A9" s="322" t="s">
        <v>9</v>
      </c>
      <c r="B9" s="323"/>
      <c r="C9" s="323"/>
      <c r="D9" s="11">
        <f>SUM(D10:D12)</f>
        <v>0</v>
      </c>
      <c r="E9" s="322" t="s">
        <v>9</v>
      </c>
      <c r="F9" s="323"/>
      <c r="G9" s="323"/>
      <c r="H9" s="323"/>
      <c r="I9" s="323"/>
      <c r="J9" s="324"/>
      <c r="K9" s="11">
        <f>SUM(K10:K12)</f>
        <v>0</v>
      </c>
    </row>
    <row r="10" spans="1:11" ht="13.5" customHeight="1">
      <c r="A10" s="325" t="s">
        <v>10</v>
      </c>
      <c r="B10" s="326"/>
      <c r="C10" s="326"/>
      <c r="D10" s="169"/>
      <c r="E10" s="325" t="s">
        <v>10</v>
      </c>
      <c r="F10" s="326"/>
      <c r="G10" s="326"/>
      <c r="H10" s="326"/>
      <c r="I10" s="326"/>
      <c r="J10" s="327"/>
      <c r="K10" s="11"/>
    </row>
    <row r="11" spans="1:11" ht="13.5" customHeight="1">
      <c r="A11" s="325" t="s">
        <v>11</v>
      </c>
      <c r="B11" s="328"/>
      <c r="C11" s="328"/>
      <c r="D11" s="11"/>
      <c r="E11" s="325" t="s">
        <v>11</v>
      </c>
      <c r="F11" s="328"/>
      <c r="G11" s="328"/>
      <c r="H11" s="328"/>
      <c r="I11" s="328"/>
      <c r="J11" s="327"/>
      <c r="K11" s="11"/>
    </row>
    <row r="12" spans="1:11" ht="13.5" customHeight="1">
      <c r="A12" s="325" t="s">
        <v>12</v>
      </c>
      <c r="B12" s="328"/>
      <c r="C12" s="328"/>
      <c r="D12" s="11"/>
      <c r="E12" s="325" t="s">
        <v>12</v>
      </c>
      <c r="F12" s="328"/>
      <c r="G12" s="328"/>
      <c r="H12" s="328"/>
      <c r="I12" s="328"/>
      <c r="J12" s="327"/>
      <c r="K12" s="11"/>
    </row>
    <row r="13" spans="1:11" ht="13.5" customHeight="1">
      <c r="A13" s="306" t="s">
        <v>13</v>
      </c>
      <c r="B13" s="307"/>
      <c r="C13" s="307"/>
      <c r="D13" s="119">
        <f>SUM($D$14:$D$20)</f>
        <v>10182871.209999999</v>
      </c>
      <c r="E13" s="306" t="s">
        <v>13</v>
      </c>
      <c r="F13" s="307"/>
      <c r="G13" s="307"/>
      <c r="H13" s="307"/>
      <c r="I13" s="307"/>
      <c r="J13" s="308"/>
      <c r="K13" s="119">
        <f>SUM(K14:K20)</f>
        <v>49074446.21</v>
      </c>
    </row>
    <row r="14" spans="1:11" ht="13.5" customHeight="1">
      <c r="A14" s="325" t="s">
        <v>14</v>
      </c>
      <c r="B14" s="326"/>
      <c r="C14" s="326"/>
      <c r="D14" s="11"/>
      <c r="E14" s="325" t="s">
        <v>14</v>
      </c>
      <c r="F14" s="326"/>
      <c r="G14" s="326"/>
      <c r="H14" s="326"/>
      <c r="I14" s="326"/>
      <c r="J14" s="327"/>
      <c r="K14" s="11"/>
    </row>
    <row r="15" spans="1:11" ht="13.5" customHeight="1">
      <c r="A15" s="325" t="s">
        <v>15</v>
      </c>
      <c r="B15" s="328"/>
      <c r="C15" s="328"/>
      <c r="D15" s="11"/>
      <c r="E15" s="325" t="s">
        <v>15</v>
      </c>
      <c r="F15" s="328"/>
      <c r="G15" s="328"/>
      <c r="H15" s="328"/>
      <c r="I15" s="328"/>
      <c r="J15" s="327"/>
      <c r="K15" s="11"/>
    </row>
    <row r="16" spans="1:11" ht="13.5" customHeight="1">
      <c r="A16" s="325" t="s">
        <v>16</v>
      </c>
      <c r="B16" s="328"/>
      <c r="C16" s="328"/>
      <c r="D16" s="11"/>
      <c r="E16" s="325" t="s">
        <v>16</v>
      </c>
      <c r="F16" s="328"/>
      <c r="G16" s="328"/>
      <c r="H16" s="328"/>
      <c r="I16" s="328"/>
      <c r="J16" s="327"/>
      <c r="K16" s="11"/>
    </row>
    <row r="17" spans="1:11" ht="13.5" customHeight="1">
      <c r="A17" s="325" t="s">
        <v>17</v>
      </c>
      <c r="B17" s="328"/>
      <c r="C17" s="328"/>
      <c r="D17" s="11"/>
      <c r="E17" s="325" t="s">
        <v>17</v>
      </c>
      <c r="F17" s="328"/>
      <c r="G17" s="328"/>
      <c r="H17" s="328"/>
      <c r="I17" s="328"/>
      <c r="J17" s="327"/>
      <c r="K17" s="11"/>
    </row>
    <row r="18" spans="1:11" ht="13.5" customHeight="1">
      <c r="A18" s="325" t="s">
        <v>18</v>
      </c>
      <c r="B18" s="328"/>
      <c r="C18" s="328"/>
      <c r="D18" s="170">
        <f>HLOOKUP($A$5,DADOS!1:156,35,0)</f>
        <v>10182571.45</v>
      </c>
      <c r="E18" s="325" t="s">
        <v>18</v>
      </c>
      <c r="F18" s="328"/>
      <c r="G18" s="328"/>
      <c r="H18" s="328"/>
      <c r="I18" s="328"/>
      <c r="J18" s="327"/>
      <c r="K18" s="117">
        <f>HLOOKUP($A$5,DADOS!1:156,69,0)</f>
        <v>49074446.21</v>
      </c>
    </row>
    <row r="19" spans="1:11" ht="13.5" customHeight="1">
      <c r="A19" s="325" t="s">
        <v>19</v>
      </c>
      <c r="B19" s="328"/>
      <c r="C19" s="328"/>
      <c r="D19" s="11"/>
      <c r="E19" s="325" t="s">
        <v>19</v>
      </c>
      <c r="F19" s="328"/>
      <c r="G19" s="328"/>
      <c r="H19" s="328"/>
      <c r="I19" s="328"/>
      <c r="J19" s="327"/>
      <c r="K19" s="11"/>
    </row>
    <row r="20" spans="1:11" ht="13.5" customHeight="1">
      <c r="A20" s="309" t="s">
        <v>20</v>
      </c>
      <c r="B20" s="310"/>
      <c r="C20" s="310"/>
      <c r="D20" s="170">
        <f>HLOOKUP($A$5,DADOS!1:156,44,0)</f>
        <v>299.76</v>
      </c>
      <c r="E20" s="309" t="s">
        <v>20</v>
      </c>
      <c r="F20" s="310"/>
      <c r="G20" s="310"/>
      <c r="H20" s="310"/>
      <c r="I20" s="310"/>
      <c r="J20" s="311"/>
      <c r="K20" s="11"/>
    </row>
    <row r="21" spans="1:11" ht="13.5" customHeight="1">
      <c r="A21" s="319" t="s">
        <v>21</v>
      </c>
      <c r="B21" s="320"/>
      <c r="C21" s="320"/>
      <c r="D21" s="14">
        <f>SUBTOTAL(9,$D$22:$D$25)</f>
        <v>0</v>
      </c>
      <c r="E21" s="319" t="s">
        <v>22</v>
      </c>
      <c r="F21" s="320"/>
      <c r="G21" s="320"/>
      <c r="H21" s="320"/>
      <c r="I21" s="320"/>
      <c r="J21" s="321"/>
      <c r="K21" s="14">
        <f>SUBTOTAL(9,$K$22:$K$25)</f>
        <v>17786174.47</v>
      </c>
    </row>
    <row r="22" spans="1:11" ht="13.5" customHeight="1">
      <c r="A22" s="322" t="s">
        <v>23</v>
      </c>
      <c r="B22" s="312"/>
      <c r="C22" s="312"/>
      <c r="D22" s="102">
        <f>HLOOKUP($A$5,DADOS!1:156,144,0)</f>
        <v>0</v>
      </c>
      <c r="E22" s="322" t="s">
        <v>23</v>
      </c>
      <c r="F22" s="323"/>
      <c r="G22" s="323"/>
      <c r="H22" s="323"/>
      <c r="I22" s="323"/>
      <c r="J22" s="324"/>
      <c r="K22" s="102">
        <f>HLOOKUP($A$5,DADOS!1:156,156,0)</f>
        <v>17786174.47</v>
      </c>
    </row>
    <row r="23" spans="1:11" ht="13.5" customHeight="1">
      <c r="A23" s="306" t="s">
        <v>24</v>
      </c>
      <c r="B23" s="307"/>
      <c r="C23" s="307"/>
      <c r="D23" s="11"/>
      <c r="E23" s="306" t="s">
        <v>24</v>
      </c>
      <c r="F23" s="307"/>
      <c r="G23" s="307"/>
      <c r="H23" s="307"/>
      <c r="I23" s="307"/>
      <c r="J23" s="308"/>
      <c r="K23" s="11"/>
    </row>
    <row r="24" spans="1:11" ht="13.5" customHeight="1">
      <c r="A24" s="306" t="s">
        <v>25</v>
      </c>
      <c r="B24" s="307"/>
      <c r="C24" s="307"/>
      <c r="D24" s="11"/>
      <c r="E24" s="306" t="s">
        <v>25</v>
      </c>
      <c r="F24" s="307"/>
      <c r="G24" s="307"/>
      <c r="H24" s="307"/>
      <c r="I24" s="307"/>
      <c r="J24" s="308"/>
      <c r="K24" s="11"/>
    </row>
    <row r="25" spans="1:11" ht="13.5" customHeight="1">
      <c r="A25" s="313" t="s">
        <v>26</v>
      </c>
      <c r="B25" s="314"/>
      <c r="C25" s="314"/>
      <c r="D25" s="11"/>
      <c r="E25" s="313" t="s">
        <v>26</v>
      </c>
      <c r="F25" s="361"/>
      <c r="G25" s="361"/>
      <c r="H25" s="361"/>
      <c r="I25" s="361"/>
      <c r="J25" s="362"/>
      <c r="K25" s="11"/>
    </row>
    <row r="26" spans="1:11" ht="13.5" customHeight="1">
      <c r="A26" s="319" t="s">
        <v>27</v>
      </c>
      <c r="B26" s="320"/>
      <c r="C26" s="320"/>
      <c r="D26" s="14">
        <f>SUBTOTAL(9,$D$27:$D$32)</f>
        <v>34187858.34</v>
      </c>
      <c r="E26" s="319" t="s">
        <v>28</v>
      </c>
      <c r="F26" s="320"/>
      <c r="G26" s="320"/>
      <c r="H26" s="320"/>
      <c r="I26" s="320"/>
      <c r="J26" s="321"/>
      <c r="K26" s="14">
        <f>SUBTOTAL(9,$K$27:$K$32)</f>
        <v>4633071.11</v>
      </c>
    </row>
    <row r="27" spans="1:11" ht="13.5" customHeight="1">
      <c r="A27" s="322" t="s">
        <v>29</v>
      </c>
      <c r="B27" s="312"/>
      <c r="C27" s="312"/>
      <c r="D27" s="11"/>
      <c r="E27" s="322" t="s">
        <v>30</v>
      </c>
      <c r="F27" s="312"/>
      <c r="G27" s="312"/>
      <c r="H27" s="312"/>
      <c r="I27" s="312"/>
      <c r="J27" s="324"/>
      <c r="K27" s="11"/>
    </row>
    <row r="28" spans="1:11" ht="13.5" customHeight="1">
      <c r="A28" s="306" t="s">
        <v>31</v>
      </c>
      <c r="B28" s="363"/>
      <c r="C28" s="363"/>
      <c r="D28" s="117">
        <f>HLOOKUP($A$5,DADOS!1:156,73,0)</f>
        <v>26366481.67</v>
      </c>
      <c r="E28" s="306" t="s">
        <v>32</v>
      </c>
      <c r="F28" s="363"/>
      <c r="G28" s="363"/>
      <c r="H28" s="363"/>
      <c r="I28" s="363"/>
      <c r="J28" s="308"/>
      <c r="K28" s="117">
        <f>HLOOKUP($A$5,DADOS!1:156,97,0)</f>
        <v>2810690</v>
      </c>
    </row>
    <row r="29" spans="1:11" ht="13.5" customHeight="1">
      <c r="A29" s="306" t="s">
        <v>33</v>
      </c>
      <c r="B29" s="307"/>
      <c r="C29" s="307"/>
      <c r="D29" s="11"/>
      <c r="E29" s="306" t="s">
        <v>138</v>
      </c>
      <c r="F29" s="307"/>
      <c r="G29" s="307"/>
      <c r="H29" s="307"/>
      <c r="I29" s="307"/>
      <c r="J29" s="308"/>
      <c r="K29" s="11"/>
    </row>
    <row r="30" spans="1:11" ht="13.5" customHeight="1">
      <c r="A30" s="306" t="s">
        <v>35</v>
      </c>
      <c r="B30" s="307"/>
      <c r="C30" s="307"/>
      <c r="D30" s="117">
        <f>HLOOKUP($A$5,DADOS!1:156,71,0)-HLOOKUP($A$5,DADOS!1:156,72,0)</f>
        <v>2360783.6</v>
      </c>
      <c r="E30" s="306" t="s">
        <v>36</v>
      </c>
      <c r="F30" s="307"/>
      <c r="G30" s="307"/>
      <c r="H30" s="307"/>
      <c r="I30" s="307"/>
      <c r="J30" s="308"/>
      <c r="K30" s="117">
        <f>HLOOKUP($A$5,DADOS!1:158,98,0)</f>
        <v>317159.85</v>
      </c>
    </row>
    <row r="31" spans="1:11" ht="13.5" customHeight="1">
      <c r="A31" s="306" t="s">
        <v>37</v>
      </c>
      <c r="B31" s="307"/>
      <c r="C31" s="307"/>
      <c r="D31" s="11"/>
      <c r="E31" s="306" t="s">
        <v>37</v>
      </c>
      <c r="F31" s="307"/>
      <c r="G31" s="307"/>
      <c r="H31" s="307"/>
      <c r="I31" s="307"/>
      <c r="J31" s="308"/>
      <c r="K31" s="11"/>
    </row>
    <row r="32" spans="1:12" ht="13.5" customHeight="1">
      <c r="A32" s="313" t="s">
        <v>38</v>
      </c>
      <c r="B32" s="361"/>
      <c r="C32" s="361"/>
      <c r="D32" s="102">
        <f>HLOOKUP($A$5,DADOS!1:179,168,0)</f>
        <v>5460593.07</v>
      </c>
      <c r="E32" s="313" t="s">
        <v>39</v>
      </c>
      <c r="F32" s="361"/>
      <c r="G32" s="361"/>
      <c r="H32" s="361"/>
      <c r="I32" s="361"/>
      <c r="J32" s="362"/>
      <c r="K32" s="102">
        <f>HLOOKUP($A$5,DADOS!1:179,179,0)</f>
        <v>1505221.26</v>
      </c>
      <c r="L32" s="33"/>
    </row>
    <row r="33" spans="1:11" ht="13.5" customHeight="1">
      <c r="A33" s="319" t="s">
        <v>40</v>
      </c>
      <c r="B33" s="320"/>
      <c r="C33" s="320"/>
      <c r="D33" s="116">
        <f>SUBTOTAL(9,$D$35:$D$36)</f>
        <v>250461958.19</v>
      </c>
      <c r="E33" s="319" t="s">
        <v>41</v>
      </c>
      <c r="F33" s="320"/>
      <c r="G33" s="320"/>
      <c r="H33" s="320"/>
      <c r="I33" s="320"/>
      <c r="J33" s="321"/>
      <c r="K33" s="116">
        <f>SUBTOTAL(9,$K$35:$K$36)</f>
        <v>223338995.95</v>
      </c>
    </row>
    <row r="34" spans="1:11" ht="13.5" customHeight="1">
      <c r="A34" s="322" t="s">
        <v>42</v>
      </c>
      <c r="B34" s="312"/>
      <c r="C34" s="312"/>
      <c r="D34" s="11"/>
      <c r="E34" s="322" t="s">
        <v>42</v>
      </c>
      <c r="F34" s="312"/>
      <c r="G34" s="312"/>
      <c r="H34" s="312"/>
      <c r="I34" s="312"/>
      <c r="J34" s="324"/>
      <c r="K34" s="12"/>
    </row>
    <row r="35" spans="1:11" ht="13.5" customHeight="1">
      <c r="A35" s="306" t="s">
        <v>43</v>
      </c>
      <c r="B35" s="363"/>
      <c r="C35" s="363"/>
      <c r="D35" s="118">
        <f>DADOS!B65</f>
        <v>250461958.19</v>
      </c>
      <c r="E35" s="306" t="s">
        <v>43</v>
      </c>
      <c r="F35" s="363"/>
      <c r="G35" s="363"/>
      <c r="H35" s="363"/>
      <c r="I35" s="363"/>
      <c r="J35" s="308"/>
      <c r="K35" s="117">
        <f>HLOOKUP($A$5,DADOS!1:164,65,0)</f>
        <v>223338995.95</v>
      </c>
    </row>
    <row r="36" spans="1:11" ht="13.5" customHeight="1">
      <c r="A36" s="313" t="s">
        <v>37</v>
      </c>
      <c r="B36" s="361"/>
      <c r="C36" s="361"/>
      <c r="D36" s="11"/>
      <c r="E36" s="313" t="s">
        <v>37</v>
      </c>
      <c r="F36" s="361"/>
      <c r="G36" s="361"/>
      <c r="H36" s="361"/>
      <c r="I36" s="361"/>
      <c r="J36" s="366"/>
      <c r="K36" s="11"/>
    </row>
    <row r="37" spans="1:11" ht="13.5" customHeight="1">
      <c r="A37" s="319" t="s">
        <v>44</v>
      </c>
      <c r="B37" s="367"/>
      <c r="C37" s="367"/>
      <c r="D37" s="16">
        <f>+$D$33+$D$26+$D$21+$D$8</f>
        <v>294832687.73999995</v>
      </c>
      <c r="E37" s="319" t="s">
        <v>45</v>
      </c>
      <c r="F37" s="367"/>
      <c r="G37" s="367"/>
      <c r="H37" s="367"/>
      <c r="I37" s="367"/>
      <c r="J37" s="321"/>
      <c r="K37" s="16">
        <f>+$K$33+$K$26+$K$21+$K$8</f>
        <v>294832687.74</v>
      </c>
    </row>
    <row r="38" spans="1:11" ht="13.5" customHeight="1">
      <c r="A38" s="19" t="s">
        <v>130</v>
      </c>
      <c r="B38" s="20"/>
      <c r="C38" s="127"/>
      <c r="D38" s="21">
        <f>D37-K37</f>
        <v>0</v>
      </c>
      <c r="E38" s="127"/>
      <c r="F38" s="20"/>
      <c r="G38" s="20"/>
      <c r="H38" s="21"/>
      <c r="I38" s="21"/>
      <c r="J38" s="21"/>
      <c r="K38" s="22">
        <f>K37-D37</f>
        <v>0</v>
      </c>
    </row>
    <row r="39" spans="1:11" ht="13.5" customHeight="1">
      <c r="A39" s="23"/>
      <c r="B39" s="23"/>
      <c r="C39" s="159"/>
      <c r="D39" s="127"/>
      <c r="E39" s="23"/>
      <c r="F39" s="23"/>
      <c r="G39" s="23"/>
      <c r="H39" s="23"/>
      <c r="I39" s="23"/>
      <c r="J39" s="23"/>
      <c r="K39" s="24"/>
    </row>
    <row r="40" spans="1:11" ht="13.5" customHeight="1">
      <c r="A40" s="19" t="s">
        <v>131</v>
      </c>
      <c r="B40" s="23"/>
      <c r="C40" s="127"/>
      <c r="D40" s="127"/>
      <c r="E40" s="23"/>
      <c r="F40" s="23"/>
      <c r="G40" s="23"/>
      <c r="H40" s="23"/>
      <c r="I40" s="23"/>
      <c r="J40" s="23"/>
      <c r="K40" s="202"/>
    </row>
    <row r="41" spans="1:10" ht="13.5" customHeight="1">
      <c r="A41" s="19"/>
      <c r="B41" s="23"/>
      <c r="D41" s="127"/>
      <c r="E41" s="23"/>
      <c r="F41" s="23"/>
      <c r="G41" s="23"/>
      <c r="H41" s="23"/>
      <c r="I41" s="23"/>
      <c r="J41" s="23"/>
    </row>
    <row r="42" spans="1:10" ht="13.5" customHeight="1">
      <c r="A42" s="19"/>
      <c r="B42" s="23"/>
      <c r="C42" s="127"/>
      <c r="D42" s="158"/>
      <c r="E42" s="23"/>
      <c r="F42" s="23"/>
      <c r="G42" s="23"/>
      <c r="H42" s="23"/>
      <c r="I42" s="23"/>
      <c r="J42" s="23"/>
    </row>
    <row r="43" spans="1:10" ht="13.5" customHeight="1">
      <c r="A43" s="19"/>
      <c r="B43" s="23"/>
      <c r="C43" s="23"/>
      <c r="D43" s="158"/>
      <c r="E43" s="23"/>
      <c r="F43" s="23"/>
      <c r="G43" s="23"/>
      <c r="H43" s="23"/>
      <c r="I43" s="23"/>
      <c r="J43" s="23"/>
    </row>
    <row r="45" spans="3:10" ht="13.5" customHeight="1">
      <c r="C45" s="94" t="s">
        <v>132</v>
      </c>
      <c r="D45" s="364" t="s">
        <v>132</v>
      </c>
      <c r="E45" s="364"/>
      <c r="F45" s="364"/>
      <c r="G45" s="365" t="s">
        <v>132</v>
      </c>
      <c r="H45" s="365"/>
      <c r="I45" s="365"/>
      <c r="J45" s="365"/>
    </row>
    <row r="46" spans="2:10" ht="13.5" customHeight="1">
      <c r="B46" s="95"/>
      <c r="C46" s="96"/>
      <c r="D46" s="97"/>
      <c r="E46" s="97" t="s">
        <v>133</v>
      </c>
      <c r="F46" s="97"/>
      <c r="G46" s="97"/>
      <c r="H46" s="97" t="s">
        <v>133</v>
      </c>
      <c r="I46" s="97"/>
      <c r="J46" s="97"/>
    </row>
    <row r="47" spans="4:10" ht="13.5" customHeight="1">
      <c r="D47" s="98"/>
      <c r="E47" s="98" t="s">
        <v>134</v>
      </c>
      <c r="F47" s="98"/>
      <c r="G47" s="98"/>
      <c r="H47" s="98" t="s">
        <v>134</v>
      </c>
      <c r="I47" s="98"/>
      <c r="J47" s="98"/>
    </row>
  </sheetData>
  <sheetProtection/>
  <mergeCells count="69">
    <mergeCell ref="D45:F45"/>
    <mergeCell ref="G45:J45"/>
    <mergeCell ref="A35:C35"/>
    <mergeCell ref="E35:J35"/>
    <mergeCell ref="A36:C36"/>
    <mergeCell ref="E36:J36"/>
    <mergeCell ref="A37:C37"/>
    <mergeCell ref="E37:J37"/>
    <mergeCell ref="A33:C33"/>
    <mergeCell ref="E33:J33"/>
    <mergeCell ref="A34:C34"/>
    <mergeCell ref="E34:J34"/>
    <mergeCell ref="A31:C31"/>
    <mergeCell ref="E31:J31"/>
    <mergeCell ref="A32:C32"/>
    <mergeCell ref="E32:J32"/>
    <mergeCell ref="A29:C29"/>
    <mergeCell ref="E29:J29"/>
    <mergeCell ref="A30:C30"/>
    <mergeCell ref="E30:J30"/>
    <mergeCell ref="A27:C27"/>
    <mergeCell ref="E27:J27"/>
    <mergeCell ref="A28:C28"/>
    <mergeCell ref="E28:J28"/>
    <mergeCell ref="A25:C25"/>
    <mergeCell ref="E25:J25"/>
    <mergeCell ref="A26:C26"/>
    <mergeCell ref="E26:J26"/>
    <mergeCell ref="A23:C23"/>
    <mergeCell ref="E23:J23"/>
    <mergeCell ref="A24:C24"/>
    <mergeCell ref="E24:J24"/>
    <mergeCell ref="A21:C21"/>
    <mergeCell ref="E21:J21"/>
    <mergeCell ref="A22:C22"/>
    <mergeCell ref="E22:J22"/>
    <mergeCell ref="A19:C19"/>
    <mergeCell ref="E19:J19"/>
    <mergeCell ref="A20:C20"/>
    <mergeCell ref="E20:J20"/>
    <mergeCell ref="A17:C17"/>
    <mergeCell ref="E17:J17"/>
    <mergeCell ref="A18:C18"/>
    <mergeCell ref="E18:J18"/>
    <mergeCell ref="A15:C15"/>
    <mergeCell ref="E15:J15"/>
    <mergeCell ref="A16:C16"/>
    <mergeCell ref="E16:J16"/>
    <mergeCell ref="A13:C13"/>
    <mergeCell ref="E13:J13"/>
    <mergeCell ref="A14:C14"/>
    <mergeCell ref="E14:J14"/>
    <mergeCell ref="A11:C11"/>
    <mergeCell ref="E11:J11"/>
    <mergeCell ref="A12:C12"/>
    <mergeCell ref="E12:J12"/>
    <mergeCell ref="A9:C9"/>
    <mergeCell ref="E9:J9"/>
    <mergeCell ref="A10:C10"/>
    <mergeCell ref="E10:J10"/>
    <mergeCell ref="A7:C7"/>
    <mergeCell ref="E7:J7"/>
    <mergeCell ref="A8:C8"/>
    <mergeCell ref="E8:J8"/>
    <mergeCell ref="A3:K3"/>
    <mergeCell ref="A4:K4"/>
    <mergeCell ref="A5:K5"/>
    <mergeCell ref="A6:D6"/>
    <mergeCell ref="E6:K6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K45"/>
  <sheetViews>
    <sheetView showGridLines="0" zoomScale="115" zoomScaleNormal="115" zoomScalePageLayoutView="0" workbookViewId="0" topLeftCell="A1">
      <selection activeCell="A3" sqref="A3:K3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3" width="35.421875" style="1" bestFit="1" customWidth="1"/>
    <col min="4" max="4" width="15.140625" style="1" customWidth="1"/>
    <col min="5" max="9" width="9.8515625" style="1" customWidth="1"/>
    <col min="10" max="10" width="7.28125" style="1" customWidth="1"/>
    <col min="11" max="11" width="15.57421875" style="25" customWidth="1"/>
    <col min="12" max="16384" width="6.8515625" style="1" customWidth="1"/>
  </cols>
  <sheetData>
    <row r="1" spans="1:11" ht="13.5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5" customHeight="1">
      <c r="A2" s="358" t="s">
        <v>136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5" customHeight="1">
      <c r="A3" s="368">
        <f>'B.F. 05'!A5:K5</f>
        <v>43221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11" ht="19.5" customHeight="1">
      <c r="A4" s="329" t="s">
        <v>3</v>
      </c>
      <c r="B4" s="330"/>
      <c r="C4" s="330"/>
      <c r="D4" s="330"/>
      <c r="E4" s="329" t="s">
        <v>4</v>
      </c>
      <c r="F4" s="330"/>
      <c r="G4" s="330"/>
      <c r="H4" s="330"/>
      <c r="I4" s="330"/>
      <c r="J4" s="330"/>
      <c r="K4" s="315"/>
    </row>
    <row r="5" spans="1:11" ht="19.5" customHeight="1">
      <c r="A5" s="316" t="s">
        <v>5</v>
      </c>
      <c r="B5" s="367"/>
      <c r="C5" s="367"/>
      <c r="D5" s="5" t="s">
        <v>6</v>
      </c>
      <c r="E5" s="316" t="s">
        <v>5</v>
      </c>
      <c r="F5" s="367"/>
      <c r="G5" s="367"/>
      <c r="H5" s="367"/>
      <c r="I5" s="367"/>
      <c r="J5" s="321"/>
      <c r="K5" s="5" t="s">
        <v>6</v>
      </c>
    </row>
    <row r="6" spans="1:11" ht="13.5" customHeight="1">
      <c r="A6" s="319" t="s">
        <v>7</v>
      </c>
      <c r="B6" s="320"/>
      <c r="C6" s="320"/>
      <c r="D6" s="14">
        <f>SUBTOTAL(9,D7:D18)</f>
        <v>0</v>
      </c>
      <c r="E6" s="319" t="s">
        <v>8</v>
      </c>
      <c r="F6" s="320"/>
      <c r="G6" s="320"/>
      <c r="H6" s="320"/>
      <c r="I6" s="320"/>
      <c r="J6" s="321"/>
      <c r="K6" s="14">
        <f>SUBTOTAL(9,K7:K18)</f>
        <v>82847.97</v>
      </c>
    </row>
    <row r="7" spans="1:11" ht="13.5" customHeight="1">
      <c r="A7" s="322" t="s">
        <v>9</v>
      </c>
      <c r="B7" s="323"/>
      <c r="C7" s="323"/>
      <c r="D7" s="11">
        <f>SUBTOTAL(9,D8:D10)</f>
        <v>0</v>
      </c>
      <c r="E7" s="322" t="s">
        <v>9</v>
      </c>
      <c r="F7" s="323"/>
      <c r="G7" s="323"/>
      <c r="H7" s="323"/>
      <c r="I7" s="323"/>
      <c r="J7" s="324"/>
      <c r="K7" s="12">
        <f>SUBTOTAL(9,K8:K10)</f>
        <v>82847.97</v>
      </c>
    </row>
    <row r="8" spans="1:11" ht="13.5" customHeight="1">
      <c r="A8" s="325" t="s">
        <v>10</v>
      </c>
      <c r="B8" s="326"/>
      <c r="C8" s="326"/>
      <c r="D8" s="11"/>
      <c r="E8" s="325" t="s">
        <v>10</v>
      </c>
      <c r="F8" s="326"/>
      <c r="G8" s="326"/>
      <c r="H8" s="326"/>
      <c r="I8" s="326"/>
      <c r="J8" s="327"/>
      <c r="K8" s="173">
        <f>HLOOKUP($A$3,DADOS!1:156,75,0)</f>
        <v>82847.97</v>
      </c>
    </row>
    <row r="9" spans="1:11" ht="13.5" customHeight="1">
      <c r="A9" s="325" t="s">
        <v>11</v>
      </c>
      <c r="B9" s="328"/>
      <c r="C9" s="328"/>
      <c r="D9" s="11"/>
      <c r="E9" s="325" t="s">
        <v>11</v>
      </c>
      <c r="F9" s="328"/>
      <c r="G9" s="328"/>
      <c r="H9" s="328"/>
      <c r="I9" s="328"/>
      <c r="J9" s="327"/>
      <c r="K9" s="11"/>
    </row>
    <row r="10" spans="1:11" ht="13.5" customHeight="1">
      <c r="A10" s="325" t="s">
        <v>12</v>
      </c>
      <c r="B10" s="328"/>
      <c r="C10" s="328"/>
      <c r="D10" s="11"/>
      <c r="E10" s="325" t="s">
        <v>12</v>
      </c>
      <c r="F10" s="328"/>
      <c r="G10" s="328"/>
      <c r="H10" s="328"/>
      <c r="I10" s="328"/>
      <c r="J10" s="327"/>
      <c r="K10" s="11"/>
    </row>
    <row r="11" spans="1:11" ht="13.5" customHeight="1">
      <c r="A11" s="306" t="s">
        <v>13</v>
      </c>
      <c r="B11" s="307"/>
      <c r="C11" s="307"/>
      <c r="D11" s="11"/>
      <c r="E11" s="306" t="s">
        <v>13</v>
      </c>
      <c r="F11" s="307"/>
      <c r="G11" s="307"/>
      <c r="H11" s="307"/>
      <c r="I11" s="307"/>
      <c r="J11" s="308"/>
      <c r="K11" s="11"/>
    </row>
    <row r="12" spans="1:11" ht="13.5" customHeight="1">
      <c r="A12" s="325" t="s">
        <v>14</v>
      </c>
      <c r="B12" s="326"/>
      <c r="C12" s="326"/>
      <c r="D12" s="11"/>
      <c r="E12" s="325" t="s">
        <v>14</v>
      </c>
      <c r="F12" s="326"/>
      <c r="G12" s="326"/>
      <c r="H12" s="326"/>
      <c r="I12" s="326"/>
      <c r="J12" s="327"/>
      <c r="K12" s="11"/>
    </row>
    <row r="13" spans="1:11" ht="13.5" customHeight="1">
      <c r="A13" s="325" t="s">
        <v>15</v>
      </c>
      <c r="B13" s="328"/>
      <c r="C13" s="328"/>
      <c r="D13" s="11"/>
      <c r="E13" s="325" t="s">
        <v>15</v>
      </c>
      <c r="F13" s="328"/>
      <c r="G13" s="328"/>
      <c r="H13" s="328"/>
      <c r="I13" s="328"/>
      <c r="J13" s="327"/>
      <c r="K13" s="11"/>
    </row>
    <row r="14" spans="1:11" ht="13.5" customHeight="1">
      <c r="A14" s="325" t="s">
        <v>16</v>
      </c>
      <c r="B14" s="328"/>
      <c r="C14" s="328"/>
      <c r="D14" s="11"/>
      <c r="E14" s="325" t="s">
        <v>16</v>
      </c>
      <c r="F14" s="328"/>
      <c r="G14" s="328"/>
      <c r="H14" s="328"/>
      <c r="I14" s="328"/>
      <c r="J14" s="327"/>
      <c r="K14" s="11"/>
    </row>
    <row r="15" spans="1:11" ht="13.5" customHeight="1">
      <c r="A15" s="325" t="s">
        <v>17</v>
      </c>
      <c r="B15" s="328"/>
      <c r="C15" s="328"/>
      <c r="D15" s="11"/>
      <c r="E15" s="325" t="s">
        <v>17</v>
      </c>
      <c r="F15" s="328"/>
      <c r="G15" s="328"/>
      <c r="H15" s="328"/>
      <c r="I15" s="328"/>
      <c r="J15" s="327"/>
      <c r="K15" s="11"/>
    </row>
    <row r="16" spans="1:11" ht="13.5" customHeight="1">
      <c r="A16" s="325" t="s">
        <v>18</v>
      </c>
      <c r="B16" s="328"/>
      <c r="C16" s="328"/>
      <c r="D16" s="11"/>
      <c r="E16" s="325" t="s">
        <v>18</v>
      </c>
      <c r="F16" s="328"/>
      <c r="G16" s="328"/>
      <c r="H16" s="328"/>
      <c r="I16" s="328"/>
      <c r="J16" s="327"/>
      <c r="K16" s="11"/>
    </row>
    <row r="17" spans="1:11" ht="13.5" customHeight="1">
      <c r="A17" s="325" t="s">
        <v>19</v>
      </c>
      <c r="B17" s="328"/>
      <c r="C17" s="328"/>
      <c r="D17" s="11"/>
      <c r="E17" s="325" t="s">
        <v>19</v>
      </c>
      <c r="F17" s="328"/>
      <c r="G17" s="328"/>
      <c r="H17" s="328"/>
      <c r="I17" s="328"/>
      <c r="J17" s="327"/>
      <c r="K17" s="11"/>
    </row>
    <row r="18" spans="1:11" ht="13.5" customHeight="1">
      <c r="A18" s="309" t="s">
        <v>20</v>
      </c>
      <c r="B18" s="310"/>
      <c r="C18" s="310"/>
      <c r="D18" s="11"/>
      <c r="E18" s="309" t="s">
        <v>20</v>
      </c>
      <c r="F18" s="310"/>
      <c r="G18" s="310"/>
      <c r="H18" s="310"/>
      <c r="I18" s="310"/>
      <c r="J18" s="311"/>
      <c r="K18" s="11"/>
    </row>
    <row r="19" spans="1:11" ht="13.5" customHeight="1">
      <c r="A19" s="319" t="s">
        <v>21</v>
      </c>
      <c r="B19" s="320"/>
      <c r="C19" s="320"/>
      <c r="D19" s="14">
        <f>SUBTOTAL(9,D20:D23)</f>
        <v>176615.83999999997</v>
      </c>
      <c r="E19" s="319" t="s">
        <v>22</v>
      </c>
      <c r="F19" s="320"/>
      <c r="G19" s="320"/>
      <c r="H19" s="320"/>
      <c r="I19" s="320"/>
      <c r="J19" s="321"/>
      <c r="K19" s="14">
        <f>SUBTOTAL(9,K20:K23)</f>
        <v>0</v>
      </c>
    </row>
    <row r="20" spans="1:11" ht="13.5" customHeight="1">
      <c r="A20" s="322" t="s">
        <v>23</v>
      </c>
      <c r="B20" s="312"/>
      <c r="C20" s="312"/>
      <c r="D20" s="173">
        <f>HLOOKUP($A$3,DADOS!1:155,76,0)+HLOOKUP($A$3,DADOS!1:155,101,0)+HLOOKUP($A$3,DADOS!1:155,102,0)</f>
        <v>176615.83999999997</v>
      </c>
      <c r="E20" s="322" t="s">
        <v>23</v>
      </c>
      <c r="F20" s="323"/>
      <c r="G20" s="323"/>
      <c r="H20" s="323"/>
      <c r="I20" s="323"/>
      <c r="J20" s="324"/>
      <c r="K20" s="11"/>
    </row>
    <row r="21" spans="1:11" ht="13.5" customHeight="1">
      <c r="A21" s="306" t="s">
        <v>24</v>
      </c>
      <c r="B21" s="307"/>
      <c r="C21" s="307"/>
      <c r="D21" s="11"/>
      <c r="E21" s="306" t="s">
        <v>24</v>
      </c>
      <c r="F21" s="307"/>
      <c r="G21" s="307"/>
      <c r="H21" s="307"/>
      <c r="I21" s="307"/>
      <c r="J21" s="308"/>
      <c r="K21" s="11"/>
    </row>
    <row r="22" spans="1:11" ht="13.5" customHeight="1">
      <c r="A22" s="306" t="s">
        <v>25</v>
      </c>
      <c r="B22" s="307"/>
      <c r="C22" s="307"/>
      <c r="D22" s="11"/>
      <c r="E22" s="306" t="s">
        <v>25</v>
      </c>
      <c r="F22" s="307"/>
      <c r="G22" s="307"/>
      <c r="H22" s="307"/>
      <c r="I22" s="307"/>
      <c r="J22" s="308"/>
      <c r="K22" s="11"/>
    </row>
    <row r="23" spans="1:11" ht="13.5" customHeight="1">
      <c r="A23" s="313" t="s">
        <v>26</v>
      </c>
      <c r="B23" s="314"/>
      <c r="C23" s="314"/>
      <c r="D23" s="11"/>
      <c r="E23" s="313" t="s">
        <v>26</v>
      </c>
      <c r="F23" s="361"/>
      <c r="G23" s="361"/>
      <c r="H23" s="361"/>
      <c r="I23" s="361"/>
      <c r="J23" s="362"/>
      <c r="K23" s="11"/>
    </row>
    <row r="24" spans="1:11" ht="13.5" customHeight="1">
      <c r="A24" s="319" t="s">
        <v>27</v>
      </c>
      <c r="B24" s="320"/>
      <c r="C24" s="320"/>
      <c r="D24" s="14">
        <f>SUBTOTAL(9,D25:D30)</f>
        <v>77165.54</v>
      </c>
      <c r="E24" s="319" t="s">
        <v>28</v>
      </c>
      <c r="F24" s="320"/>
      <c r="G24" s="320"/>
      <c r="H24" s="320"/>
      <c r="I24" s="320"/>
      <c r="J24" s="321"/>
      <c r="K24" s="14">
        <f>SUBTOTAL(9,K25:K30)</f>
        <v>170933.40999999997</v>
      </c>
    </row>
    <row r="25" spans="1:11" ht="13.5" customHeight="1">
      <c r="A25" s="322" t="s">
        <v>29</v>
      </c>
      <c r="B25" s="312"/>
      <c r="C25" s="312"/>
      <c r="D25" s="102">
        <f>HLOOKUP($A$3,DADOS!1:156,79,0)</f>
        <v>77165.54</v>
      </c>
      <c r="E25" s="322" t="s">
        <v>30</v>
      </c>
      <c r="F25" s="312"/>
      <c r="G25" s="312"/>
      <c r="H25" s="312"/>
      <c r="I25" s="312"/>
      <c r="J25" s="324"/>
      <c r="K25" s="102">
        <f>HLOOKUP($A$3,DADOS!1:156,101,0)</f>
        <v>153175.99</v>
      </c>
    </row>
    <row r="26" spans="1:11" ht="13.5" customHeight="1">
      <c r="A26" s="306" t="s">
        <v>31</v>
      </c>
      <c r="B26" s="363"/>
      <c r="C26" s="363"/>
      <c r="D26" s="11"/>
      <c r="E26" s="306" t="s">
        <v>32</v>
      </c>
      <c r="F26" s="363"/>
      <c r="G26" s="363"/>
      <c r="H26" s="363"/>
      <c r="I26" s="363"/>
      <c r="J26" s="308"/>
      <c r="K26" s="11"/>
    </row>
    <row r="27" spans="1:11" ht="13.5" customHeight="1">
      <c r="A27" s="306" t="s">
        <v>33</v>
      </c>
      <c r="B27" s="307"/>
      <c r="C27" s="307"/>
      <c r="D27" s="102">
        <f>HLOOKUP($A$3,DADOS!1:156,77,0)-HLOOKUP($A$3,DADOS!1:156,78,0)</f>
        <v>0</v>
      </c>
      <c r="E27" s="306" t="s">
        <v>34</v>
      </c>
      <c r="F27" s="307"/>
      <c r="G27" s="307"/>
      <c r="H27" s="307"/>
      <c r="I27" s="307"/>
      <c r="J27" s="308"/>
      <c r="K27" s="102">
        <f>HLOOKUP($A$3,DADOS!1:156,102,0)</f>
        <v>17757.42</v>
      </c>
    </row>
    <row r="28" spans="1:11" ht="13.5" customHeight="1">
      <c r="A28" s="306" t="s">
        <v>35</v>
      </c>
      <c r="B28" s="307"/>
      <c r="C28" s="307"/>
      <c r="D28" s="11"/>
      <c r="E28" s="306" t="s">
        <v>36</v>
      </c>
      <c r="F28" s="307"/>
      <c r="G28" s="307"/>
      <c r="H28" s="307"/>
      <c r="I28" s="307"/>
      <c r="J28" s="308"/>
      <c r="K28" s="11"/>
    </row>
    <row r="29" spans="1:11" ht="13.5" customHeight="1">
      <c r="A29" s="306" t="s">
        <v>37</v>
      </c>
      <c r="B29" s="307"/>
      <c r="C29" s="307"/>
      <c r="D29" s="11"/>
      <c r="E29" s="306" t="s">
        <v>37</v>
      </c>
      <c r="F29" s="307"/>
      <c r="G29" s="307"/>
      <c r="H29" s="307"/>
      <c r="I29" s="307"/>
      <c r="J29" s="308"/>
      <c r="K29" s="11"/>
    </row>
    <row r="30" spans="1:11" ht="13.5" customHeight="1">
      <c r="A30" s="313" t="s">
        <v>38</v>
      </c>
      <c r="B30" s="361"/>
      <c r="C30" s="361"/>
      <c r="D30" s="102">
        <f>HLOOKUP($A$3,DADOS!1:156,78,0)</f>
        <v>0</v>
      </c>
      <c r="E30" s="313" t="s">
        <v>39</v>
      </c>
      <c r="F30" s="361"/>
      <c r="G30" s="361"/>
      <c r="H30" s="361"/>
      <c r="I30" s="361"/>
      <c r="J30" s="362"/>
      <c r="K30" s="93"/>
    </row>
    <row r="31" spans="1:11" ht="13.5" customHeight="1">
      <c r="A31" s="319" t="s">
        <v>40</v>
      </c>
      <c r="B31" s="320"/>
      <c r="C31" s="320"/>
      <c r="D31" s="14">
        <f>SUBTOTAL(9,D33:D34)</f>
        <v>0</v>
      </c>
      <c r="E31" s="319" t="s">
        <v>41</v>
      </c>
      <c r="F31" s="320"/>
      <c r="G31" s="320"/>
      <c r="H31" s="320"/>
      <c r="I31" s="320"/>
      <c r="J31" s="321"/>
      <c r="K31" s="14">
        <f>SUBTOTAL(9,K33:K34)</f>
        <v>0</v>
      </c>
    </row>
    <row r="32" spans="1:11" ht="13.5" customHeight="1">
      <c r="A32" s="322" t="s">
        <v>42</v>
      </c>
      <c r="B32" s="312"/>
      <c r="C32" s="312"/>
      <c r="D32" s="11"/>
      <c r="E32" s="322" t="s">
        <v>42</v>
      </c>
      <c r="F32" s="312"/>
      <c r="G32" s="312"/>
      <c r="H32" s="312"/>
      <c r="I32" s="312"/>
      <c r="J32" s="324"/>
      <c r="K32" s="12"/>
    </row>
    <row r="33" spans="1:11" ht="13.5" customHeight="1">
      <c r="A33" s="306" t="s">
        <v>43</v>
      </c>
      <c r="B33" s="363"/>
      <c r="C33" s="363"/>
      <c r="D33" s="11"/>
      <c r="E33" s="306" t="s">
        <v>43</v>
      </c>
      <c r="F33" s="363"/>
      <c r="G33" s="363"/>
      <c r="H33" s="363"/>
      <c r="I33" s="363"/>
      <c r="J33" s="308"/>
      <c r="K33" s="11"/>
    </row>
    <row r="34" spans="1:11" ht="13.5" customHeight="1">
      <c r="A34" s="313" t="s">
        <v>37</v>
      </c>
      <c r="B34" s="361"/>
      <c r="C34" s="361"/>
      <c r="D34" s="11"/>
      <c r="E34" s="313" t="s">
        <v>37</v>
      </c>
      <c r="F34" s="361"/>
      <c r="G34" s="361"/>
      <c r="H34" s="361"/>
      <c r="I34" s="361"/>
      <c r="J34" s="366"/>
      <c r="K34" s="11"/>
    </row>
    <row r="35" spans="1:11" ht="13.5" customHeight="1">
      <c r="A35" s="319" t="s">
        <v>44</v>
      </c>
      <c r="B35" s="367"/>
      <c r="C35" s="367"/>
      <c r="D35" s="16">
        <f>SUBTOTAL(9,D6:D34)</f>
        <v>253781.37999999995</v>
      </c>
      <c r="E35" s="319" t="s">
        <v>45</v>
      </c>
      <c r="F35" s="367"/>
      <c r="G35" s="367"/>
      <c r="H35" s="367"/>
      <c r="I35" s="367"/>
      <c r="J35" s="321"/>
      <c r="K35" s="16">
        <f>SUBTOTAL(9,K6:K34)</f>
        <v>253781.38</v>
      </c>
    </row>
    <row r="36" spans="1:11" ht="13.5" customHeight="1">
      <c r="A36" s="19" t="s">
        <v>130</v>
      </c>
      <c r="B36" s="20"/>
      <c r="C36" s="20"/>
      <c r="D36" s="155">
        <f>+D35-K35</f>
        <v>0</v>
      </c>
      <c r="E36" s="20"/>
      <c r="F36" s="20"/>
      <c r="G36" s="20"/>
      <c r="H36" s="21"/>
      <c r="I36" s="21"/>
      <c r="J36" s="21"/>
      <c r="K36" s="155">
        <f>+K35-D35</f>
        <v>0</v>
      </c>
    </row>
    <row r="37" spans="1:10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1" ht="13.5" customHeight="1">
      <c r="A38" s="19" t="s">
        <v>131</v>
      </c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0" ht="13.5" customHeight="1">
      <c r="A39" s="19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3.5" customHeight="1">
      <c r="A40" s="19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3.5" customHeight="1">
      <c r="A41" s="19"/>
      <c r="B41" s="23"/>
      <c r="C41" s="23"/>
      <c r="D41" s="23"/>
      <c r="E41" s="23"/>
      <c r="F41" s="23"/>
      <c r="G41" s="23"/>
      <c r="H41" s="23"/>
      <c r="I41" s="23"/>
      <c r="J41" s="23"/>
    </row>
    <row r="43" spans="3:10" ht="13.5" customHeight="1">
      <c r="C43" s="94" t="s">
        <v>132</v>
      </c>
      <c r="D43" s="364" t="s">
        <v>132</v>
      </c>
      <c r="E43" s="364"/>
      <c r="F43" s="364"/>
      <c r="G43" s="365" t="s">
        <v>132</v>
      </c>
      <c r="H43" s="365"/>
      <c r="I43" s="365"/>
      <c r="J43" s="365"/>
    </row>
    <row r="44" spans="2:10" ht="13.5" customHeight="1">
      <c r="B44" s="95"/>
      <c r="C44" s="96"/>
      <c r="D44" s="97"/>
      <c r="E44" s="97" t="s">
        <v>133</v>
      </c>
      <c r="F44" s="97"/>
      <c r="G44" s="97"/>
      <c r="H44" s="97" t="s">
        <v>133</v>
      </c>
      <c r="I44" s="97"/>
      <c r="J44" s="97"/>
    </row>
    <row r="45" spans="4:10" ht="13.5" customHeight="1">
      <c r="D45" s="98"/>
      <c r="E45" s="98" t="s">
        <v>134</v>
      </c>
      <c r="F45" s="98"/>
      <c r="G45" s="98"/>
      <c r="H45" s="98" t="s">
        <v>134</v>
      </c>
      <c r="I45" s="98"/>
      <c r="J45" s="98"/>
    </row>
  </sheetData>
  <sheetProtection/>
  <mergeCells count="69">
    <mergeCell ref="G43:J43"/>
    <mergeCell ref="D43:F43"/>
    <mergeCell ref="A35:C35"/>
    <mergeCell ref="E35:J35"/>
    <mergeCell ref="A33:C33"/>
    <mergeCell ref="E33:J33"/>
    <mergeCell ref="A34:C34"/>
    <mergeCell ref="E34:J34"/>
    <mergeCell ref="A31:C31"/>
    <mergeCell ref="E31:J31"/>
    <mergeCell ref="A32:C32"/>
    <mergeCell ref="E32:J32"/>
    <mergeCell ref="A29:C29"/>
    <mergeCell ref="E29:J29"/>
    <mergeCell ref="A30:C30"/>
    <mergeCell ref="E30:J30"/>
    <mergeCell ref="A27:C27"/>
    <mergeCell ref="E27:J27"/>
    <mergeCell ref="A28:C28"/>
    <mergeCell ref="E28:J28"/>
    <mergeCell ref="A25:C25"/>
    <mergeCell ref="E25:J25"/>
    <mergeCell ref="A26:C26"/>
    <mergeCell ref="E26:J26"/>
    <mergeCell ref="A23:C23"/>
    <mergeCell ref="E23:J23"/>
    <mergeCell ref="A24:C24"/>
    <mergeCell ref="E24:J24"/>
    <mergeCell ref="A21:C21"/>
    <mergeCell ref="E21:J21"/>
    <mergeCell ref="A22:C22"/>
    <mergeCell ref="E22:J22"/>
    <mergeCell ref="A19:C19"/>
    <mergeCell ref="E19:J19"/>
    <mergeCell ref="A20:C20"/>
    <mergeCell ref="E20:J20"/>
    <mergeCell ref="A17:C17"/>
    <mergeCell ref="E17:J17"/>
    <mergeCell ref="A18:C18"/>
    <mergeCell ref="E18:J18"/>
    <mergeCell ref="A15:C15"/>
    <mergeCell ref="E15:J15"/>
    <mergeCell ref="A16:C16"/>
    <mergeCell ref="E16:J16"/>
    <mergeCell ref="A13:C13"/>
    <mergeCell ref="E13:J13"/>
    <mergeCell ref="A14:C14"/>
    <mergeCell ref="E14:J14"/>
    <mergeCell ref="A11:C11"/>
    <mergeCell ref="E11:J11"/>
    <mergeCell ref="A12:C12"/>
    <mergeCell ref="E12:J12"/>
    <mergeCell ref="A9:C9"/>
    <mergeCell ref="E9:J9"/>
    <mergeCell ref="A10:C10"/>
    <mergeCell ref="E10:J10"/>
    <mergeCell ref="A7:C7"/>
    <mergeCell ref="E7:J7"/>
    <mergeCell ref="A8:C8"/>
    <mergeCell ref="E8:J8"/>
    <mergeCell ref="A5:C5"/>
    <mergeCell ref="E5:J5"/>
    <mergeCell ref="A6:C6"/>
    <mergeCell ref="E6:J6"/>
    <mergeCell ref="A1:K1"/>
    <mergeCell ref="A2:K2"/>
    <mergeCell ref="A3:K3"/>
    <mergeCell ref="A4:D4"/>
    <mergeCell ref="E4:K4"/>
  </mergeCells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indexed="42"/>
  </sheetPr>
  <dimension ref="A1:AA66"/>
  <sheetViews>
    <sheetView showGridLines="0" showOutlineSymbols="0" zoomScale="145" zoomScaleNormal="145" zoomScalePageLayoutView="0" workbookViewId="0" topLeftCell="A5">
      <selection activeCell="G18" sqref="G18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7" width="17.8515625" style="1" customWidth="1"/>
    <col min="8" max="8" width="16.7109375" style="1" customWidth="1"/>
    <col min="9" max="13" width="9.8515625" style="1" customWidth="1"/>
    <col min="14" max="14" width="7.28125" style="1" customWidth="1"/>
    <col min="15" max="16" width="16.8515625" style="25" customWidth="1"/>
    <col min="17" max="17" width="14.421875" style="1" bestFit="1" customWidth="1"/>
    <col min="18" max="18" width="14.28125" style="1" bestFit="1" customWidth="1"/>
    <col min="19" max="19" width="11.7109375" style="1" bestFit="1" customWidth="1"/>
    <col min="20" max="16384" width="6.8515625" style="1" customWidth="1"/>
  </cols>
  <sheetData>
    <row r="1" spans="1:16" ht="13.5" customHeight="1" hidden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228"/>
    </row>
    <row r="2" spans="1:16" ht="13.5" customHeight="1">
      <c r="A2" s="228"/>
      <c r="B2" s="391" t="s">
        <v>191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1:18" ht="15" customHeight="1">
      <c r="A3" s="394" t="s">
        <v>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R3" s="2"/>
    </row>
    <row r="4" spans="1:16" ht="15" customHeight="1">
      <c r="A4" s="381" t="s">
        <v>236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5" spans="1:1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P5" s="4" t="s">
        <v>2</v>
      </c>
    </row>
    <row r="6" spans="1:18" ht="19.5" customHeight="1">
      <c r="A6" s="329" t="s">
        <v>3</v>
      </c>
      <c r="B6" s="330"/>
      <c r="C6" s="330"/>
      <c r="D6" s="330"/>
      <c r="E6" s="330"/>
      <c r="F6" s="330"/>
      <c r="G6" s="330"/>
      <c r="H6" s="148"/>
      <c r="I6" s="329" t="s">
        <v>4</v>
      </c>
      <c r="J6" s="330"/>
      <c r="K6" s="330"/>
      <c r="L6" s="330"/>
      <c r="M6" s="330"/>
      <c r="N6" s="330"/>
      <c r="O6" s="315"/>
      <c r="P6" s="5"/>
      <c r="R6" s="2"/>
    </row>
    <row r="7" spans="1:16" ht="19.5" customHeight="1">
      <c r="A7" s="395" t="s">
        <v>5</v>
      </c>
      <c r="B7" s="396"/>
      <c r="C7" s="396"/>
      <c r="D7" s="396"/>
      <c r="E7" s="396"/>
      <c r="F7" s="397"/>
      <c r="G7" s="5" t="s">
        <v>6</v>
      </c>
      <c r="H7" s="147" t="s">
        <v>177</v>
      </c>
      <c r="I7" s="316" t="s">
        <v>5</v>
      </c>
      <c r="J7" s="392"/>
      <c r="K7" s="392"/>
      <c r="L7" s="392"/>
      <c r="M7" s="392"/>
      <c r="N7" s="393"/>
      <c r="O7" s="5" t="s">
        <v>6</v>
      </c>
      <c r="P7" s="229" t="s">
        <v>177</v>
      </c>
    </row>
    <row r="8" spans="1:18" ht="13.5" customHeight="1">
      <c r="A8" s="319" t="s">
        <v>7</v>
      </c>
      <c r="B8" s="320"/>
      <c r="C8" s="320"/>
      <c r="D8" s="320"/>
      <c r="E8" s="320"/>
      <c r="F8" s="380"/>
      <c r="G8" s="205">
        <f>SUBTOTAL(9,G9:G20)</f>
        <v>10182871.209999999</v>
      </c>
      <c r="H8" s="14">
        <f>H9+H13</f>
        <v>44952951.49</v>
      </c>
      <c r="I8" s="319" t="s">
        <v>8</v>
      </c>
      <c r="J8" s="320"/>
      <c r="K8" s="320"/>
      <c r="L8" s="320"/>
      <c r="M8" s="320"/>
      <c r="N8" s="380"/>
      <c r="O8" s="205">
        <f>SUBTOTAL(9,O9:O20)</f>
        <v>49157294.18</v>
      </c>
      <c r="P8" s="14">
        <f>P9+P13</f>
        <v>60760839.2</v>
      </c>
      <c r="Q8" s="7"/>
      <c r="R8" s="8"/>
    </row>
    <row r="9" spans="1:17" ht="13.5" customHeight="1">
      <c r="A9" s="322" t="s">
        <v>9</v>
      </c>
      <c r="B9" s="384"/>
      <c r="C9" s="323"/>
      <c r="D9" s="323"/>
      <c r="E9" s="323"/>
      <c r="F9" s="312"/>
      <c r="G9" s="6">
        <f>SUBTOTAL(9,G10:G12)</f>
        <v>0</v>
      </c>
      <c r="H9" s="215">
        <f>SUM(H10:H12)</f>
        <v>0</v>
      </c>
      <c r="I9" s="322" t="s">
        <v>9</v>
      </c>
      <c r="J9" s="323"/>
      <c r="K9" s="323"/>
      <c r="L9" s="323"/>
      <c r="M9" s="323"/>
      <c r="N9" s="384"/>
      <c r="O9" s="6">
        <f>SUBTOTAL(9,O10:O12)</f>
        <v>82847.97</v>
      </c>
      <c r="P9" s="12">
        <f>P10</f>
        <v>1185929.18</v>
      </c>
      <c r="Q9" s="10"/>
    </row>
    <row r="10" spans="1:18" ht="13.5" customHeight="1">
      <c r="A10" s="325" t="s">
        <v>10</v>
      </c>
      <c r="B10" s="389"/>
      <c r="C10" s="326"/>
      <c r="D10" s="326"/>
      <c r="E10" s="326"/>
      <c r="F10" s="390"/>
      <c r="G10" s="11">
        <f>+'B.F. 00'!D8+'B.F. 05'!D10</f>
        <v>0</v>
      </c>
      <c r="H10" s="11"/>
      <c r="I10" s="325" t="s">
        <v>10</v>
      </c>
      <c r="J10" s="328"/>
      <c r="K10" s="328"/>
      <c r="L10" s="328"/>
      <c r="M10" s="328"/>
      <c r="N10" s="389"/>
      <c r="O10" s="11">
        <f>+'B.F. 00'!K8+'B.F. 05'!K10</f>
        <v>82847.97</v>
      </c>
      <c r="P10" s="11">
        <v>1185929.18</v>
      </c>
      <c r="Q10" s="7"/>
      <c r="R10" s="2"/>
    </row>
    <row r="11" spans="1:16" ht="13.5" customHeight="1">
      <c r="A11" s="325" t="s">
        <v>11</v>
      </c>
      <c r="B11" s="389"/>
      <c r="C11" s="328"/>
      <c r="D11" s="328"/>
      <c r="E11" s="328"/>
      <c r="F11" s="390"/>
      <c r="G11" s="11">
        <f>+'B.F. 00'!D9+'B.F. 05'!D11</f>
        <v>0</v>
      </c>
      <c r="H11" s="11">
        <v>0</v>
      </c>
      <c r="I11" s="325" t="s">
        <v>11</v>
      </c>
      <c r="J11" s="328"/>
      <c r="K11" s="328"/>
      <c r="L11" s="328"/>
      <c r="M11" s="328"/>
      <c r="N11" s="389"/>
      <c r="O11" s="11">
        <f>+'B.F. 00'!K9+'B.F. 05'!K11</f>
        <v>0</v>
      </c>
      <c r="P11" s="11">
        <v>0</v>
      </c>
    </row>
    <row r="12" spans="1:18" ht="13.5" customHeight="1">
      <c r="A12" s="325" t="s">
        <v>12</v>
      </c>
      <c r="B12" s="389"/>
      <c r="C12" s="328"/>
      <c r="D12" s="328"/>
      <c r="E12" s="328"/>
      <c r="F12" s="390"/>
      <c r="G12" s="11">
        <f>+'B.F. 00'!D10+'B.F. 05'!D12</f>
        <v>0</v>
      </c>
      <c r="H12" s="11">
        <v>0</v>
      </c>
      <c r="I12" s="325" t="s">
        <v>12</v>
      </c>
      <c r="J12" s="328"/>
      <c r="K12" s="328"/>
      <c r="L12" s="328"/>
      <c r="M12" s="328"/>
      <c r="N12" s="389"/>
      <c r="O12" s="11">
        <f>+'B.F. 00'!K10+'B.F. 05'!K12</f>
        <v>0</v>
      </c>
      <c r="P12" s="11"/>
      <c r="Q12" s="7"/>
      <c r="R12" s="7"/>
    </row>
    <row r="13" spans="1:18" ht="13.5" customHeight="1">
      <c r="A13" s="306" t="s">
        <v>13</v>
      </c>
      <c r="B13" s="382"/>
      <c r="C13" s="307"/>
      <c r="D13" s="307"/>
      <c r="E13" s="307"/>
      <c r="F13" s="363"/>
      <c r="G13" s="12">
        <f>SUBTOTAL(9,G14:G20)</f>
        <v>10182871.209999999</v>
      </c>
      <c r="H13" s="215">
        <f>SUM(H15:H20)</f>
        <v>44952951.49</v>
      </c>
      <c r="I13" s="306" t="s">
        <v>13</v>
      </c>
      <c r="J13" s="307"/>
      <c r="K13" s="307"/>
      <c r="L13" s="307"/>
      <c r="M13" s="307"/>
      <c r="N13" s="382"/>
      <c r="O13" s="12">
        <f>SUBTOTAL(9,O14:O20)</f>
        <v>49074446.21</v>
      </c>
      <c r="P13" s="12">
        <f>SUM(P15:P20)</f>
        <v>59574910.02</v>
      </c>
      <c r="R13" s="2"/>
    </row>
    <row r="14" spans="1:16" ht="13.5" customHeight="1">
      <c r="A14" s="325" t="s">
        <v>14</v>
      </c>
      <c r="B14" s="389"/>
      <c r="C14" s="328"/>
      <c r="D14" s="328"/>
      <c r="E14" s="328"/>
      <c r="F14" s="390"/>
      <c r="G14" s="11">
        <f>+'B.F. 00'!D12+'B.F. 05'!D14</f>
        <v>0</v>
      </c>
      <c r="I14" s="325" t="s">
        <v>14</v>
      </c>
      <c r="J14" s="328"/>
      <c r="K14" s="328"/>
      <c r="L14" s="328"/>
      <c r="M14" s="328"/>
      <c r="N14" s="389"/>
      <c r="O14" s="11">
        <f>+'B.F. 00'!K12+'B.F. 05'!K14</f>
        <v>0</v>
      </c>
      <c r="P14" s="231"/>
    </row>
    <row r="15" spans="1:16" ht="13.5" customHeight="1">
      <c r="A15" s="325" t="s">
        <v>15</v>
      </c>
      <c r="B15" s="389"/>
      <c r="C15" s="328"/>
      <c r="D15" s="328"/>
      <c r="E15" s="328"/>
      <c r="F15" s="390"/>
      <c r="G15" s="11">
        <f>+'B.F. 00'!D13+'B.F. 05'!D15</f>
        <v>0</v>
      </c>
      <c r="H15" s="11">
        <v>0</v>
      </c>
      <c r="I15" s="325" t="s">
        <v>15</v>
      </c>
      <c r="J15" s="328"/>
      <c r="K15" s="328"/>
      <c r="L15" s="328"/>
      <c r="M15" s="328"/>
      <c r="N15" s="389"/>
      <c r="O15" s="11">
        <f>+'B.F. 00'!K13+'B.F. 05'!K15</f>
        <v>0</v>
      </c>
      <c r="P15" s="11">
        <v>0</v>
      </c>
    </row>
    <row r="16" spans="1:16" ht="13.5" customHeight="1">
      <c r="A16" s="325" t="s">
        <v>16</v>
      </c>
      <c r="B16" s="389"/>
      <c r="C16" s="328"/>
      <c r="D16" s="328"/>
      <c r="E16" s="328"/>
      <c r="F16" s="390"/>
      <c r="G16" s="11">
        <f>+'B.F. 00'!D14+'B.F. 05'!D16</f>
        <v>0</v>
      </c>
      <c r="H16" s="11">
        <v>0</v>
      </c>
      <c r="I16" s="325" t="s">
        <v>16</v>
      </c>
      <c r="J16" s="328"/>
      <c r="K16" s="328"/>
      <c r="L16" s="328"/>
      <c r="M16" s="328"/>
      <c r="N16" s="389"/>
      <c r="O16" s="11">
        <f>+'B.F. 00'!K14+'B.F. 05'!K16</f>
        <v>0</v>
      </c>
      <c r="P16" s="11">
        <v>0</v>
      </c>
    </row>
    <row r="17" spans="1:16" ht="13.5" customHeight="1">
      <c r="A17" s="325" t="s">
        <v>17</v>
      </c>
      <c r="B17" s="389"/>
      <c r="C17" s="328"/>
      <c r="D17" s="328"/>
      <c r="E17" s="328"/>
      <c r="F17" s="390"/>
      <c r="G17" s="11">
        <f>+'B.F. 00'!D15+'B.F. 05'!D17</f>
        <v>0</v>
      </c>
      <c r="H17" s="11">
        <v>0</v>
      </c>
      <c r="I17" s="325" t="s">
        <v>17</v>
      </c>
      <c r="J17" s="328"/>
      <c r="K17" s="328"/>
      <c r="L17" s="328"/>
      <c r="M17" s="328"/>
      <c r="N17" s="389"/>
      <c r="O17" s="11">
        <f>+'B.F. 00'!K15+'B.F. 05'!K17</f>
        <v>0</v>
      </c>
      <c r="P17" s="11">
        <v>0</v>
      </c>
    </row>
    <row r="18" spans="1:17" ht="13.5" customHeight="1">
      <c r="A18" s="325" t="s">
        <v>18</v>
      </c>
      <c r="B18" s="389"/>
      <c r="C18" s="328"/>
      <c r="D18" s="328"/>
      <c r="E18" s="328"/>
      <c r="F18" s="390"/>
      <c r="G18" s="11">
        <f>'B.F. 00'!D16+'B.F. 05'!D18</f>
        <v>10182571.45</v>
      </c>
      <c r="H18" s="11">
        <v>44952451.49</v>
      </c>
      <c r="I18" s="325" t="s">
        <v>18</v>
      </c>
      <c r="J18" s="328"/>
      <c r="K18" s="328"/>
      <c r="L18" s="328"/>
      <c r="M18" s="328"/>
      <c r="N18" s="389"/>
      <c r="O18" s="11">
        <f>+'B.F. 00'!K16+'B.F. 05'!K18</f>
        <v>49074446.21</v>
      </c>
      <c r="P18" s="11">
        <v>59574910.02</v>
      </c>
      <c r="Q18" s="8"/>
    </row>
    <row r="19" spans="1:16" ht="13.5" customHeight="1">
      <c r="A19" s="325" t="s">
        <v>19</v>
      </c>
      <c r="B19" s="389"/>
      <c r="C19" s="328"/>
      <c r="D19" s="328"/>
      <c r="E19" s="328"/>
      <c r="F19" s="390"/>
      <c r="G19" s="11">
        <f>+'B.F. 00'!D17+'B.F. 05'!D19</f>
        <v>0</v>
      </c>
      <c r="I19" s="325" t="s">
        <v>19</v>
      </c>
      <c r="J19" s="328"/>
      <c r="K19" s="328"/>
      <c r="L19" s="328"/>
      <c r="M19" s="328"/>
      <c r="N19" s="389"/>
      <c r="O19" s="11">
        <f>+'B.F. 00'!K17+'B.F. 05'!K19</f>
        <v>0</v>
      </c>
      <c r="P19" s="231"/>
    </row>
    <row r="20" spans="1:16" ht="13.5" customHeight="1">
      <c r="A20" s="309" t="s">
        <v>20</v>
      </c>
      <c r="B20" s="387"/>
      <c r="C20" s="310"/>
      <c r="D20" s="310"/>
      <c r="E20" s="310"/>
      <c r="F20" s="388"/>
      <c r="G20" s="13">
        <f>+'B.F. 00'!D18+'B.F. 05'!D20</f>
        <v>299.76</v>
      </c>
      <c r="H20" s="13">
        <v>500</v>
      </c>
      <c r="I20" s="309" t="s">
        <v>20</v>
      </c>
      <c r="J20" s="310"/>
      <c r="K20" s="310"/>
      <c r="L20" s="310"/>
      <c r="M20" s="310"/>
      <c r="N20" s="387"/>
      <c r="O20" s="13">
        <f>+'B.F. 00'!K18+'B.F. 05'!K20</f>
        <v>0</v>
      </c>
      <c r="P20" s="11">
        <v>0</v>
      </c>
    </row>
    <row r="21" spans="1:18" ht="13.5" customHeight="1">
      <c r="A21" s="319" t="s">
        <v>21</v>
      </c>
      <c r="B21" s="320"/>
      <c r="C21" s="320"/>
      <c r="D21" s="320"/>
      <c r="E21" s="320"/>
      <c r="F21" s="380"/>
      <c r="G21" s="206">
        <f>SUM(G22:G25)</f>
        <v>176615.83999999997</v>
      </c>
      <c r="H21" s="215">
        <f>SUM(H22:H25)</f>
        <v>754942.64</v>
      </c>
      <c r="I21" s="319" t="s">
        <v>22</v>
      </c>
      <c r="J21" s="320"/>
      <c r="K21" s="320"/>
      <c r="L21" s="320"/>
      <c r="M21" s="320"/>
      <c r="N21" s="380"/>
      <c r="O21" s="207">
        <f>SUM(O22:O25)</f>
        <v>17786174.47</v>
      </c>
      <c r="P21" s="14">
        <f>SUM(P22:P25)</f>
        <v>1460213.35</v>
      </c>
      <c r="R21" s="2"/>
    </row>
    <row r="22" spans="1:16" ht="13.5" customHeight="1">
      <c r="A22" s="306" t="s">
        <v>23</v>
      </c>
      <c r="B22" s="382"/>
      <c r="C22" s="307"/>
      <c r="D22" s="307"/>
      <c r="E22" s="307"/>
      <c r="F22" s="363"/>
      <c r="G22" s="11">
        <f>'B.F. 00'!D20+'B.F. 05'!D22</f>
        <v>176615.83999999997</v>
      </c>
      <c r="H22" s="9">
        <v>754942.64</v>
      </c>
      <c r="I22" s="322" t="s">
        <v>23</v>
      </c>
      <c r="J22" s="323"/>
      <c r="K22" s="323"/>
      <c r="L22" s="323"/>
      <c r="M22" s="323"/>
      <c r="N22" s="384"/>
      <c r="O22" s="11">
        <f>+'B.F. 00'!K20+'B.F. 05'!K22</f>
        <v>17786174.47</v>
      </c>
      <c r="P22" s="9">
        <v>1460213.35</v>
      </c>
    </row>
    <row r="23" spans="1:16" ht="13.5" customHeight="1">
      <c r="A23" s="306" t="s">
        <v>24</v>
      </c>
      <c r="B23" s="382"/>
      <c r="C23" s="307"/>
      <c r="D23" s="307"/>
      <c r="E23" s="307"/>
      <c r="F23" s="363"/>
      <c r="G23" s="11">
        <f>+'B.F. 00'!D21+'B.F. 05'!D23</f>
        <v>0</v>
      </c>
      <c r="H23" s="11">
        <v>0</v>
      </c>
      <c r="I23" s="306" t="s">
        <v>24</v>
      </c>
      <c r="J23" s="307"/>
      <c r="K23" s="307"/>
      <c r="L23" s="307"/>
      <c r="M23" s="307"/>
      <c r="N23" s="382"/>
      <c r="O23" s="11">
        <f>+'B.F. 00'!K21+'B.F. 05'!K23</f>
        <v>0</v>
      </c>
      <c r="P23" s="11">
        <v>0</v>
      </c>
    </row>
    <row r="24" spans="1:16" ht="13.5" customHeight="1">
      <c r="A24" s="306" t="s">
        <v>25</v>
      </c>
      <c r="B24" s="382"/>
      <c r="C24" s="307"/>
      <c r="D24" s="307"/>
      <c r="E24" s="307"/>
      <c r="F24" s="363"/>
      <c r="G24" s="11">
        <f>+'B.F. 00'!D22+'B.F. 05'!D24</f>
        <v>0</v>
      </c>
      <c r="H24" s="11">
        <v>0</v>
      </c>
      <c r="I24" s="306" t="s">
        <v>25</v>
      </c>
      <c r="J24" s="307"/>
      <c r="K24" s="307"/>
      <c r="L24" s="307"/>
      <c r="M24" s="307"/>
      <c r="N24" s="382"/>
      <c r="O24" s="11">
        <f>+'B.F. 00'!K22+'B.F. 05'!K24</f>
        <v>0</v>
      </c>
      <c r="P24" s="11">
        <v>0</v>
      </c>
    </row>
    <row r="25" spans="1:16" ht="13.5" customHeight="1">
      <c r="A25" s="306" t="s">
        <v>26</v>
      </c>
      <c r="B25" s="382"/>
      <c r="C25" s="307"/>
      <c r="D25" s="307"/>
      <c r="E25" s="307"/>
      <c r="F25" s="363"/>
      <c r="G25" s="11">
        <f>+'B.F. 00'!D23+'B.F. 05'!D25</f>
        <v>0</v>
      </c>
      <c r="H25" s="11">
        <v>0</v>
      </c>
      <c r="I25" s="313" t="s">
        <v>26</v>
      </c>
      <c r="J25" s="361"/>
      <c r="K25" s="361"/>
      <c r="L25" s="361"/>
      <c r="M25" s="361"/>
      <c r="N25" s="366"/>
      <c r="O25" s="11">
        <f>+'B.F. 00'!K23+'B.F. 05'!K25</f>
        <v>0</v>
      </c>
      <c r="P25" s="11">
        <v>0</v>
      </c>
    </row>
    <row r="26" spans="1:17" ht="13.5" customHeight="1">
      <c r="A26" s="319" t="s">
        <v>27</v>
      </c>
      <c r="B26" s="320"/>
      <c r="C26" s="320"/>
      <c r="D26" s="320"/>
      <c r="E26" s="320"/>
      <c r="F26" s="380"/>
      <c r="G26" s="14">
        <f>SUBTOTAL(9,G27:G30)</f>
        <v>34265023.88</v>
      </c>
      <c r="H26" s="14">
        <f>SUM(H27:H30)</f>
        <v>42560362.84</v>
      </c>
      <c r="I26" s="319" t="s">
        <v>28</v>
      </c>
      <c r="J26" s="320"/>
      <c r="K26" s="320"/>
      <c r="L26" s="320"/>
      <c r="M26" s="320"/>
      <c r="N26" s="380"/>
      <c r="O26" s="14">
        <f>SUBTOTAL(9,O27:O30)</f>
        <v>4804004.5200000005</v>
      </c>
      <c r="P26" s="14">
        <f>SUM(P27:P30)</f>
        <v>30062983.57</v>
      </c>
      <c r="Q26" s="8"/>
    </row>
    <row r="27" spans="1:16" ht="13.5" customHeight="1">
      <c r="A27" s="306" t="s">
        <v>224</v>
      </c>
      <c r="B27" s="382"/>
      <c r="C27" s="307"/>
      <c r="D27" s="307"/>
      <c r="E27" s="307"/>
      <c r="F27" s="363"/>
      <c r="G27" s="208">
        <f>+'B.F. 00'!D25+'B.F. 05'!D27+'B.F. 00'!D26+'B.F. 05'!D28</f>
        <v>26443647.21</v>
      </c>
      <c r="H27" s="150">
        <f>557478.2+30196985.1</f>
        <v>30754463.3</v>
      </c>
      <c r="I27" s="322" t="s">
        <v>233</v>
      </c>
      <c r="J27" s="323"/>
      <c r="K27" s="323"/>
      <c r="L27" s="323"/>
      <c r="M27" s="323"/>
      <c r="N27" s="384"/>
      <c r="O27" s="209">
        <f>+'B.F. 00'!K25+'B.F. 05'!K27+'B.F. 00'!K26+'B.F. 05'!K28</f>
        <v>2963865.99</v>
      </c>
      <c r="P27" s="150">
        <f>32649.34+844095.9</f>
        <v>876745.24</v>
      </c>
    </row>
    <row r="28" spans="1:16" ht="13.5" customHeight="1">
      <c r="A28" s="306" t="s">
        <v>225</v>
      </c>
      <c r="B28" s="382"/>
      <c r="C28" s="307"/>
      <c r="D28" s="307"/>
      <c r="E28" s="307"/>
      <c r="F28" s="363"/>
      <c r="G28" s="209">
        <f>+'B.F. 00'!D27+'B.F. 05'!D29+'B.F. 00'!D28+'B.F. 05'!D30</f>
        <v>2360783.6</v>
      </c>
      <c r="H28" s="151">
        <f>6285.5+2610961.75</f>
        <v>2617247.25</v>
      </c>
      <c r="I28" s="306" t="s">
        <v>234</v>
      </c>
      <c r="J28" s="307"/>
      <c r="K28" s="307"/>
      <c r="L28" s="307"/>
      <c r="M28" s="307"/>
      <c r="N28" s="382"/>
      <c r="O28" s="209">
        <f>+'B.F. 00'!K27+'B.F. 05'!K29+'B.F. 00'!K28+'B.F. 05'!K30</f>
        <v>334917.26999999996</v>
      </c>
      <c r="P28" s="151">
        <f>100342.32+30415.85</f>
        <v>130758.17000000001</v>
      </c>
    </row>
    <row r="29" spans="1:16" ht="13.5" customHeight="1">
      <c r="A29" s="306" t="s">
        <v>37</v>
      </c>
      <c r="B29" s="382"/>
      <c r="C29" s="307"/>
      <c r="D29" s="307"/>
      <c r="E29" s="307"/>
      <c r="F29" s="363"/>
      <c r="G29" s="11">
        <f>+'B.F. 00'!D29+'B.F. 05'!D31</f>
        <v>0</v>
      </c>
      <c r="H29" s="151">
        <v>0</v>
      </c>
      <c r="I29" s="306" t="s">
        <v>37</v>
      </c>
      <c r="J29" s="307"/>
      <c r="K29" s="307"/>
      <c r="L29" s="307"/>
      <c r="M29" s="307"/>
      <c r="N29" s="382"/>
      <c r="O29" s="11">
        <f>+'B.F. 00'!K29+'B.F. 05'!K31</f>
        <v>0</v>
      </c>
      <c r="P29" s="151">
        <v>0</v>
      </c>
    </row>
    <row r="30" spans="1:16" ht="13.5" customHeight="1">
      <c r="A30" s="306" t="s">
        <v>38</v>
      </c>
      <c r="B30" s="382"/>
      <c r="C30" s="307"/>
      <c r="D30" s="307"/>
      <c r="E30" s="307"/>
      <c r="F30" s="363"/>
      <c r="G30" s="210">
        <f>+'B.F. 00'!D30+'B.F. 05'!D32</f>
        <v>5460593.07</v>
      </c>
      <c r="H30" s="152">
        <v>9188652.29</v>
      </c>
      <c r="I30" s="313" t="s">
        <v>39</v>
      </c>
      <c r="J30" s="361"/>
      <c r="K30" s="361"/>
      <c r="L30" s="361"/>
      <c r="M30" s="361"/>
      <c r="N30" s="366"/>
      <c r="O30" s="209">
        <f>+'B.F. 00'!K30+'B.F. 05'!K32</f>
        <v>1505221.26</v>
      </c>
      <c r="P30" s="152">
        <v>29055480.16</v>
      </c>
    </row>
    <row r="31" spans="1:19" ht="13.5" customHeight="1">
      <c r="A31" s="319" t="s">
        <v>40</v>
      </c>
      <c r="B31" s="320"/>
      <c r="C31" s="320"/>
      <c r="D31" s="320"/>
      <c r="E31" s="320"/>
      <c r="F31" s="380"/>
      <c r="G31" s="14">
        <f>SUBTOTAL(9,G32:G33)</f>
        <v>250461958.19</v>
      </c>
      <c r="H31" s="14">
        <f>SUM(H32:H33)</f>
        <v>257815249.62999997</v>
      </c>
      <c r="I31" s="319" t="s">
        <v>41</v>
      </c>
      <c r="J31" s="320"/>
      <c r="K31" s="320"/>
      <c r="L31" s="320"/>
      <c r="M31" s="320"/>
      <c r="N31" s="380"/>
      <c r="O31" s="14">
        <f>SUBTOTAL(9,O32:O33)</f>
        <v>223338995.95</v>
      </c>
      <c r="P31" s="14">
        <f>SUM(P32:P33)</f>
        <v>253799470.48</v>
      </c>
      <c r="Q31" s="2"/>
      <c r="S31" s="15"/>
    </row>
    <row r="32" spans="1:17" ht="13.5" customHeight="1">
      <c r="A32" s="306" t="s">
        <v>226</v>
      </c>
      <c r="B32" s="382"/>
      <c r="C32" s="307"/>
      <c r="D32" s="307"/>
      <c r="E32" s="307"/>
      <c r="F32" s="363"/>
      <c r="G32" s="209">
        <f>+'B.F. 05'!D35</f>
        <v>250461958.19</v>
      </c>
      <c r="H32" s="11">
        <v>257815249.62999997</v>
      </c>
      <c r="I32" s="322" t="s">
        <v>226</v>
      </c>
      <c r="J32" s="323"/>
      <c r="K32" s="323"/>
      <c r="L32" s="323"/>
      <c r="M32" s="323"/>
      <c r="N32" s="384"/>
      <c r="O32" s="11">
        <f>+'B.F. 00'!K33+'B.F. 05'!K35</f>
        <v>223338995.95</v>
      </c>
      <c r="P32" s="11">
        <v>253799470.48</v>
      </c>
      <c r="Q32" s="2"/>
    </row>
    <row r="33" spans="1:16" ht="13.5" customHeight="1">
      <c r="A33" s="306" t="s">
        <v>37</v>
      </c>
      <c r="B33" s="382"/>
      <c r="C33" s="307"/>
      <c r="D33" s="307"/>
      <c r="E33" s="307"/>
      <c r="F33" s="363"/>
      <c r="G33" s="219">
        <f>+'B.F. 00'!D34+'B.F. 05'!D36</f>
        <v>0</v>
      </c>
      <c r="H33" s="218" t="s">
        <v>235</v>
      </c>
      <c r="I33" s="313" t="s">
        <v>37</v>
      </c>
      <c r="J33" s="361"/>
      <c r="K33" s="361"/>
      <c r="L33" s="361"/>
      <c r="M33" s="361"/>
      <c r="N33" s="366"/>
      <c r="O33" s="219">
        <f>+'B.F. 00'!K34+'B.F. 05'!K36</f>
        <v>0</v>
      </c>
      <c r="P33" s="219" t="s">
        <v>235</v>
      </c>
    </row>
    <row r="34" spans="1:19" ht="13.5" customHeight="1">
      <c r="A34" s="319" t="s">
        <v>44</v>
      </c>
      <c r="B34" s="380"/>
      <c r="C34" s="367"/>
      <c r="D34" s="367"/>
      <c r="E34" s="367"/>
      <c r="F34" s="321"/>
      <c r="G34" s="16">
        <f>G31+G26+G21+G8</f>
        <v>295086469.11999995</v>
      </c>
      <c r="H34" s="217">
        <f>H8+H21+H26+H31</f>
        <v>346083506.59999996</v>
      </c>
      <c r="I34" s="319" t="s">
        <v>45</v>
      </c>
      <c r="J34" s="320"/>
      <c r="K34" s="320"/>
      <c r="L34" s="320"/>
      <c r="M34" s="320"/>
      <c r="N34" s="380"/>
      <c r="O34" s="16">
        <f>O31+O26+O21+O8</f>
        <v>295086469.12</v>
      </c>
      <c r="P34" s="230">
        <f>P8+P21++P26+P31</f>
        <v>346083506.6</v>
      </c>
      <c r="Q34" s="17">
        <f>G34-O34</f>
        <v>0</v>
      </c>
      <c r="R34" s="18"/>
      <c r="S34" s="232">
        <f>H34-P34</f>
        <v>0</v>
      </c>
    </row>
    <row r="35" spans="1:16" s="137" customFormat="1" ht="13.5" customHeight="1">
      <c r="A35" s="133" t="s">
        <v>46</v>
      </c>
      <c r="B35" s="134"/>
      <c r="C35" s="134"/>
      <c r="D35" s="134"/>
      <c r="E35" s="135"/>
      <c r="F35" s="135"/>
      <c r="G35" s="135"/>
      <c r="H35" s="135"/>
      <c r="I35" s="134"/>
      <c r="J35" s="134"/>
      <c r="K35" s="134"/>
      <c r="L35" s="135"/>
      <c r="M35" s="135"/>
      <c r="N35" s="135"/>
      <c r="O35" s="136"/>
      <c r="P35" s="136"/>
    </row>
    <row r="36" spans="1:18" s="137" customFormat="1" ht="4.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  <c r="P36" s="139"/>
      <c r="R36" s="140"/>
    </row>
    <row r="37" spans="1:16" s="137" customFormat="1" ht="8.25">
      <c r="A37" s="133" t="s">
        <v>47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  <c r="P37" s="139"/>
    </row>
    <row r="38" spans="1:16" s="137" customFormat="1" ht="11.25" customHeight="1">
      <c r="A38" s="386" t="s">
        <v>48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221"/>
    </row>
    <row r="39" spans="1:16" s="137" customFormat="1" ht="11.25" customHeight="1">
      <c r="A39" s="386" t="s">
        <v>217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221"/>
      <c r="P39" s="221"/>
    </row>
    <row r="40" spans="1:16" s="137" customFormat="1" ht="11.25" customHeight="1">
      <c r="A40" s="386" t="s">
        <v>196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227"/>
      <c r="P40" s="227"/>
    </row>
    <row r="41" spans="1:18" s="137" customFormat="1" ht="11.25" customHeight="1">
      <c r="A41" s="383" t="s">
        <v>230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146"/>
      <c r="P41" s="146"/>
      <c r="R41" s="171"/>
    </row>
    <row r="42" spans="1:27" s="137" customFormat="1" ht="11.25" customHeight="1">
      <c r="A42" s="385" t="s">
        <v>188</v>
      </c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224"/>
      <c r="P42" s="224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</row>
    <row r="43" spans="1:27" s="137" customFormat="1" ht="11.25" customHeight="1">
      <c r="A43" s="398" t="s">
        <v>215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225"/>
      <c r="P43" s="225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pans="1:18" s="137" customFormat="1" ht="11.25" customHeight="1">
      <c r="A44" s="385" t="s">
        <v>179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146"/>
      <c r="P44" s="146"/>
      <c r="R44" s="171"/>
    </row>
    <row r="45" spans="1:18" s="137" customFormat="1" ht="11.25" customHeight="1">
      <c r="A45" s="374" t="s">
        <v>216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190"/>
      <c r="P45" s="190"/>
      <c r="R45" s="171"/>
    </row>
    <row r="46" spans="1:18" s="198" customFormat="1" ht="11.25" customHeight="1">
      <c r="A46" s="383" t="s">
        <v>223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227"/>
      <c r="P46" s="227"/>
      <c r="R46" s="199"/>
    </row>
    <row r="47" spans="1:18" s="198" customFormat="1" ht="11.25" customHeight="1">
      <c r="A47" s="383" t="s">
        <v>231</v>
      </c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227"/>
      <c r="P47" s="227"/>
      <c r="R47" s="199"/>
    </row>
    <row r="48" spans="1:16" s="137" customFormat="1" ht="11.25" customHeight="1">
      <c r="A48" s="383" t="s">
        <v>237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227"/>
      <c r="N48" s="227"/>
      <c r="O48" s="146"/>
      <c r="P48" s="146"/>
    </row>
    <row r="49" spans="1:18" s="137" customFormat="1" ht="11.25" customHeight="1">
      <c r="A49" s="385" t="s">
        <v>180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190"/>
      <c r="P49" s="190"/>
      <c r="R49" s="140"/>
    </row>
    <row r="50" spans="1:18" s="137" customFormat="1" ht="11.25" customHeight="1">
      <c r="A50" s="374" t="s">
        <v>189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R50" s="140"/>
    </row>
    <row r="51" spans="1:27" s="137" customFormat="1" ht="11.25" customHeight="1">
      <c r="A51" s="137" t="s">
        <v>238</v>
      </c>
      <c r="O51" s="190"/>
      <c r="P51" s="190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</row>
    <row r="52" spans="1:27" s="137" customFormat="1" ht="11.25" customHeight="1">
      <c r="A52" s="233" t="s">
        <v>239</v>
      </c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</row>
    <row r="53" spans="1:27" s="137" customFormat="1" ht="11.2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</row>
    <row r="54" spans="1:27" s="137" customFormat="1" ht="11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1:17" s="18" customFormat="1" ht="13.5" customHeight="1">
      <c r="A55" s="377" t="s">
        <v>227</v>
      </c>
      <c r="B55" s="377"/>
      <c r="C55" s="377"/>
      <c r="D55" s="377"/>
      <c r="E55" s="377"/>
      <c r="F55" s="375" t="s">
        <v>199</v>
      </c>
      <c r="G55" s="375"/>
      <c r="H55" s="375"/>
      <c r="I55" s="375"/>
      <c r="J55" s="375"/>
      <c r="K55" s="375"/>
      <c r="L55" s="377" t="s">
        <v>193</v>
      </c>
      <c r="M55" s="377"/>
      <c r="N55" s="377"/>
      <c r="O55" s="377"/>
      <c r="P55" s="26"/>
      <c r="Q55" s="27"/>
    </row>
    <row r="56" spans="1:17" ht="13.5" customHeight="1">
      <c r="A56" s="373" t="s">
        <v>49</v>
      </c>
      <c r="B56" s="373"/>
      <c r="C56" s="373"/>
      <c r="D56" s="373"/>
      <c r="E56" s="373"/>
      <c r="F56" s="373" t="s">
        <v>187</v>
      </c>
      <c r="G56" s="373"/>
      <c r="H56" s="373"/>
      <c r="I56" s="373"/>
      <c r="J56" s="373"/>
      <c r="K56" s="373"/>
      <c r="L56" s="378" t="s">
        <v>232</v>
      </c>
      <c r="M56" s="378"/>
      <c r="N56" s="378"/>
      <c r="O56" s="378"/>
      <c r="P56" s="226"/>
      <c r="Q56" s="29"/>
    </row>
    <row r="57" spans="1:17" ht="13.5" customHeight="1">
      <c r="A57" s="372" t="s">
        <v>228</v>
      </c>
      <c r="B57" s="372"/>
      <c r="C57" s="372"/>
      <c r="D57" s="372"/>
      <c r="E57" s="372"/>
      <c r="F57" s="372" t="s">
        <v>190</v>
      </c>
      <c r="G57" s="372"/>
      <c r="H57" s="372"/>
      <c r="I57" s="372"/>
      <c r="J57" s="372"/>
      <c r="K57" s="372"/>
      <c r="L57" s="379" t="s">
        <v>194</v>
      </c>
      <c r="M57" s="379"/>
      <c r="N57" s="379"/>
      <c r="O57" s="379"/>
      <c r="P57" s="223"/>
      <c r="Q57" s="31"/>
    </row>
    <row r="58" spans="1:17" ht="13.5" customHeight="1">
      <c r="A58" s="371" t="s">
        <v>50</v>
      </c>
      <c r="B58" s="371"/>
      <c r="C58" s="371"/>
      <c r="D58" s="371"/>
      <c r="E58" s="371"/>
      <c r="F58" s="372" t="s">
        <v>50</v>
      </c>
      <c r="G58" s="372"/>
      <c r="H58" s="372"/>
      <c r="I58" s="372"/>
      <c r="J58" s="372"/>
      <c r="K58" s="372"/>
      <c r="L58" s="372" t="s">
        <v>50</v>
      </c>
      <c r="M58" s="372"/>
      <c r="N58" s="372"/>
      <c r="O58" s="372"/>
      <c r="P58" s="30"/>
      <c r="Q58" s="31"/>
    </row>
    <row r="59" spans="13:16" ht="13.5" customHeight="1">
      <c r="M59" s="25"/>
      <c r="O59" s="1"/>
      <c r="P59" s="1"/>
    </row>
    <row r="63" ht="13.5" customHeight="1">
      <c r="B63" s="2"/>
    </row>
    <row r="64" ht="11.25" customHeight="1">
      <c r="B64" s="33"/>
    </row>
    <row r="65" spans="1:16" ht="24" customHeight="1">
      <c r="A65" s="376"/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222"/>
    </row>
    <row r="66" spans="1:16" ht="34.5" customHeight="1">
      <c r="A66" s="370"/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220"/>
    </row>
  </sheetData>
  <sheetProtection/>
  <mergeCells count="89">
    <mergeCell ref="A43:N43"/>
    <mergeCell ref="A29:F29"/>
    <mergeCell ref="I30:N30"/>
    <mergeCell ref="A38:O38"/>
    <mergeCell ref="A30:F30"/>
    <mergeCell ref="A31:F31"/>
    <mergeCell ref="I29:N29"/>
    <mergeCell ref="A34:F34"/>
    <mergeCell ref="I31:N31"/>
    <mergeCell ref="A32:F32"/>
    <mergeCell ref="A1:O1"/>
    <mergeCell ref="A6:G6"/>
    <mergeCell ref="I6:O6"/>
    <mergeCell ref="A10:F10"/>
    <mergeCell ref="I8:N8"/>
    <mergeCell ref="I7:N7"/>
    <mergeCell ref="B2:P2"/>
    <mergeCell ref="A3:P3"/>
    <mergeCell ref="A7:F7"/>
    <mergeCell ref="A8:F8"/>
    <mergeCell ref="I12:N12"/>
    <mergeCell ref="I11:N11"/>
    <mergeCell ref="I9:N9"/>
    <mergeCell ref="A11:F11"/>
    <mergeCell ref="A12:F12"/>
    <mergeCell ref="I10:N10"/>
    <mergeCell ref="A9:F9"/>
    <mergeCell ref="I13:N13"/>
    <mergeCell ref="I20:N20"/>
    <mergeCell ref="A13:F13"/>
    <mergeCell ref="A18:F18"/>
    <mergeCell ref="A16:F16"/>
    <mergeCell ref="A19:F19"/>
    <mergeCell ref="I14:N14"/>
    <mergeCell ref="I15:N15"/>
    <mergeCell ref="A15:F15"/>
    <mergeCell ref="A14:F14"/>
    <mergeCell ref="I21:N21"/>
    <mergeCell ref="A20:F20"/>
    <mergeCell ref="I19:N19"/>
    <mergeCell ref="I16:N16"/>
    <mergeCell ref="I18:N18"/>
    <mergeCell ref="A17:F17"/>
    <mergeCell ref="I17:N17"/>
    <mergeCell ref="A21:F21"/>
    <mergeCell ref="A26:F26"/>
    <mergeCell ref="A25:F25"/>
    <mergeCell ref="I23:N23"/>
    <mergeCell ref="I22:N22"/>
    <mergeCell ref="I24:N24"/>
    <mergeCell ref="I25:N25"/>
    <mergeCell ref="I26:N26"/>
    <mergeCell ref="A22:F22"/>
    <mergeCell ref="A23:F23"/>
    <mergeCell ref="A24:F24"/>
    <mergeCell ref="I28:N28"/>
    <mergeCell ref="A27:F27"/>
    <mergeCell ref="A44:N44"/>
    <mergeCell ref="A45:N45"/>
    <mergeCell ref="A39:N39"/>
    <mergeCell ref="A28:F28"/>
    <mergeCell ref="I27:N27"/>
    <mergeCell ref="A40:N40"/>
    <mergeCell ref="A41:N41"/>
    <mergeCell ref="A42:N42"/>
    <mergeCell ref="I34:N34"/>
    <mergeCell ref="A4:P4"/>
    <mergeCell ref="A33:F33"/>
    <mergeCell ref="A55:E55"/>
    <mergeCell ref="A46:N46"/>
    <mergeCell ref="I33:N33"/>
    <mergeCell ref="I32:N32"/>
    <mergeCell ref="A47:N47"/>
    <mergeCell ref="A48:L48"/>
    <mergeCell ref="A49:N49"/>
    <mergeCell ref="A50:N50"/>
    <mergeCell ref="F55:K55"/>
    <mergeCell ref="A65:O65"/>
    <mergeCell ref="L58:O58"/>
    <mergeCell ref="L55:O55"/>
    <mergeCell ref="L56:O56"/>
    <mergeCell ref="F58:K58"/>
    <mergeCell ref="A56:E56"/>
    <mergeCell ref="F57:K57"/>
    <mergeCell ref="L57:O57"/>
    <mergeCell ref="A66:O66"/>
    <mergeCell ref="A58:E58"/>
    <mergeCell ref="A57:E57"/>
    <mergeCell ref="F56:K56"/>
  </mergeCells>
  <conditionalFormatting sqref="A4:O4">
    <cfRule type="cellIs" priority="1" dxfId="0" operator="equal" stopIfTrue="1">
      <formula>"DEZEMBRO 2017"</formula>
    </cfRule>
  </conditionalFormatting>
  <printOptions horizontalCentered="1"/>
  <pageMargins left="0.1968503937007874" right="0.11811023622047245" top="0.11811023622047245" bottom="0" header="0" footer="0"/>
  <pageSetup fitToHeight="0" fitToWidth="0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showGridLines="0" zoomScale="120" zoomScaleNormal="120" zoomScalePageLayoutView="0" workbookViewId="0" topLeftCell="A1">
      <selection activeCell="C4" sqref="C4"/>
    </sheetView>
  </sheetViews>
  <sheetFormatPr defaultColWidth="6.8515625" defaultRowHeight="13.5" customHeight="1"/>
  <cols>
    <col min="1" max="1" width="13.00390625" style="1" customWidth="1"/>
    <col min="2" max="2" width="12.8515625" style="1" bestFit="1" customWidth="1"/>
    <col min="3" max="6" width="7.28125" style="1" customWidth="1"/>
    <col min="7" max="8" width="15.140625" style="1" customWidth="1"/>
    <col min="9" max="13" width="9.8515625" style="1" customWidth="1"/>
    <col min="14" max="14" width="7.28125" style="1" customWidth="1"/>
    <col min="15" max="15" width="15.7109375" style="1" bestFit="1" customWidth="1"/>
    <col min="16" max="16" width="15.57421875" style="25" customWidth="1"/>
    <col min="17" max="17" width="14.421875" style="1" bestFit="1" customWidth="1"/>
    <col min="18" max="18" width="12.00390625" style="1" bestFit="1" customWidth="1"/>
    <col min="19" max="19" width="9.00390625" style="1" bestFit="1" customWidth="1"/>
    <col min="20" max="22" width="6.8515625" style="1" customWidth="1"/>
    <col min="23" max="23" width="15.57421875" style="1" customWidth="1"/>
    <col min="24" max="16384" width="6.8515625" style="1" customWidth="1"/>
  </cols>
  <sheetData>
    <row r="1" spans="1:16" ht="21.75" customHeight="1">
      <c r="A1" s="399" t="s">
        <v>240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7" ht="15" customHeight="1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247"/>
    </row>
    <row r="3" spans="1:16" ht="15" customHeight="1">
      <c r="A3" s="400" t="s">
        <v>284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1:16" ht="13.5" customHeight="1">
      <c r="A4" s="3"/>
      <c r="B4" s="3"/>
      <c r="C4" s="3"/>
      <c r="D4" s="3"/>
      <c r="E4" s="3"/>
      <c r="F4" s="3"/>
      <c r="G4" s="240"/>
      <c r="H4" s="3"/>
      <c r="I4" s="3"/>
      <c r="J4" s="3"/>
      <c r="K4" s="240"/>
      <c r="L4" s="240"/>
      <c r="M4" s="240"/>
      <c r="N4" s="241"/>
      <c r="O4" s="246"/>
      <c r="P4" s="246"/>
    </row>
    <row r="5" spans="1:16" ht="13.5" customHeight="1">
      <c r="A5" s="3"/>
      <c r="B5" s="3"/>
      <c r="C5" s="3"/>
      <c r="D5" s="3"/>
      <c r="E5" s="3"/>
      <c r="F5" s="3"/>
      <c r="G5" s="258"/>
      <c r="H5" s="3"/>
      <c r="I5" s="3"/>
      <c r="J5" s="3"/>
      <c r="K5" s="3"/>
      <c r="L5" s="3"/>
      <c r="M5" s="3"/>
      <c r="N5" s="3"/>
      <c r="O5" s="3"/>
      <c r="P5" s="4" t="s">
        <v>2</v>
      </c>
    </row>
    <row r="6" spans="1:16" ht="19.5" customHeight="1">
      <c r="A6" s="329" t="s">
        <v>3</v>
      </c>
      <c r="B6" s="330"/>
      <c r="C6" s="330"/>
      <c r="D6" s="330"/>
      <c r="E6" s="330"/>
      <c r="F6" s="330"/>
      <c r="G6" s="330"/>
      <c r="H6" s="148"/>
      <c r="I6" s="401" t="s">
        <v>4</v>
      </c>
      <c r="J6" s="402"/>
      <c r="K6" s="402"/>
      <c r="L6" s="402"/>
      <c r="M6" s="402"/>
      <c r="N6" s="402"/>
      <c r="O6" s="402"/>
      <c r="P6" s="315"/>
    </row>
    <row r="7" spans="1:16" ht="23.25" customHeight="1">
      <c r="A7" s="316" t="s">
        <v>5</v>
      </c>
      <c r="B7" s="367"/>
      <c r="C7" s="367"/>
      <c r="D7" s="367"/>
      <c r="E7" s="367"/>
      <c r="F7" s="321"/>
      <c r="G7" s="5" t="s">
        <v>6</v>
      </c>
      <c r="H7" s="147" t="s">
        <v>177</v>
      </c>
      <c r="I7" s="403" t="s">
        <v>5</v>
      </c>
      <c r="J7" s="312"/>
      <c r="K7" s="312"/>
      <c r="L7" s="312"/>
      <c r="M7" s="312"/>
      <c r="N7" s="312"/>
      <c r="O7" s="5" t="s">
        <v>6</v>
      </c>
      <c r="P7" s="149" t="s">
        <v>177</v>
      </c>
    </row>
    <row r="8" spans="1:18" ht="17.25" customHeight="1">
      <c r="A8" s="319" t="s">
        <v>7</v>
      </c>
      <c r="B8" s="320"/>
      <c r="C8" s="320"/>
      <c r="D8" s="320"/>
      <c r="E8" s="320"/>
      <c r="F8" s="321"/>
      <c r="G8" s="284">
        <f>G9+G14</f>
        <v>31742.989999999998</v>
      </c>
      <c r="H8" s="284">
        <f>H9+H14</f>
        <v>610628.57</v>
      </c>
      <c r="I8" s="404" t="s">
        <v>8</v>
      </c>
      <c r="J8" s="404"/>
      <c r="K8" s="404"/>
      <c r="L8" s="404"/>
      <c r="M8" s="404"/>
      <c r="N8" s="405"/>
      <c r="O8" s="284">
        <f>O9+O14</f>
        <v>478</v>
      </c>
      <c r="P8" s="295">
        <f>P9+P14</f>
        <v>0</v>
      </c>
      <c r="Q8" s="7"/>
      <c r="R8" s="8"/>
    </row>
    <row r="9" spans="1:17" ht="15.75" customHeight="1">
      <c r="A9" s="322" t="s">
        <v>9</v>
      </c>
      <c r="B9" s="323"/>
      <c r="C9" s="323"/>
      <c r="D9" s="323"/>
      <c r="E9" s="323"/>
      <c r="F9" s="312"/>
      <c r="G9" s="285">
        <f>SUM(G10:G12)</f>
        <v>5623.67</v>
      </c>
      <c r="H9" s="286">
        <f>SUM(H10:H12)</f>
        <v>0</v>
      </c>
      <c r="I9" s="307" t="s">
        <v>9</v>
      </c>
      <c r="J9" s="307"/>
      <c r="K9" s="307"/>
      <c r="L9" s="307"/>
      <c r="M9" s="307"/>
      <c r="N9" s="363"/>
      <c r="O9" s="285">
        <f>SUM(O10:O12)</f>
        <v>478</v>
      </c>
      <c r="P9" s="301">
        <f>P10</f>
        <v>0</v>
      </c>
      <c r="Q9" s="10"/>
    </row>
    <row r="10" spans="1:17" ht="15" customHeight="1">
      <c r="A10" s="325" t="s">
        <v>10</v>
      </c>
      <c r="B10" s="326"/>
      <c r="C10" s="326"/>
      <c r="D10" s="326"/>
      <c r="E10" s="326"/>
      <c r="F10" s="390"/>
      <c r="G10" s="287">
        <v>5623.67</v>
      </c>
      <c r="H10" s="288">
        <v>0</v>
      </c>
      <c r="I10" s="328" t="s">
        <v>10</v>
      </c>
      <c r="J10" s="326"/>
      <c r="K10" s="326"/>
      <c r="L10" s="326"/>
      <c r="M10" s="326"/>
      <c r="N10" s="390"/>
      <c r="O10" s="287">
        <v>478</v>
      </c>
      <c r="P10" s="288">
        <v>0</v>
      </c>
      <c r="Q10" s="272"/>
    </row>
    <row r="11" spans="1:16" ht="13.5" customHeight="1">
      <c r="A11" s="325" t="s">
        <v>11</v>
      </c>
      <c r="B11" s="328"/>
      <c r="C11" s="328"/>
      <c r="D11" s="328"/>
      <c r="E11" s="328"/>
      <c r="F11" s="390"/>
      <c r="G11" s="288">
        <v>0</v>
      </c>
      <c r="H11" s="288">
        <v>0</v>
      </c>
      <c r="I11" s="328" t="s">
        <v>11</v>
      </c>
      <c r="J11" s="328"/>
      <c r="K11" s="328"/>
      <c r="L11" s="328"/>
      <c r="M11" s="328"/>
      <c r="N11" s="390"/>
      <c r="O11" s="288">
        <v>0</v>
      </c>
      <c r="P11" s="288">
        <v>0</v>
      </c>
    </row>
    <row r="12" spans="1:16" ht="13.5" customHeight="1">
      <c r="A12" s="325" t="s">
        <v>12</v>
      </c>
      <c r="B12" s="328"/>
      <c r="C12" s="328"/>
      <c r="D12" s="328"/>
      <c r="E12" s="328"/>
      <c r="F12" s="390"/>
      <c r="G12" s="288">
        <v>0</v>
      </c>
      <c r="H12" s="288">
        <v>0</v>
      </c>
      <c r="I12" s="328" t="s">
        <v>12</v>
      </c>
      <c r="J12" s="328"/>
      <c r="K12" s="328"/>
      <c r="L12" s="328"/>
      <c r="M12" s="328"/>
      <c r="N12" s="390"/>
      <c r="O12" s="288">
        <v>0</v>
      </c>
      <c r="P12" s="288">
        <v>0</v>
      </c>
    </row>
    <row r="13" spans="1:16" ht="13.5" customHeight="1">
      <c r="A13" s="212"/>
      <c r="B13" s="213"/>
      <c r="C13" s="213"/>
      <c r="D13" s="213"/>
      <c r="E13" s="213"/>
      <c r="F13" s="214"/>
      <c r="G13" s="288"/>
      <c r="H13" s="289"/>
      <c r="I13" s="213"/>
      <c r="J13" s="213"/>
      <c r="K13" s="213"/>
      <c r="L13" s="213"/>
      <c r="M13" s="213"/>
      <c r="N13" s="214"/>
      <c r="O13" s="288"/>
      <c r="P13" s="288"/>
    </row>
    <row r="14" spans="1:18" ht="13.5" customHeight="1">
      <c r="A14" s="306" t="s">
        <v>13</v>
      </c>
      <c r="B14" s="307"/>
      <c r="C14" s="307"/>
      <c r="D14" s="307"/>
      <c r="E14" s="307"/>
      <c r="F14" s="363"/>
      <c r="G14" s="290">
        <f>SUM(G15:G21)</f>
        <v>26119.32</v>
      </c>
      <c r="H14" s="290">
        <f>SUM(H15:H21)</f>
        <v>610628.57</v>
      </c>
      <c r="I14" s="307" t="s">
        <v>13</v>
      </c>
      <c r="J14" s="307"/>
      <c r="K14" s="307"/>
      <c r="L14" s="307"/>
      <c r="M14" s="307"/>
      <c r="N14" s="363"/>
      <c r="O14" s="301">
        <f>SUM(O15:O21)</f>
        <v>0</v>
      </c>
      <c r="P14" s="301">
        <f>SUM(P15:P21)</f>
        <v>0</v>
      </c>
      <c r="R14" s="2"/>
    </row>
    <row r="15" spans="1:16" ht="13.5" customHeight="1">
      <c r="A15" s="325" t="s">
        <v>14</v>
      </c>
      <c r="B15" s="326"/>
      <c r="C15" s="326"/>
      <c r="D15" s="326"/>
      <c r="E15" s="326"/>
      <c r="F15" s="390"/>
      <c r="G15" s="288">
        <v>0</v>
      </c>
      <c r="H15" s="288">
        <v>0</v>
      </c>
      <c r="I15" s="328" t="s">
        <v>265</v>
      </c>
      <c r="J15" s="326"/>
      <c r="K15" s="326"/>
      <c r="L15" s="326"/>
      <c r="M15" s="326"/>
      <c r="N15" s="390"/>
      <c r="O15" s="288">
        <v>0</v>
      </c>
      <c r="P15" s="288">
        <v>0</v>
      </c>
    </row>
    <row r="16" spans="1:16" ht="13.5" customHeight="1">
      <c r="A16" s="325" t="s">
        <v>15</v>
      </c>
      <c r="B16" s="328"/>
      <c r="C16" s="328"/>
      <c r="D16" s="328"/>
      <c r="E16" s="328"/>
      <c r="F16" s="390"/>
      <c r="G16" s="288">
        <v>0</v>
      </c>
      <c r="H16" s="288">
        <v>0</v>
      </c>
      <c r="I16" s="328" t="s">
        <v>15</v>
      </c>
      <c r="J16" s="328"/>
      <c r="K16" s="328"/>
      <c r="L16" s="328"/>
      <c r="M16" s="328"/>
      <c r="N16" s="390"/>
      <c r="O16" s="288">
        <v>0</v>
      </c>
      <c r="P16" s="288">
        <v>0</v>
      </c>
    </row>
    <row r="17" spans="1:16" ht="13.5" customHeight="1">
      <c r="A17" s="325" t="s">
        <v>16</v>
      </c>
      <c r="B17" s="328"/>
      <c r="C17" s="328"/>
      <c r="D17" s="328"/>
      <c r="E17" s="328"/>
      <c r="F17" s="390"/>
      <c r="G17" s="288">
        <v>0</v>
      </c>
      <c r="H17" s="288">
        <v>0</v>
      </c>
      <c r="I17" s="328" t="s">
        <v>16</v>
      </c>
      <c r="J17" s="328"/>
      <c r="K17" s="328"/>
      <c r="L17" s="328"/>
      <c r="M17" s="328"/>
      <c r="N17" s="390"/>
      <c r="O17" s="288">
        <v>0</v>
      </c>
      <c r="P17" s="288">
        <v>0</v>
      </c>
    </row>
    <row r="18" spans="1:16" ht="13.5" customHeight="1">
      <c r="A18" s="325" t="s">
        <v>17</v>
      </c>
      <c r="B18" s="328"/>
      <c r="C18" s="328"/>
      <c r="D18" s="328"/>
      <c r="E18" s="328"/>
      <c r="F18" s="390"/>
      <c r="G18" s="288"/>
      <c r="H18" s="288">
        <v>0</v>
      </c>
      <c r="I18" s="328" t="s">
        <v>17</v>
      </c>
      <c r="J18" s="328"/>
      <c r="K18" s="328"/>
      <c r="L18" s="328"/>
      <c r="M18" s="328"/>
      <c r="N18" s="390"/>
      <c r="O18" s="288">
        <v>0</v>
      </c>
      <c r="P18" s="288">
        <v>0</v>
      </c>
    </row>
    <row r="19" spans="1:16" ht="13.5" customHeight="1">
      <c r="A19" s="325" t="s">
        <v>18</v>
      </c>
      <c r="B19" s="328"/>
      <c r="C19" s="328"/>
      <c r="D19" s="328"/>
      <c r="E19" s="328"/>
      <c r="F19" s="390"/>
      <c r="G19" s="287"/>
      <c r="H19" s="287">
        <v>600000</v>
      </c>
      <c r="I19" s="328" t="s">
        <v>18</v>
      </c>
      <c r="J19" s="328"/>
      <c r="K19" s="328"/>
      <c r="L19" s="328"/>
      <c r="M19" s="328"/>
      <c r="N19" s="390"/>
      <c r="O19" s="288">
        <v>0</v>
      </c>
      <c r="P19" s="288">
        <v>0</v>
      </c>
    </row>
    <row r="20" spans="1:16" ht="13.5" customHeight="1">
      <c r="A20" s="325" t="s">
        <v>19</v>
      </c>
      <c r="B20" s="328"/>
      <c r="C20" s="328"/>
      <c r="D20" s="328"/>
      <c r="E20" s="328"/>
      <c r="F20" s="390"/>
      <c r="G20" s="288"/>
      <c r="H20" s="288"/>
      <c r="I20" s="328" t="s">
        <v>19</v>
      </c>
      <c r="J20" s="328"/>
      <c r="K20" s="328"/>
      <c r="L20" s="328"/>
      <c r="M20" s="328"/>
      <c r="N20" s="390"/>
      <c r="O20" s="288">
        <v>0</v>
      </c>
      <c r="P20" s="288">
        <v>0</v>
      </c>
    </row>
    <row r="21" spans="1:16" ht="13.5" customHeight="1">
      <c r="A21" s="309" t="s">
        <v>20</v>
      </c>
      <c r="B21" s="310"/>
      <c r="C21" s="310"/>
      <c r="D21" s="310"/>
      <c r="E21" s="310"/>
      <c r="F21" s="388"/>
      <c r="G21" s="291">
        <f>31742.99-5623.67</f>
        <v>26119.32</v>
      </c>
      <c r="H21" s="291">
        <v>10628.57</v>
      </c>
      <c r="I21" s="310" t="s">
        <v>20</v>
      </c>
      <c r="J21" s="310"/>
      <c r="K21" s="310"/>
      <c r="L21" s="310"/>
      <c r="M21" s="310"/>
      <c r="N21" s="388"/>
      <c r="O21" s="302"/>
      <c r="P21" s="302">
        <v>0</v>
      </c>
    </row>
    <row r="22" spans="1:18" ht="21.75" customHeight="1">
      <c r="A22" s="319" t="s">
        <v>21</v>
      </c>
      <c r="B22" s="320"/>
      <c r="C22" s="320"/>
      <c r="D22" s="320"/>
      <c r="E22" s="320"/>
      <c r="F22" s="321"/>
      <c r="G22" s="292">
        <f>SUM(G23:G26)</f>
        <v>0</v>
      </c>
      <c r="H22" s="286">
        <f>SUM(H23:H26)</f>
        <v>0</v>
      </c>
      <c r="I22" s="320" t="s">
        <v>22</v>
      </c>
      <c r="J22" s="320"/>
      <c r="K22" s="320"/>
      <c r="L22" s="320"/>
      <c r="M22" s="320"/>
      <c r="N22" s="367"/>
      <c r="O22" s="284">
        <f>SUM(O23:O26)</f>
        <v>5623.67</v>
      </c>
      <c r="P22" s="301">
        <f>SUM(P23:P26)</f>
        <v>0</v>
      </c>
      <c r="R22" s="2"/>
    </row>
    <row r="23" spans="1:16" ht="13.5" customHeight="1">
      <c r="A23" s="322" t="s">
        <v>23</v>
      </c>
      <c r="B23" s="312"/>
      <c r="C23" s="312"/>
      <c r="D23" s="312"/>
      <c r="E23" s="312"/>
      <c r="F23" s="324"/>
      <c r="G23" s="293"/>
      <c r="H23" s="294">
        <v>0</v>
      </c>
      <c r="I23" s="323" t="s">
        <v>23</v>
      </c>
      <c r="J23" s="323"/>
      <c r="K23" s="323"/>
      <c r="L23" s="323"/>
      <c r="M23" s="323"/>
      <c r="N23" s="324"/>
      <c r="O23" s="293">
        <v>5623.67</v>
      </c>
      <c r="P23" s="294">
        <v>0</v>
      </c>
    </row>
    <row r="24" spans="1:16" ht="13.5" customHeight="1">
      <c r="A24" s="306" t="s">
        <v>24</v>
      </c>
      <c r="B24" s="307"/>
      <c r="C24" s="307"/>
      <c r="D24" s="307"/>
      <c r="E24" s="307"/>
      <c r="F24" s="308"/>
      <c r="G24" s="287"/>
      <c r="H24" s="288">
        <v>0</v>
      </c>
      <c r="I24" s="307" t="s">
        <v>24</v>
      </c>
      <c r="J24" s="307"/>
      <c r="K24" s="307"/>
      <c r="L24" s="307"/>
      <c r="M24" s="307"/>
      <c r="N24" s="308"/>
      <c r="O24" s="288">
        <v>0</v>
      </c>
      <c r="P24" s="288">
        <v>0</v>
      </c>
    </row>
    <row r="25" spans="1:16" ht="13.5" customHeight="1">
      <c r="A25" s="306" t="s">
        <v>25</v>
      </c>
      <c r="B25" s="307"/>
      <c r="C25" s="307"/>
      <c r="D25" s="307"/>
      <c r="E25" s="307"/>
      <c r="F25" s="308"/>
      <c r="G25" s="288">
        <v>0</v>
      </c>
      <c r="H25" s="288">
        <v>0</v>
      </c>
      <c r="I25" s="307" t="s">
        <v>25</v>
      </c>
      <c r="J25" s="307"/>
      <c r="K25" s="307"/>
      <c r="L25" s="307"/>
      <c r="M25" s="307"/>
      <c r="N25" s="308"/>
      <c r="O25" s="288">
        <v>0</v>
      </c>
      <c r="P25" s="288">
        <v>0</v>
      </c>
    </row>
    <row r="26" spans="1:16" ht="13.5" customHeight="1">
      <c r="A26" s="313" t="s">
        <v>26</v>
      </c>
      <c r="B26" s="314"/>
      <c r="C26" s="314"/>
      <c r="D26" s="314"/>
      <c r="E26" s="314"/>
      <c r="F26" s="362"/>
      <c r="G26" s="288">
        <v>0</v>
      </c>
      <c r="H26" s="288">
        <v>0</v>
      </c>
      <c r="I26" s="361" t="s">
        <v>26</v>
      </c>
      <c r="J26" s="361"/>
      <c r="K26" s="361"/>
      <c r="L26" s="361"/>
      <c r="M26" s="361"/>
      <c r="N26" s="362"/>
      <c r="O26" s="288">
        <v>0</v>
      </c>
      <c r="P26" s="288">
        <v>0</v>
      </c>
    </row>
    <row r="27" spans="1:17" ht="20.25" customHeight="1">
      <c r="A27" s="319" t="s">
        <v>27</v>
      </c>
      <c r="B27" s="320"/>
      <c r="C27" s="320"/>
      <c r="D27" s="320"/>
      <c r="E27" s="320"/>
      <c r="F27" s="321"/>
      <c r="G27" s="284">
        <f>SUM(G28:G31)</f>
        <v>2708</v>
      </c>
      <c r="H27" s="295">
        <f>SUM(H28:H31)</f>
        <v>0</v>
      </c>
      <c r="I27" s="320" t="s">
        <v>28</v>
      </c>
      <c r="J27" s="320"/>
      <c r="K27" s="320"/>
      <c r="L27" s="320"/>
      <c r="M27" s="320"/>
      <c r="N27" s="321"/>
      <c r="O27" s="295">
        <f>SUM(O28:O31)</f>
        <v>0</v>
      </c>
      <c r="P27" s="295">
        <f>SUM(P28:P31)</f>
        <v>0</v>
      </c>
      <c r="Q27" s="8"/>
    </row>
    <row r="28" spans="1:16" ht="13.5" customHeight="1">
      <c r="A28" s="306" t="s">
        <v>224</v>
      </c>
      <c r="B28" s="382"/>
      <c r="C28" s="307"/>
      <c r="D28" s="307"/>
      <c r="E28" s="307"/>
      <c r="F28" s="363"/>
      <c r="G28" s="293">
        <v>478</v>
      </c>
      <c r="H28" s="296">
        <v>0</v>
      </c>
      <c r="I28" s="322" t="s">
        <v>233</v>
      </c>
      <c r="J28" s="323"/>
      <c r="K28" s="323"/>
      <c r="L28" s="323"/>
      <c r="M28" s="323"/>
      <c r="N28" s="384"/>
      <c r="O28" s="296">
        <v>0</v>
      </c>
      <c r="P28" s="296">
        <v>0</v>
      </c>
    </row>
    <row r="29" spans="1:16" ht="13.5" customHeight="1">
      <c r="A29" s="306" t="s">
        <v>225</v>
      </c>
      <c r="B29" s="382"/>
      <c r="C29" s="307"/>
      <c r="D29" s="307"/>
      <c r="E29" s="307"/>
      <c r="F29" s="363"/>
      <c r="G29" s="287">
        <v>0</v>
      </c>
      <c r="H29" s="289">
        <v>0</v>
      </c>
      <c r="I29" s="306" t="s">
        <v>234</v>
      </c>
      <c r="J29" s="307"/>
      <c r="K29" s="307"/>
      <c r="L29" s="307"/>
      <c r="M29" s="307"/>
      <c r="N29" s="382"/>
      <c r="O29" s="289">
        <v>0</v>
      </c>
      <c r="P29" s="289">
        <v>0</v>
      </c>
    </row>
    <row r="30" spans="1:16" ht="13.5" customHeight="1">
      <c r="A30" s="306" t="s">
        <v>37</v>
      </c>
      <c r="B30" s="382"/>
      <c r="C30" s="307"/>
      <c r="D30" s="307"/>
      <c r="E30" s="307"/>
      <c r="F30" s="363"/>
      <c r="G30" s="288">
        <v>0</v>
      </c>
      <c r="H30" s="289">
        <v>0</v>
      </c>
      <c r="I30" s="306" t="s">
        <v>37</v>
      </c>
      <c r="J30" s="307"/>
      <c r="K30" s="307"/>
      <c r="L30" s="307"/>
      <c r="M30" s="307"/>
      <c r="N30" s="382"/>
      <c r="O30" s="289">
        <v>0</v>
      </c>
      <c r="P30" s="289">
        <v>0</v>
      </c>
    </row>
    <row r="31" spans="1:16" ht="13.5" customHeight="1">
      <c r="A31" s="306" t="s">
        <v>38</v>
      </c>
      <c r="B31" s="382"/>
      <c r="C31" s="307"/>
      <c r="D31" s="307"/>
      <c r="E31" s="307"/>
      <c r="F31" s="363"/>
      <c r="G31" s="291">
        <v>2230</v>
      </c>
      <c r="H31" s="297">
        <v>0</v>
      </c>
      <c r="I31" s="313" t="s">
        <v>39</v>
      </c>
      <c r="J31" s="361"/>
      <c r="K31" s="361"/>
      <c r="L31" s="361"/>
      <c r="M31" s="361"/>
      <c r="N31" s="366"/>
      <c r="O31" s="297">
        <v>0</v>
      </c>
      <c r="P31" s="297">
        <v>0</v>
      </c>
    </row>
    <row r="32" spans="1:23" ht="20.25" customHeight="1">
      <c r="A32" s="319" t="s">
        <v>40</v>
      </c>
      <c r="B32" s="320"/>
      <c r="C32" s="320"/>
      <c r="D32" s="320"/>
      <c r="E32" s="320"/>
      <c r="F32" s="321"/>
      <c r="G32" s="284">
        <f>SUM(G33:G34)</f>
        <v>616545.17</v>
      </c>
      <c r="H32" s="295">
        <f>SUM(H33:H34)</f>
        <v>0</v>
      </c>
      <c r="I32" s="320" t="s">
        <v>41</v>
      </c>
      <c r="J32" s="320"/>
      <c r="K32" s="320"/>
      <c r="L32" s="320"/>
      <c r="M32" s="320"/>
      <c r="N32" s="321"/>
      <c r="O32" s="284">
        <f>O33</f>
        <v>644894.49</v>
      </c>
      <c r="P32" s="284">
        <f>SUM(P33:P34)</f>
        <v>610628.57</v>
      </c>
      <c r="Q32" s="2"/>
      <c r="S32" s="15"/>
      <c r="V32" s="24"/>
      <c r="W32" s="25"/>
    </row>
    <row r="33" spans="1:16" ht="19.5" customHeight="1">
      <c r="A33" s="322" t="s">
        <v>226</v>
      </c>
      <c r="B33" s="312"/>
      <c r="C33" s="312"/>
      <c r="D33" s="312"/>
      <c r="E33" s="312"/>
      <c r="F33" s="324"/>
      <c r="G33" s="287">
        <v>616545.17</v>
      </c>
      <c r="H33" s="288">
        <v>0</v>
      </c>
      <c r="I33" s="323" t="s">
        <v>226</v>
      </c>
      <c r="J33" s="312"/>
      <c r="K33" s="312"/>
      <c r="L33" s="312"/>
      <c r="M33" s="312"/>
      <c r="N33" s="324"/>
      <c r="O33" s="303">
        <v>644894.49</v>
      </c>
      <c r="P33" s="303">
        <v>610628.57</v>
      </c>
    </row>
    <row r="34" spans="1:23" ht="14.25" customHeight="1">
      <c r="A34" s="313" t="s">
        <v>37</v>
      </c>
      <c r="B34" s="361"/>
      <c r="C34" s="361"/>
      <c r="D34" s="361"/>
      <c r="E34" s="361"/>
      <c r="F34" s="362"/>
      <c r="G34" s="298" t="s">
        <v>235</v>
      </c>
      <c r="H34" s="299" t="s">
        <v>235</v>
      </c>
      <c r="I34" s="313" t="s">
        <v>37</v>
      </c>
      <c r="J34" s="361"/>
      <c r="K34" s="361"/>
      <c r="L34" s="361"/>
      <c r="M34" s="361"/>
      <c r="N34" s="366"/>
      <c r="O34" s="298" t="s">
        <v>235</v>
      </c>
      <c r="P34" s="304" t="s">
        <v>235</v>
      </c>
      <c r="Q34" s="94"/>
      <c r="R34" s="259"/>
      <c r="V34" s="7"/>
      <c r="W34" s="168"/>
    </row>
    <row r="35" spans="1:23" ht="13.5" customHeight="1">
      <c r="A35" s="319" t="s">
        <v>44</v>
      </c>
      <c r="B35" s="367"/>
      <c r="C35" s="367"/>
      <c r="D35" s="367"/>
      <c r="E35" s="367"/>
      <c r="F35" s="321"/>
      <c r="G35" s="300">
        <f>G8+G22+G27+G32</f>
        <v>650996.16</v>
      </c>
      <c r="H35" s="300">
        <f>H8+H22+H27+H32</f>
        <v>610628.57</v>
      </c>
      <c r="I35" s="320" t="s">
        <v>45</v>
      </c>
      <c r="J35" s="367"/>
      <c r="K35" s="367"/>
      <c r="L35" s="367"/>
      <c r="M35" s="367"/>
      <c r="N35" s="321"/>
      <c r="O35" s="300">
        <f>O8+O22+O27+O32</f>
        <v>650996.16</v>
      </c>
      <c r="P35" s="305">
        <f>P8+P22++P27+P32</f>
        <v>610628.57</v>
      </c>
      <c r="Q35" s="269"/>
      <c r="R35" s="235"/>
      <c r="V35" s="137"/>
      <c r="W35" s="137"/>
    </row>
    <row r="36" spans="1:14" s="137" customFormat="1" ht="13.5" customHeight="1">
      <c r="A36" s="236" t="s">
        <v>46</v>
      </c>
      <c r="B36" s="236"/>
      <c r="C36" s="236"/>
      <c r="D36" s="236"/>
      <c r="E36" s="237"/>
      <c r="F36" s="135"/>
      <c r="G36" s="135"/>
      <c r="I36" s="134"/>
      <c r="J36" s="134"/>
      <c r="K36" s="135"/>
      <c r="L36" s="135"/>
      <c r="M36" s="135"/>
      <c r="N36" s="136"/>
    </row>
    <row r="37" spans="1:16" s="137" customFormat="1" ht="14.25" customHeight="1">
      <c r="A37" s="261" t="s">
        <v>47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9"/>
      <c r="P37" s="216"/>
    </row>
    <row r="38" spans="1:17" s="137" customFormat="1" ht="14.25" customHeight="1">
      <c r="A38" s="406" t="s">
        <v>267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273"/>
      <c r="O38" s="275"/>
      <c r="P38" s="275"/>
      <c r="Q38" s="239"/>
    </row>
    <row r="39" spans="1:16" s="137" customFormat="1" ht="14.25" customHeight="1">
      <c r="A39" s="407" t="s">
        <v>261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273"/>
      <c r="O39" s="275"/>
      <c r="P39" s="275"/>
    </row>
    <row r="40" spans="1:16" s="137" customFormat="1" ht="14.25" customHeight="1">
      <c r="A40" s="264" t="s">
        <v>277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74"/>
      <c r="O40" s="275"/>
      <c r="P40" s="275"/>
    </row>
    <row r="41" spans="1:16" s="137" customFormat="1" ht="14.25" customHeight="1">
      <c r="A41" s="406" t="s">
        <v>283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</row>
    <row r="42" spans="1:16" s="137" customFormat="1" ht="14.25" customHeight="1">
      <c r="A42" s="406" t="s">
        <v>276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264"/>
    </row>
    <row r="43" spans="1:16" s="137" customFormat="1" ht="14.25" customHeight="1">
      <c r="A43" s="408" t="s">
        <v>278</v>
      </c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276"/>
      <c r="O43" s="277"/>
      <c r="P43" s="277"/>
    </row>
    <row r="44" spans="1:16" s="137" customFormat="1" ht="14.25" customHeight="1">
      <c r="A44" s="408" t="s">
        <v>279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265"/>
    </row>
    <row r="45" spans="1:16" s="137" customFormat="1" ht="14.25" customHeight="1">
      <c r="A45" s="408" t="s">
        <v>280</v>
      </c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</row>
    <row r="46" spans="1:16" s="137" customFormat="1" ht="14.25" customHeight="1">
      <c r="A46" s="408" t="s">
        <v>281</v>
      </c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</row>
    <row r="47" spans="1:16" s="137" customFormat="1" ht="14.25" customHeight="1">
      <c r="A47" s="408" t="s">
        <v>282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266"/>
      <c r="N47" s="266"/>
      <c r="O47" s="277"/>
      <c r="P47" s="278"/>
    </row>
    <row r="48" spans="1:16" s="137" customFormat="1" ht="14.25" customHeight="1">
      <c r="A48" s="411"/>
      <c r="B48" s="411"/>
      <c r="C48" s="411"/>
      <c r="D48" s="411"/>
      <c r="E48" s="411"/>
      <c r="F48" s="411"/>
      <c r="G48" s="411"/>
      <c r="H48" s="411"/>
      <c r="I48" s="411"/>
      <c r="J48" s="411"/>
      <c r="K48" s="265"/>
      <c r="L48" s="265"/>
      <c r="M48" s="266"/>
      <c r="N48" s="266"/>
      <c r="O48" s="277"/>
      <c r="P48" s="278"/>
    </row>
    <row r="49" spans="1:16" s="279" customFormat="1" ht="15" customHeight="1">
      <c r="A49" s="410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</row>
    <row r="50" spans="1:7" ht="15" customHeight="1">
      <c r="A50" s="280"/>
      <c r="B50" s="281"/>
      <c r="C50" s="282"/>
      <c r="D50" s="282"/>
      <c r="E50" s="282"/>
      <c r="F50" s="282"/>
      <c r="G50" s="283"/>
    </row>
    <row r="51" spans="1:16" ht="13.5" customHeight="1">
      <c r="A51" s="377"/>
      <c r="B51" s="377"/>
      <c r="C51" s="377"/>
      <c r="D51" s="377"/>
      <c r="E51" s="377"/>
      <c r="F51" s="154"/>
      <c r="G51" s="409" t="s">
        <v>269</v>
      </c>
      <c r="H51" s="409"/>
      <c r="I51" s="409"/>
      <c r="J51" s="409"/>
      <c r="K51" s="409"/>
      <c r="L51" s="27"/>
      <c r="M51" s="377" t="s">
        <v>241</v>
      </c>
      <c r="N51" s="377"/>
      <c r="O51" s="377"/>
      <c r="P51" s="377"/>
    </row>
    <row r="52" spans="1:16" ht="13.5" customHeight="1">
      <c r="A52" s="373"/>
      <c r="B52" s="373"/>
      <c r="C52" s="373"/>
      <c r="D52" s="373"/>
      <c r="E52" s="373"/>
      <c r="G52" s="373" t="s">
        <v>270</v>
      </c>
      <c r="H52" s="373"/>
      <c r="I52" s="373"/>
      <c r="J52" s="373"/>
      <c r="K52" s="373"/>
      <c r="L52" s="29"/>
      <c r="M52" s="378" t="s">
        <v>273</v>
      </c>
      <c r="N52" s="378"/>
      <c r="O52" s="378"/>
      <c r="P52" s="378"/>
    </row>
    <row r="53" spans="1:16" ht="13.5" customHeight="1">
      <c r="A53" s="372"/>
      <c r="B53" s="372"/>
      <c r="C53" s="372"/>
      <c r="D53" s="372"/>
      <c r="E53" s="372"/>
      <c r="G53" s="372" t="s">
        <v>271</v>
      </c>
      <c r="H53" s="372"/>
      <c r="I53" s="372"/>
      <c r="J53" s="372"/>
      <c r="K53" s="372"/>
      <c r="L53" s="153"/>
      <c r="M53" s="379" t="s">
        <v>242</v>
      </c>
      <c r="N53" s="379"/>
      <c r="O53" s="379"/>
      <c r="P53" s="379"/>
    </row>
    <row r="54" spans="1:16" ht="13.5" customHeight="1">
      <c r="A54" s="371"/>
      <c r="B54" s="371"/>
      <c r="C54" s="371"/>
      <c r="D54" s="371"/>
      <c r="E54" s="371"/>
      <c r="G54" s="372" t="s">
        <v>50</v>
      </c>
      <c r="H54" s="372"/>
      <c r="I54" s="372"/>
      <c r="J54" s="372"/>
      <c r="K54" s="372"/>
      <c r="L54" s="31"/>
      <c r="M54" s="372" t="s">
        <v>50</v>
      </c>
      <c r="N54" s="372"/>
      <c r="O54" s="372"/>
      <c r="P54" s="372"/>
    </row>
  </sheetData>
  <sheetProtection/>
  <mergeCells count="84">
    <mergeCell ref="A54:E54"/>
    <mergeCell ref="G54:K54"/>
    <mergeCell ref="M54:P54"/>
    <mergeCell ref="A52:E52"/>
    <mergeCell ref="G52:K52"/>
    <mergeCell ref="M52:P52"/>
    <mergeCell ref="M51:P51"/>
    <mergeCell ref="A44:O44"/>
    <mergeCell ref="A45:P45"/>
    <mergeCell ref="A46:P46"/>
    <mergeCell ref="A47:L47"/>
    <mergeCell ref="A49:P49"/>
    <mergeCell ref="A48:J48"/>
    <mergeCell ref="A35:F35"/>
    <mergeCell ref="I35:N35"/>
    <mergeCell ref="A53:E53"/>
    <mergeCell ref="G53:K53"/>
    <mergeCell ref="M53:P53"/>
    <mergeCell ref="A38:M38"/>
    <mergeCell ref="A39:M39"/>
    <mergeCell ref="A43:M43"/>
    <mergeCell ref="A51:E51"/>
    <mergeCell ref="G51:K51"/>
    <mergeCell ref="A32:F32"/>
    <mergeCell ref="I32:N32"/>
    <mergeCell ref="I33:N33"/>
    <mergeCell ref="A34:F34"/>
    <mergeCell ref="I34:N34"/>
    <mergeCell ref="I29:N29"/>
    <mergeCell ref="A30:F30"/>
    <mergeCell ref="I30:N30"/>
    <mergeCell ref="A31:F31"/>
    <mergeCell ref="I31:N31"/>
    <mergeCell ref="A26:F26"/>
    <mergeCell ref="I26:N26"/>
    <mergeCell ref="A41:P41"/>
    <mergeCell ref="A42:O42"/>
    <mergeCell ref="A33:F33"/>
    <mergeCell ref="A27:F27"/>
    <mergeCell ref="I27:N27"/>
    <mergeCell ref="A28:F28"/>
    <mergeCell ref="I28:N28"/>
    <mergeCell ref="A29:F29"/>
    <mergeCell ref="A24:F24"/>
    <mergeCell ref="I24:N24"/>
    <mergeCell ref="A25:F25"/>
    <mergeCell ref="I25:N25"/>
    <mergeCell ref="A22:F22"/>
    <mergeCell ref="I22:N22"/>
    <mergeCell ref="A23:F23"/>
    <mergeCell ref="I23:N23"/>
    <mergeCell ref="A20:F20"/>
    <mergeCell ref="I20:N20"/>
    <mergeCell ref="A21:F21"/>
    <mergeCell ref="I21:N21"/>
    <mergeCell ref="A18:F18"/>
    <mergeCell ref="I18:N18"/>
    <mergeCell ref="A19:F19"/>
    <mergeCell ref="I19:N19"/>
    <mergeCell ref="A16:F16"/>
    <mergeCell ref="I16:N16"/>
    <mergeCell ref="A17:F17"/>
    <mergeCell ref="I17:N17"/>
    <mergeCell ref="A14:F14"/>
    <mergeCell ref="I14:N14"/>
    <mergeCell ref="A15:F15"/>
    <mergeCell ref="I15:N15"/>
    <mergeCell ref="A11:F11"/>
    <mergeCell ref="I11:N11"/>
    <mergeCell ref="A12:F12"/>
    <mergeCell ref="I12:N12"/>
    <mergeCell ref="A9:F9"/>
    <mergeCell ref="I9:N9"/>
    <mergeCell ref="A10:F10"/>
    <mergeCell ref="I10:N10"/>
    <mergeCell ref="A7:F7"/>
    <mergeCell ref="I7:N7"/>
    <mergeCell ref="A8:F8"/>
    <mergeCell ref="I8:N8"/>
    <mergeCell ref="A1:P1"/>
    <mergeCell ref="A2:P2"/>
    <mergeCell ref="A3:P3"/>
    <mergeCell ref="A6:G6"/>
    <mergeCell ref="I6:P6"/>
  </mergeCells>
  <printOptions horizontalCentered="1"/>
  <pageMargins left="0.3" right="0.5118110236220472" top="0.3937007874015748" bottom="0.1968503937007874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A1:P79"/>
  <sheetViews>
    <sheetView zoomScale="120" zoomScaleNormal="120" zoomScalePageLayoutView="0" workbookViewId="0" topLeftCell="E1">
      <pane ySplit="8" topLeftCell="BM67" activePane="bottomLeft" state="frozen"/>
      <selection pane="topLeft" activeCell="A6" sqref="A6:D6"/>
      <selection pane="bottomLeft" activeCell="F6" sqref="F6"/>
    </sheetView>
  </sheetViews>
  <sheetFormatPr defaultColWidth="9.140625" defaultRowHeight="12.75"/>
  <cols>
    <col min="1" max="1" width="49.140625" style="35" bestFit="1" customWidth="1"/>
    <col min="2" max="5" width="18.00390625" style="35" customWidth="1"/>
    <col min="6" max="6" width="22.140625" style="35" bestFit="1" customWidth="1"/>
    <col min="7" max="7" width="24.00390625" style="35" bestFit="1" customWidth="1"/>
    <col min="8" max="8" width="9.140625" style="35" customWidth="1"/>
    <col min="9" max="9" width="15.00390625" style="172" bestFit="1" customWidth="1"/>
    <col min="10" max="16384" width="9.140625" style="35" customWidth="1"/>
  </cols>
  <sheetData>
    <row r="1" spans="1:4" ht="14.25">
      <c r="A1" s="234"/>
      <c r="D1" s="103"/>
    </row>
    <row r="2" spans="1:7" ht="15.75">
      <c r="A2" s="424" t="s">
        <v>240</v>
      </c>
      <c r="B2" s="424"/>
      <c r="C2" s="424"/>
      <c r="D2" s="424"/>
      <c r="E2" s="424"/>
      <c r="F2" s="424"/>
      <c r="G2" s="424"/>
    </row>
    <row r="3" spans="1:7" ht="15.75">
      <c r="A3" s="424" t="s">
        <v>154</v>
      </c>
      <c r="B3" s="424"/>
      <c r="C3" s="424"/>
      <c r="D3" s="424"/>
      <c r="E3" s="424"/>
      <c r="F3" s="424"/>
      <c r="G3" s="424"/>
    </row>
    <row r="4" spans="1:7" ht="15.75">
      <c r="A4" s="424" t="s">
        <v>155</v>
      </c>
      <c r="B4" s="424"/>
      <c r="C4" s="424"/>
      <c r="D4" s="424"/>
      <c r="E4" s="424"/>
      <c r="F4" s="424"/>
      <c r="G4" s="424"/>
    </row>
    <row r="5" spans="1:7" ht="15.75">
      <c r="A5" s="424" t="s">
        <v>285</v>
      </c>
      <c r="B5" s="424"/>
      <c r="C5" s="424"/>
      <c r="D5" s="424"/>
      <c r="E5" s="424"/>
      <c r="F5" s="424"/>
      <c r="G5" s="424"/>
    </row>
    <row r="6" spans="1:5" ht="15">
      <c r="A6" s="34"/>
      <c r="B6" s="34"/>
      <c r="C6" s="34"/>
      <c r="D6" s="34"/>
      <c r="E6" s="34"/>
    </row>
    <row r="7" spans="1:7" ht="14.25">
      <c r="A7" s="175" t="s">
        <v>51</v>
      </c>
      <c r="B7" s="430" t="s">
        <v>156</v>
      </c>
      <c r="C7" s="430"/>
      <c r="D7" s="430" t="s">
        <v>157</v>
      </c>
      <c r="E7" s="430"/>
      <c r="F7" s="176" t="s">
        <v>158</v>
      </c>
      <c r="G7" s="176" t="s">
        <v>159</v>
      </c>
    </row>
    <row r="8" spans="1:7" ht="14.25">
      <c r="A8" s="177" t="s">
        <v>52</v>
      </c>
      <c r="B8" s="431">
        <f>SUM(B9:B16)</f>
        <v>600000</v>
      </c>
      <c r="C8" s="431"/>
      <c r="D8" s="431">
        <f>SUM(D9:D16)</f>
        <v>600000</v>
      </c>
      <c r="E8" s="431"/>
      <c r="F8" s="36">
        <f>SUM(F9:F15)</f>
        <v>31742.989999999998</v>
      </c>
      <c r="G8" s="36">
        <f>F8-D8</f>
        <v>-568257.01</v>
      </c>
    </row>
    <row r="9" spans="1:7" ht="14.25">
      <c r="A9" s="49" t="s">
        <v>53</v>
      </c>
      <c r="B9" s="412"/>
      <c r="C9" s="413"/>
      <c r="D9" s="412"/>
      <c r="E9" s="413"/>
      <c r="F9" s="37"/>
      <c r="G9" s="37">
        <f aca="true" t="shared" si="0" ref="G9:G22">F9-D9</f>
        <v>0</v>
      </c>
    </row>
    <row r="10" spans="1:9" ht="14.25">
      <c r="A10" s="49" t="s">
        <v>54</v>
      </c>
      <c r="B10" s="428"/>
      <c r="C10" s="429"/>
      <c r="D10" s="412"/>
      <c r="E10" s="413"/>
      <c r="F10" s="37"/>
      <c r="G10" s="37">
        <f t="shared" si="0"/>
        <v>0</v>
      </c>
      <c r="I10" s="248"/>
    </row>
    <row r="11" spans="1:14" ht="14.25">
      <c r="A11" s="178" t="s">
        <v>160</v>
      </c>
      <c r="B11" s="428"/>
      <c r="C11" s="429"/>
      <c r="D11" s="412">
        <f>$B$11</f>
        <v>0</v>
      </c>
      <c r="E11" s="413"/>
      <c r="F11" s="242">
        <f>'Balancete Financeiro'!G8</f>
        <v>31742.989999999998</v>
      </c>
      <c r="G11" s="37">
        <f>F11-D11</f>
        <v>31742.989999999998</v>
      </c>
      <c r="I11" s="244"/>
      <c r="J11" s="245"/>
      <c r="K11" s="245"/>
      <c r="L11" s="245"/>
      <c r="M11" s="245"/>
      <c r="N11" s="245"/>
    </row>
    <row r="12" spans="1:14" ht="14.25">
      <c r="A12" s="49" t="s">
        <v>55</v>
      </c>
      <c r="B12" s="428"/>
      <c r="C12" s="429"/>
      <c r="D12" s="412">
        <f>B12</f>
        <v>0</v>
      </c>
      <c r="E12" s="413"/>
      <c r="F12" s="37"/>
      <c r="G12" s="37">
        <f t="shared" si="0"/>
        <v>0</v>
      </c>
      <c r="I12" s="244"/>
      <c r="J12" s="245"/>
      <c r="K12" s="245"/>
      <c r="L12" s="245"/>
      <c r="M12" s="245"/>
      <c r="N12" s="245"/>
    </row>
    <row r="13" spans="1:13" ht="14.25">
      <c r="A13" s="178" t="s">
        <v>161</v>
      </c>
      <c r="B13" s="412"/>
      <c r="C13" s="413"/>
      <c r="D13" s="412">
        <f>B13</f>
        <v>0</v>
      </c>
      <c r="E13" s="413"/>
      <c r="F13" s="37"/>
      <c r="G13" s="37">
        <f t="shared" si="0"/>
        <v>0</v>
      </c>
      <c r="I13" s="244"/>
      <c r="J13" s="245"/>
      <c r="K13" s="245"/>
      <c r="L13" s="245"/>
      <c r="M13" s="245"/>
    </row>
    <row r="14" spans="1:7" ht="14.25">
      <c r="A14" s="49" t="s">
        <v>56</v>
      </c>
      <c r="B14" s="412"/>
      <c r="C14" s="413"/>
      <c r="D14" s="412">
        <f>B14</f>
        <v>0</v>
      </c>
      <c r="E14" s="413"/>
      <c r="F14" s="37"/>
      <c r="G14" s="37">
        <f t="shared" si="0"/>
        <v>0</v>
      </c>
    </row>
    <row r="15" spans="1:7" ht="14.25">
      <c r="A15" s="49" t="s">
        <v>57</v>
      </c>
      <c r="B15" s="412">
        <v>550000</v>
      </c>
      <c r="C15" s="413"/>
      <c r="D15" s="412">
        <f>B15</f>
        <v>550000</v>
      </c>
      <c r="E15" s="413"/>
      <c r="F15" s="242">
        <f>'Balancete Financeiro'!G19</f>
        <v>0</v>
      </c>
      <c r="G15" s="37">
        <f>F15-D15</f>
        <v>-550000</v>
      </c>
    </row>
    <row r="16" spans="1:7" ht="14.25">
      <c r="A16" s="49" t="s">
        <v>58</v>
      </c>
      <c r="B16" s="428">
        <v>50000</v>
      </c>
      <c r="C16" s="429"/>
      <c r="D16" s="412">
        <f>$B$16</f>
        <v>50000</v>
      </c>
      <c r="E16" s="413"/>
      <c r="G16" s="37">
        <f>F17-D16</f>
        <v>-50000</v>
      </c>
    </row>
    <row r="17" spans="1:7" ht="14.25">
      <c r="A17" s="175" t="s">
        <v>162</v>
      </c>
      <c r="B17" s="432">
        <f>SUM(B18:B22)</f>
        <v>0</v>
      </c>
      <c r="C17" s="432"/>
      <c r="D17" s="432">
        <f>SUM(D18:D22)</f>
        <v>0</v>
      </c>
      <c r="E17" s="432"/>
      <c r="F17" s="38">
        <f>SUM(F18:F22)</f>
        <v>0</v>
      </c>
      <c r="G17" s="38">
        <f t="shared" si="0"/>
        <v>0</v>
      </c>
    </row>
    <row r="18" spans="1:7" ht="14.25">
      <c r="A18" s="49" t="s">
        <v>59</v>
      </c>
      <c r="B18" s="412"/>
      <c r="C18" s="413"/>
      <c r="D18" s="412"/>
      <c r="E18" s="413"/>
      <c r="F18" s="39"/>
      <c r="G18" s="37">
        <f t="shared" si="0"/>
        <v>0</v>
      </c>
    </row>
    <row r="19" spans="1:7" ht="14.25">
      <c r="A19" s="178" t="s">
        <v>163</v>
      </c>
      <c r="B19" s="412"/>
      <c r="C19" s="413"/>
      <c r="D19" s="412"/>
      <c r="E19" s="413"/>
      <c r="F19" s="39"/>
      <c r="G19" s="37">
        <f t="shared" si="0"/>
        <v>0</v>
      </c>
    </row>
    <row r="20" spans="1:7" ht="14.25">
      <c r="A20" s="49" t="s">
        <v>60</v>
      </c>
      <c r="B20" s="412"/>
      <c r="C20" s="413"/>
      <c r="D20" s="412"/>
      <c r="E20" s="413"/>
      <c r="F20" s="39"/>
      <c r="G20" s="37">
        <f t="shared" si="0"/>
        <v>0</v>
      </c>
    </row>
    <row r="21" spans="1:7" ht="14.25">
      <c r="A21" s="178" t="s">
        <v>164</v>
      </c>
      <c r="B21" s="412"/>
      <c r="C21" s="413"/>
      <c r="D21" s="412"/>
      <c r="E21" s="413"/>
      <c r="F21" s="39"/>
      <c r="G21" s="37">
        <f t="shared" si="0"/>
        <v>0</v>
      </c>
    </row>
    <row r="22" spans="1:7" ht="14.25">
      <c r="A22" s="178" t="s">
        <v>165</v>
      </c>
      <c r="B22" s="412"/>
      <c r="C22" s="413"/>
      <c r="D22" s="412"/>
      <c r="E22" s="413"/>
      <c r="F22" s="39"/>
      <c r="G22" s="37">
        <f t="shared" si="0"/>
        <v>0</v>
      </c>
    </row>
    <row r="23" spans="1:7" ht="14.25" hidden="1">
      <c r="A23" s="179" t="s">
        <v>61</v>
      </c>
      <c r="B23" s="416"/>
      <c r="C23" s="416"/>
      <c r="D23" s="416"/>
      <c r="E23" s="416"/>
      <c r="F23" s="40"/>
      <c r="G23" s="40"/>
    </row>
    <row r="24" spans="1:9" s="41" customFormat="1" ht="14.25">
      <c r="A24" s="175" t="s">
        <v>243</v>
      </c>
      <c r="B24" s="418">
        <f>B8+B17+B23</f>
        <v>600000</v>
      </c>
      <c r="C24" s="418"/>
      <c r="D24" s="418">
        <f>D8+D17+D23</f>
        <v>600000</v>
      </c>
      <c r="E24" s="418"/>
      <c r="F24" s="43">
        <f>F8+F17+F23</f>
        <v>31742.989999999998</v>
      </c>
      <c r="G24" s="43">
        <f>F24-D24</f>
        <v>-568257.01</v>
      </c>
      <c r="I24" s="186"/>
    </row>
    <row r="25" spans="1:7" ht="14.25">
      <c r="A25" s="177" t="s">
        <v>244</v>
      </c>
      <c r="B25" s="427">
        <f>SUM(B26:B31)</f>
        <v>0</v>
      </c>
      <c r="C25" s="427"/>
      <c r="D25" s="427">
        <f>SUM(D26:D31)</f>
        <v>0</v>
      </c>
      <c r="E25" s="427"/>
      <c r="F25" s="42">
        <f>SUM(F26:F31)</f>
        <v>0</v>
      </c>
      <c r="G25" s="42">
        <f>F25-D25</f>
        <v>0</v>
      </c>
    </row>
    <row r="26" spans="1:7" ht="14.25">
      <c r="A26" s="49" t="s">
        <v>62</v>
      </c>
      <c r="B26" s="414"/>
      <c r="C26" s="415"/>
      <c r="D26" s="412"/>
      <c r="E26" s="413"/>
      <c r="F26" s="39"/>
      <c r="G26" s="39"/>
    </row>
    <row r="27" spans="1:7" ht="14.25">
      <c r="A27" s="178" t="s">
        <v>166</v>
      </c>
      <c r="B27" s="412"/>
      <c r="C27" s="413"/>
      <c r="D27" s="412"/>
      <c r="E27" s="413"/>
      <c r="F27" s="39"/>
      <c r="G27" s="39"/>
    </row>
    <row r="28" spans="1:7" ht="14.25">
      <c r="A28" s="178" t="s">
        <v>167</v>
      </c>
      <c r="B28" s="412"/>
      <c r="C28" s="413"/>
      <c r="D28" s="412"/>
      <c r="E28" s="413"/>
      <c r="F28" s="39"/>
      <c r="G28" s="39"/>
    </row>
    <row r="29" spans="1:7" ht="14.25">
      <c r="A29" s="49" t="s">
        <v>63</v>
      </c>
      <c r="B29" s="412"/>
      <c r="C29" s="413"/>
      <c r="D29" s="412"/>
      <c r="E29" s="413"/>
      <c r="F29" s="39"/>
      <c r="G29" s="39"/>
    </row>
    <row r="30" spans="1:7" ht="14.25">
      <c r="A30" s="178" t="s">
        <v>166</v>
      </c>
      <c r="B30" s="412"/>
      <c r="C30" s="413"/>
      <c r="D30" s="412"/>
      <c r="E30" s="413"/>
      <c r="F30" s="39"/>
      <c r="G30" s="39"/>
    </row>
    <row r="31" spans="1:7" ht="14.25">
      <c r="A31" s="178" t="s">
        <v>167</v>
      </c>
      <c r="B31" s="412"/>
      <c r="C31" s="413"/>
      <c r="D31" s="412"/>
      <c r="E31" s="413"/>
      <c r="F31" s="39"/>
      <c r="G31" s="39"/>
    </row>
    <row r="32" spans="1:7" ht="14.25">
      <c r="A32" s="175" t="s">
        <v>245</v>
      </c>
      <c r="B32" s="418">
        <f>B25+B24</f>
        <v>600000</v>
      </c>
      <c r="C32" s="418"/>
      <c r="D32" s="418">
        <f>D25+D24</f>
        <v>600000</v>
      </c>
      <c r="E32" s="418"/>
      <c r="F32" s="43">
        <f>F25+F24</f>
        <v>31742.989999999998</v>
      </c>
      <c r="G32" s="43">
        <f>F32-D32</f>
        <v>-568257.01</v>
      </c>
    </row>
    <row r="33" spans="1:8" ht="14.25">
      <c r="A33" s="179" t="s">
        <v>246</v>
      </c>
      <c r="B33" s="417">
        <f>IF(B32&gt;B60,0,B60-B32)</f>
        <v>10000</v>
      </c>
      <c r="C33" s="417"/>
      <c r="D33" s="417">
        <f>IF(D32&gt;C60,0,C60-D32)</f>
        <v>11184.319999999949</v>
      </c>
      <c r="E33" s="417"/>
      <c r="F33" s="174">
        <f>IF(F32&gt;D60,0,D60-F32)</f>
        <v>0</v>
      </c>
      <c r="G33" s="174">
        <f>+F33-D33</f>
        <v>-11184.319999999949</v>
      </c>
      <c r="H33" s="245"/>
    </row>
    <row r="34" spans="1:9" s="41" customFormat="1" ht="14.25">
      <c r="A34" s="175" t="s">
        <v>247</v>
      </c>
      <c r="B34" s="418">
        <f>B32+B33</f>
        <v>610000</v>
      </c>
      <c r="C34" s="418"/>
      <c r="D34" s="418">
        <f>D32+D33</f>
        <v>611184.32</v>
      </c>
      <c r="E34" s="418"/>
      <c r="F34" s="43">
        <f>F32+F33</f>
        <v>31742.989999999998</v>
      </c>
      <c r="G34" s="43">
        <f>F34-D34</f>
        <v>-579441.33</v>
      </c>
      <c r="I34" s="186"/>
    </row>
    <row r="35" spans="1:7" ht="14.25">
      <c r="A35" s="254" t="s">
        <v>168</v>
      </c>
      <c r="B35" s="425">
        <f>SUM(B37:C38)</f>
        <v>0</v>
      </c>
      <c r="C35" s="426"/>
      <c r="D35" s="425">
        <f>SUM(D37:E38)</f>
        <v>0</v>
      </c>
      <c r="E35" s="426"/>
      <c r="F35" s="255">
        <f>SUM(F37:F38)</f>
        <v>0</v>
      </c>
      <c r="G35" s="255">
        <f>SUM(G37:G38)</f>
        <v>0</v>
      </c>
    </row>
    <row r="36" spans="1:7" ht="14.25">
      <c r="A36" s="249" t="s">
        <v>248</v>
      </c>
      <c r="B36" s="250"/>
      <c r="C36" s="253"/>
      <c r="D36" s="250"/>
      <c r="E36" s="251"/>
      <c r="F36" s="252"/>
      <c r="G36" s="252"/>
    </row>
    <row r="37" spans="1:7" ht="14.25">
      <c r="A37" s="180" t="s">
        <v>198</v>
      </c>
      <c r="B37" s="419"/>
      <c r="C37" s="419"/>
      <c r="D37" s="419"/>
      <c r="E37" s="419"/>
      <c r="F37" s="45"/>
      <c r="G37" s="45"/>
    </row>
    <row r="38" spans="1:7" ht="14.25">
      <c r="A38" s="181" t="s">
        <v>64</v>
      </c>
      <c r="B38" s="422"/>
      <c r="C38" s="422"/>
      <c r="D38" s="422"/>
      <c r="E38" s="422"/>
      <c r="F38" s="182"/>
      <c r="G38" s="182"/>
    </row>
    <row r="39" spans="1:5" ht="14.25">
      <c r="A39" s="46"/>
      <c r="B39" s="47"/>
      <c r="C39" s="47"/>
      <c r="D39" s="47"/>
      <c r="E39" s="47"/>
    </row>
    <row r="41" spans="1:9" s="48" customFormat="1" ht="28.5">
      <c r="A41" s="184" t="s">
        <v>65</v>
      </c>
      <c r="B41" s="184" t="s">
        <v>169</v>
      </c>
      <c r="C41" s="184" t="s">
        <v>170</v>
      </c>
      <c r="D41" s="184" t="s">
        <v>66</v>
      </c>
      <c r="E41" s="184" t="s">
        <v>171</v>
      </c>
      <c r="F41" s="184" t="s">
        <v>67</v>
      </c>
      <c r="G41" s="184" t="s">
        <v>172</v>
      </c>
      <c r="I41" s="187"/>
    </row>
    <row r="42" spans="1:7" ht="14.25">
      <c r="A42" s="177" t="s">
        <v>249</v>
      </c>
      <c r="B42" s="183">
        <f>SUM(B43:B45)</f>
        <v>605000</v>
      </c>
      <c r="C42" s="183">
        <f>SUM(C43:C45)</f>
        <v>605000</v>
      </c>
      <c r="D42" s="183">
        <f>SUM(D43:D45)</f>
        <v>0</v>
      </c>
      <c r="E42" s="183">
        <f>SUM(E43:E45)</f>
        <v>0</v>
      </c>
      <c r="F42" s="183">
        <f>SUM(F43:F45)</f>
        <v>0</v>
      </c>
      <c r="G42" s="183">
        <f>C42-D42</f>
        <v>605000</v>
      </c>
    </row>
    <row r="43" spans="1:7" ht="14.25">
      <c r="A43" s="178" t="s">
        <v>68</v>
      </c>
      <c r="B43" s="49"/>
      <c r="C43" s="49"/>
      <c r="D43" s="49"/>
      <c r="E43" s="49"/>
      <c r="F43" s="49"/>
      <c r="G43" s="49"/>
    </row>
    <row r="44" spans="1:7" ht="14.25">
      <c r="A44" s="49" t="s">
        <v>69</v>
      </c>
      <c r="B44" s="49"/>
      <c r="C44" s="49"/>
      <c r="D44" s="49"/>
      <c r="E44" s="49"/>
      <c r="F44" s="49"/>
      <c r="G44" s="49"/>
    </row>
    <row r="45" spans="1:7" ht="14.25">
      <c r="A45" s="49" t="s">
        <v>70</v>
      </c>
      <c r="B45" s="128">
        <v>605000</v>
      </c>
      <c r="C45" s="243">
        <v>605000</v>
      </c>
      <c r="D45" s="128">
        <v>0</v>
      </c>
      <c r="E45" s="128">
        <v>0</v>
      </c>
      <c r="F45" s="128"/>
      <c r="G45" s="185">
        <f>C45-D45</f>
        <v>605000</v>
      </c>
    </row>
    <row r="46" spans="1:7" ht="14.25">
      <c r="A46" s="175" t="s">
        <v>250</v>
      </c>
      <c r="B46" s="50">
        <f>SUM(B47:B49)</f>
        <v>5000</v>
      </c>
      <c r="C46" s="50">
        <f>SUM(C47:C49)</f>
        <v>6184.32</v>
      </c>
      <c r="D46" s="50">
        <f>SUM(D47:D49)</f>
        <v>3191.99</v>
      </c>
      <c r="E46" s="50">
        <f>SUM(E47:E49)</f>
        <v>2713.99</v>
      </c>
      <c r="F46" s="50">
        <f>SUM(F47:F49)</f>
        <v>2713.99</v>
      </c>
      <c r="G46" s="52">
        <f>C46-D46</f>
        <v>2992.33</v>
      </c>
    </row>
    <row r="47" spans="1:7" ht="14.25">
      <c r="A47" s="49" t="s">
        <v>71</v>
      </c>
      <c r="B47" s="128">
        <v>5000</v>
      </c>
      <c r="C47" s="129">
        <v>6184.32</v>
      </c>
      <c r="D47" s="128">
        <v>3191.99</v>
      </c>
      <c r="E47" s="128">
        <v>2713.99</v>
      </c>
      <c r="F47" s="128">
        <v>2713.99</v>
      </c>
      <c r="G47" s="185">
        <f>C47-D47</f>
        <v>2992.33</v>
      </c>
    </row>
    <row r="48" spans="1:7" ht="14.25">
      <c r="A48" s="49" t="s">
        <v>72</v>
      </c>
      <c r="B48" s="49"/>
      <c r="C48" s="49"/>
      <c r="D48" s="49"/>
      <c r="E48" s="49"/>
      <c r="F48" s="49"/>
      <c r="G48" s="49"/>
    </row>
    <row r="49" spans="1:7" ht="14.25">
      <c r="A49" s="49" t="s">
        <v>73</v>
      </c>
      <c r="B49" s="49"/>
      <c r="C49" s="49"/>
      <c r="D49" s="49"/>
      <c r="E49" s="49"/>
      <c r="F49" s="49"/>
      <c r="G49" s="49"/>
    </row>
    <row r="50" spans="1:7" ht="14.25">
      <c r="A50" s="51" t="s">
        <v>251</v>
      </c>
      <c r="B50" s="51"/>
      <c r="C50" s="51"/>
      <c r="D50" s="51"/>
      <c r="E50" s="51"/>
      <c r="F50" s="51"/>
      <c r="G50" s="51"/>
    </row>
    <row r="51" spans="1:7" ht="14.25" hidden="1">
      <c r="A51" s="51"/>
      <c r="B51" s="51"/>
      <c r="C51" s="51"/>
      <c r="D51" s="51"/>
      <c r="E51" s="51"/>
      <c r="F51" s="51"/>
      <c r="G51" s="51"/>
    </row>
    <row r="52" spans="1:7" ht="14.25">
      <c r="A52" s="175" t="s">
        <v>257</v>
      </c>
      <c r="B52" s="52">
        <f>B42+B46+B50+B51</f>
        <v>610000</v>
      </c>
      <c r="C52" s="52">
        <f>C42+C46+C50+C51</f>
        <v>611184.32</v>
      </c>
      <c r="D52" s="52">
        <f>D42+D46+D50+D51</f>
        <v>3191.99</v>
      </c>
      <c r="E52" s="52">
        <f>E42+E46+E50+E51</f>
        <v>2713.99</v>
      </c>
      <c r="F52" s="52">
        <f>F42+F46+F50+F51</f>
        <v>2713.99</v>
      </c>
      <c r="G52" s="52">
        <f>C52-D52</f>
        <v>607992.33</v>
      </c>
    </row>
    <row r="53" spans="1:7" ht="14.25">
      <c r="A53" s="177" t="s">
        <v>252</v>
      </c>
      <c r="B53" s="44">
        <f>SUM(B54:B59)</f>
        <v>0</v>
      </c>
      <c r="C53" s="44">
        <f>SUM(C54:C59)</f>
        <v>0</v>
      </c>
      <c r="D53" s="44">
        <f>SUM(D54:D59)</f>
        <v>0</v>
      </c>
      <c r="E53" s="44">
        <f>SUM(E54:E59)</f>
        <v>0</v>
      </c>
      <c r="F53" s="44">
        <f>SUM(F54:F59)</f>
        <v>0</v>
      </c>
      <c r="G53" s="44">
        <f>(C53-D53)</f>
        <v>0</v>
      </c>
    </row>
    <row r="54" spans="1:7" ht="14.25">
      <c r="A54" s="49" t="s">
        <v>74</v>
      </c>
      <c r="B54" s="49"/>
      <c r="C54" s="49"/>
      <c r="D54" s="49"/>
      <c r="E54" s="49"/>
      <c r="F54" s="49"/>
      <c r="G54" s="49"/>
    </row>
    <row r="55" spans="1:7" ht="14.25">
      <c r="A55" s="178" t="s">
        <v>173</v>
      </c>
      <c r="B55" s="49"/>
      <c r="C55" s="49"/>
      <c r="D55" s="49"/>
      <c r="E55" s="49"/>
      <c r="F55" s="49"/>
      <c r="G55" s="49"/>
    </row>
    <row r="56" spans="1:7" ht="14.25">
      <c r="A56" s="49" t="s">
        <v>75</v>
      </c>
      <c r="B56" s="49"/>
      <c r="C56" s="49"/>
      <c r="D56" s="49"/>
      <c r="E56" s="49"/>
      <c r="F56" s="49"/>
      <c r="G56" s="49"/>
    </row>
    <row r="57" spans="1:7" ht="14.25">
      <c r="A57" s="49" t="s">
        <v>76</v>
      </c>
      <c r="B57" s="49"/>
      <c r="C57" s="49"/>
      <c r="D57" s="49"/>
      <c r="E57" s="49"/>
      <c r="F57" s="49"/>
      <c r="G57" s="49"/>
    </row>
    <row r="58" spans="1:7" ht="14.25">
      <c r="A58" s="178" t="s">
        <v>174</v>
      </c>
      <c r="B58" s="49"/>
      <c r="C58" s="49"/>
      <c r="D58" s="49"/>
      <c r="E58" s="49"/>
      <c r="F58" s="49"/>
      <c r="G58" s="49"/>
    </row>
    <row r="59" spans="1:7" ht="14.25">
      <c r="A59" s="49" t="s">
        <v>75</v>
      </c>
      <c r="B59" s="49"/>
      <c r="C59" s="49"/>
      <c r="D59" s="49"/>
      <c r="E59" s="49"/>
      <c r="F59" s="49"/>
      <c r="G59" s="49"/>
    </row>
    <row r="60" spans="1:7" ht="14.25">
      <c r="A60" s="175" t="s">
        <v>253</v>
      </c>
      <c r="B60" s="52">
        <f>(B52+B53)</f>
        <v>610000</v>
      </c>
      <c r="C60" s="52">
        <f>(C52+C53)</f>
        <v>611184.32</v>
      </c>
      <c r="D60" s="52">
        <f>(D52+D53)</f>
        <v>3191.99</v>
      </c>
      <c r="E60" s="52">
        <f>(E52+E53)</f>
        <v>2713.99</v>
      </c>
      <c r="F60" s="52">
        <f>(F52+F53)</f>
        <v>2713.99</v>
      </c>
      <c r="G60" s="50">
        <f>(C60-D60)</f>
        <v>607992.33</v>
      </c>
    </row>
    <row r="61" spans="1:7" ht="14.25">
      <c r="A61" s="175" t="s">
        <v>254</v>
      </c>
      <c r="B61" s="50">
        <f>IF(B32&gt;B60,B32-B60,0)</f>
        <v>0</v>
      </c>
      <c r="C61" s="50">
        <f>IF(D32&gt;C60,D32-C60,0)</f>
        <v>0</v>
      </c>
      <c r="D61" s="50">
        <f>IF(F32&gt;D60,F32-D60,0)</f>
        <v>28551</v>
      </c>
      <c r="E61" s="50">
        <f>IF(E32&gt;E60,E32-E60,0)</f>
        <v>0</v>
      </c>
      <c r="F61" s="50">
        <v>0</v>
      </c>
      <c r="G61" s="43">
        <f>+C61-D61</f>
        <v>-28551</v>
      </c>
    </row>
    <row r="62" spans="1:7" ht="14.25">
      <c r="A62" s="175" t="s">
        <v>255</v>
      </c>
      <c r="B62" s="52">
        <f>B60+B61</f>
        <v>610000</v>
      </c>
      <c r="C62" s="52">
        <f>C60+C61</f>
        <v>611184.32</v>
      </c>
      <c r="D62" s="52">
        <f>D60+D61</f>
        <v>31742.989999999998</v>
      </c>
      <c r="E62" s="52">
        <f>E60+E61</f>
        <v>2713.99</v>
      </c>
      <c r="F62" s="52">
        <f>F60+F61</f>
        <v>2713.99</v>
      </c>
      <c r="G62" s="50">
        <f>(C62-D62)</f>
        <v>579441.33</v>
      </c>
    </row>
    <row r="63" spans="1:7" ht="14.25">
      <c r="A63" s="256" t="s">
        <v>256</v>
      </c>
      <c r="B63" s="52"/>
      <c r="C63" s="52"/>
      <c r="D63" s="52"/>
      <c r="E63" s="52"/>
      <c r="F63" s="52"/>
      <c r="G63" s="50"/>
    </row>
    <row r="64" spans="1:16" s="137" customFormat="1" ht="17.25" customHeight="1">
      <c r="A64" s="238" t="s">
        <v>263</v>
      </c>
      <c r="B64" s="138"/>
      <c r="C64" s="138"/>
      <c r="D64" s="138"/>
      <c r="E64" s="138"/>
      <c r="F64" s="138"/>
      <c r="G64" s="138"/>
      <c r="H64" s="138"/>
      <c r="I64" s="188"/>
      <c r="J64" s="138"/>
      <c r="K64" s="138"/>
      <c r="L64" s="138"/>
      <c r="M64" s="138"/>
      <c r="N64" s="141"/>
      <c r="P64" s="140"/>
    </row>
    <row r="65" spans="1:16" s="137" customFormat="1" ht="11.25" customHeight="1">
      <c r="A65" s="267" t="s">
        <v>47</v>
      </c>
      <c r="B65" s="138"/>
      <c r="C65" s="138"/>
      <c r="D65" s="138"/>
      <c r="E65" s="138"/>
      <c r="F65" s="138"/>
      <c r="G65" s="138"/>
      <c r="H65" s="138"/>
      <c r="I65" s="188"/>
      <c r="J65" s="138"/>
      <c r="K65" s="138"/>
      <c r="L65" s="138"/>
      <c r="M65" s="138"/>
      <c r="N65" s="141"/>
      <c r="P65" s="140"/>
    </row>
    <row r="66" spans="1:14" s="268" customFormat="1" ht="15.75" customHeight="1">
      <c r="A66" s="420" t="s">
        <v>268</v>
      </c>
      <c r="B66" s="420"/>
      <c r="C66" s="420"/>
      <c r="D66" s="420"/>
      <c r="E66" s="420"/>
      <c r="F66" s="420"/>
      <c r="G66" s="420"/>
      <c r="H66" s="29"/>
      <c r="I66" s="29"/>
      <c r="J66" s="29"/>
      <c r="K66" s="29"/>
      <c r="L66" s="29"/>
      <c r="M66" s="29"/>
      <c r="N66" s="29"/>
    </row>
    <row r="67" spans="1:14" s="268" customFormat="1" ht="15.75" customHeight="1">
      <c r="A67" s="421" t="s">
        <v>266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29"/>
    </row>
    <row r="68" spans="1:14" s="268" customFormat="1" ht="15" customHeight="1">
      <c r="A68" s="420" t="s">
        <v>262</v>
      </c>
      <c r="B68" s="420"/>
      <c r="C68" s="420"/>
      <c r="D68" s="420"/>
      <c r="E68" s="420"/>
      <c r="F68" s="420"/>
      <c r="G68" s="420"/>
      <c r="H68" s="29"/>
      <c r="I68" s="29"/>
      <c r="J68" s="29"/>
      <c r="K68" s="29"/>
      <c r="L68" s="29"/>
      <c r="M68" s="29"/>
      <c r="N68" s="29"/>
    </row>
    <row r="69" spans="1:14" s="268" customFormat="1" ht="15.75" customHeight="1">
      <c r="A69" s="423" t="s">
        <v>275</v>
      </c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29"/>
      <c r="N69" s="29"/>
    </row>
    <row r="76" spans="1:9" s="18" customFormat="1" ht="13.5" customHeight="1">
      <c r="A76" s="26"/>
      <c r="B76" s="375" t="s">
        <v>269</v>
      </c>
      <c r="C76" s="375"/>
      <c r="D76" s="375"/>
      <c r="E76" s="377" t="s">
        <v>241</v>
      </c>
      <c r="F76" s="377"/>
      <c r="G76" s="377"/>
      <c r="H76" s="377"/>
      <c r="I76" s="189"/>
    </row>
    <row r="77" spans="1:9" s="1" customFormat="1" ht="13.5" customHeight="1">
      <c r="A77" s="28"/>
      <c r="B77" s="373" t="s">
        <v>272</v>
      </c>
      <c r="C77" s="373"/>
      <c r="D77" s="373"/>
      <c r="E77" s="378" t="s">
        <v>273</v>
      </c>
      <c r="F77" s="378"/>
      <c r="G77" s="378"/>
      <c r="H77" s="378"/>
      <c r="I77" s="2"/>
    </row>
    <row r="78" spans="1:9" s="1" customFormat="1" ht="13.5" customHeight="1">
      <c r="A78" s="30"/>
      <c r="B78" s="372" t="s">
        <v>271</v>
      </c>
      <c r="C78" s="372"/>
      <c r="D78" s="372"/>
      <c r="E78" s="379" t="s">
        <v>242</v>
      </c>
      <c r="F78" s="379"/>
      <c r="G78" s="379"/>
      <c r="H78" s="379"/>
      <c r="I78" s="2"/>
    </row>
    <row r="79" spans="1:9" s="1" customFormat="1" ht="13.5" customHeight="1">
      <c r="A79" s="32"/>
      <c r="B79" s="372" t="s">
        <v>50</v>
      </c>
      <c r="C79" s="372"/>
      <c r="D79" s="372"/>
      <c r="E79" s="372" t="s">
        <v>50</v>
      </c>
      <c r="F79" s="372"/>
      <c r="G79" s="372"/>
      <c r="H79" s="372"/>
      <c r="I79" s="2"/>
    </row>
  </sheetData>
  <sheetProtection/>
  <mergeCells count="78">
    <mergeCell ref="D32:E32"/>
    <mergeCell ref="B7:C7"/>
    <mergeCell ref="B8:C8"/>
    <mergeCell ref="B9:C9"/>
    <mergeCell ref="B20:C20"/>
    <mergeCell ref="B18:C18"/>
    <mergeCell ref="B11:C11"/>
    <mergeCell ref="B12:C12"/>
    <mergeCell ref="D13:E13"/>
    <mergeCell ref="D14:E14"/>
    <mergeCell ref="E78:H78"/>
    <mergeCell ref="E79:H79"/>
    <mergeCell ref="E76:H76"/>
    <mergeCell ref="B33:C33"/>
    <mergeCell ref="B77:D77"/>
    <mergeCell ref="B76:D76"/>
    <mergeCell ref="B34:C34"/>
    <mergeCell ref="B38:C38"/>
    <mergeCell ref="D37:E37"/>
    <mergeCell ref="E77:H77"/>
    <mergeCell ref="B19:C19"/>
    <mergeCell ref="D17:E17"/>
    <mergeCell ref="D18:E18"/>
    <mergeCell ref="B17:C17"/>
    <mergeCell ref="D15:E15"/>
    <mergeCell ref="D19:E19"/>
    <mergeCell ref="D7:E7"/>
    <mergeCell ref="D8:E8"/>
    <mergeCell ref="D11:E11"/>
    <mergeCell ref="D12:E12"/>
    <mergeCell ref="D10:E10"/>
    <mergeCell ref="D9:E9"/>
    <mergeCell ref="D16:E16"/>
    <mergeCell ref="B10:C10"/>
    <mergeCell ref="B14:C14"/>
    <mergeCell ref="B15:C15"/>
    <mergeCell ref="B16:C16"/>
    <mergeCell ref="B13:C13"/>
    <mergeCell ref="D21:E21"/>
    <mergeCell ref="D22:E22"/>
    <mergeCell ref="B35:C35"/>
    <mergeCell ref="D35:E35"/>
    <mergeCell ref="D23:E23"/>
    <mergeCell ref="D24:E24"/>
    <mergeCell ref="D25:E25"/>
    <mergeCell ref="D26:E26"/>
    <mergeCell ref="B24:C24"/>
    <mergeCell ref="B25:C25"/>
    <mergeCell ref="A69:L69"/>
    <mergeCell ref="A2:G2"/>
    <mergeCell ref="A3:G3"/>
    <mergeCell ref="A4:G4"/>
    <mergeCell ref="A5:G5"/>
    <mergeCell ref="B30:C30"/>
    <mergeCell ref="B31:C31"/>
    <mergeCell ref="B32:C32"/>
    <mergeCell ref="D30:E30"/>
    <mergeCell ref="D31:E31"/>
    <mergeCell ref="B27:C27"/>
    <mergeCell ref="B79:D79"/>
    <mergeCell ref="D33:E33"/>
    <mergeCell ref="D34:E34"/>
    <mergeCell ref="B78:D78"/>
    <mergeCell ref="B37:C37"/>
    <mergeCell ref="A66:G66"/>
    <mergeCell ref="A68:G68"/>
    <mergeCell ref="A67:M67"/>
    <mergeCell ref="D38:E38"/>
    <mergeCell ref="D20:E20"/>
    <mergeCell ref="D29:E29"/>
    <mergeCell ref="B21:C21"/>
    <mergeCell ref="B22:C22"/>
    <mergeCell ref="B26:C26"/>
    <mergeCell ref="B29:C29"/>
    <mergeCell ref="B28:C28"/>
    <mergeCell ref="D27:E27"/>
    <mergeCell ref="D28:E28"/>
    <mergeCell ref="B23:C23"/>
  </mergeCells>
  <printOptions/>
  <pageMargins left="1.33" right="0.11811023622047245" top="0.85" bottom="0.7874015748031497" header="0.31496062992125984" footer="0.31496062992125984"/>
  <pageSetup fitToHeight="1" fitToWidth="1" horizontalDpi="600" verticalDpi="600" orientation="portrait" paperSize="9" scale="38" r:id="rId2"/>
  <ignoredErrors>
    <ignoredError sqref="G33 G6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tabColor indexed="42"/>
    <pageSetUpPr fitToPage="1"/>
  </sheetPr>
  <dimension ref="A1:O4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7.7109375" style="35" bestFit="1" customWidth="1"/>
    <col min="2" max="2" width="21.421875" style="35" customWidth="1"/>
    <col min="3" max="3" width="22.8515625" style="35" customWidth="1"/>
    <col min="4" max="4" width="16.421875" style="35" bestFit="1" customWidth="1"/>
    <col min="5" max="5" width="14.28125" style="35" customWidth="1"/>
    <col min="6" max="6" width="19.8515625" style="35" customWidth="1"/>
    <col min="7" max="7" width="19.140625" style="35" bestFit="1" customWidth="1"/>
    <col min="8" max="16384" width="9.140625" style="35" customWidth="1"/>
  </cols>
  <sheetData>
    <row r="1" ht="14.25">
      <c r="A1" s="234"/>
    </row>
    <row r="2" spans="1:7" ht="15">
      <c r="A2" s="442" t="s">
        <v>240</v>
      </c>
      <c r="B2" s="442"/>
      <c r="C2" s="442"/>
      <c r="D2" s="442"/>
      <c r="E2" s="442"/>
      <c r="F2" s="442"/>
      <c r="G2" s="442"/>
    </row>
    <row r="3" spans="1:7" ht="15">
      <c r="A3" s="442" t="s">
        <v>153</v>
      </c>
      <c r="B3" s="442"/>
      <c r="C3" s="442"/>
      <c r="D3" s="442"/>
      <c r="E3" s="442"/>
      <c r="F3" s="442"/>
      <c r="G3" s="442"/>
    </row>
    <row r="4" spans="1:7" ht="15">
      <c r="A4" s="442" t="s">
        <v>285</v>
      </c>
      <c r="B4" s="442"/>
      <c r="C4" s="442"/>
      <c r="D4" s="442"/>
      <c r="E4" s="442"/>
      <c r="F4" s="442"/>
      <c r="G4" s="442"/>
    </row>
    <row r="5" spans="1:7" ht="15">
      <c r="A5" s="34"/>
      <c r="B5" s="34"/>
      <c r="C5" s="34"/>
      <c r="D5" s="34"/>
      <c r="E5" s="34"/>
      <c r="F5" s="34"/>
      <c r="G5" s="53"/>
    </row>
    <row r="6" spans="1:7" ht="15" thickBot="1">
      <c r="A6" s="34"/>
      <c r="B6" s="34"/>
      <c r="C6" s="34"/>
      <c r="D6" s="34"/>
      <c r="E6" s="34"/>
      <c r="F6" s="34"/>
      <c r="G6" s="34"/>
    </row>
    <row r="7" spans="1:7" ht="15" thickBot="1">
      <c r="A7" s="438" t="s">
        <v>222</v>
      </c>
      <c r="B7" s="440" t="s">
        <v>77</v>
      </c>
      <c r="C7" s="441"/>
      <c r="D7" s="443" t="s">
        <v>78</v>
      </c>
      <c r="E7" s="445" t="s">
        <v>79</v>
      </c>
      <c r="F7" s="443" t="s">
        <v>80</v>
      </c>
      <c r="G7" s="447" t="s">
        <v>81</v>
      </c>
    </row>
    <row r="8" spans="1:7" ht="42" customHeight="1" thickBot="1">
      <c r="A8" s="449"/>
      <c r="B8" s="54" t="s">
        <v>82</v>
      </c>
      <c r="C8" s="55" t="s">
        <v>83</v>
      </c>
      <c r="D8" s="444"/>
      <c r="E8" s="446"/>
      <c r="F8" s="444"/>
      <c r="G8" s="448"/>
    </row>
    <row r="9" spans="1:7" ht="15" thickBot="1">
      <c r="A9" s="56" t="s">
        <v>84</v>
      </c>
      <c r="B9" s="57">
        <f>SUM(B10:B12)</f>
        <v>0</v>
      </c>
      <c r="C9" s="58">
        <f>SUM(C10:C12)</f>
        <v>0</v>
      </c>
      <c r="D9" s="58">
        <f>SUM(D10:D12)</f>
        <v>0</v>
      </c>
      <c r="E9" s="57">
        <f>SUM(E10:E12)</f>
        <v>0</v>
      </c>
      <c r="F9" s="58">
        <f>SUM(F10:F12)</f>
        <v>0</v>
      </c>
      <c r="G9" s="59">
        <f aca="true" t="shared" si="0" ref="G9:G16">B9+C9-E9-F9</f>
        <v>0</v>
      </c>
    </row>
    <row r="10" spans="1:7" ht="14.25">
      <c r="A10" s="60" t="s">
        <v>68</v>
      </c>
      <c r="B10" s="61">
        <v>0</v>
      </c>
      <c r="C10" s="62"/>
      <c r="D10" s="62"/>
      <c r="E10" s="61"/>
      <c r="F10" s="62"/>
      <c r="G10" s="63">
        <f t="shared" si="0"/>
        <v>0</v>
      </c>
    </row>
    <row r="11" spans="1:7" ht="14.25">
      <c r="A11" s="60" t="s">
        <v>69</v>
      </c>
      <c r="B11" s="61"/>
      <c r="C11" s="62"/>
      <c r="D11" s="64"/>
      <c r="E11" s="65"/>
      <c r="F11" s="62"/>
      <c r="G11" s="63">
        <f t="shared" si="0"/>
        <v>0</v>
      </c>
    </row>
    <row r="12" spans="1:7" ht="15" thickBot="1">
      <c r="A12" s="60" t="s">
        <v>70</v>
      </c>
      <c r="B12" s="130">
        <v>0</v>
      </c>
      <c r="C12" s="71"/>
      <c r="D12" s="64">
        <v>0</v>
      </c>
      <c r="E12" s="131">
        <v>0</v>
      </c>
      <c r="F12" s="132">
        <v>0</v>
      </c>
      <c r="G12" s="63">
        <f>B12+C12-E12-F12</f>
        <v>0</v>
      </c>
    </row>
    <row r="13" spans="1:7" ht="15" thickBot="1">
      <c r="A13" s="56" t="s">
        <v>85</v>
      </c>
      <c r="B13" s="57">
        <f>SUM(B14:B16)</f>
        <v>0</v>
      </c>
      <c r="C13" s="58">
        <f>SUM(C14:C16)</f>
        <v>0</v>
      </c>
      <c r="D13" s="58">
        <f>SUM(D14:D16)</f>
        <v>0</v>
      </c>
      <c r="E13" s="57">
        <f>SUM(E14:E16)</f>
        <v>0</v>
      </c>
      <c r="F13" s="58">
        <f>SUM(F14:F16)</f>
        <v>0</v>
      </c>
      <c r="G13" s="59">
        <f t="shared" si="0"/>
        <v>0</v>
      </c>
    </row>
    <row r="14" spans="1:7" ht="14.25">
      <c r="A14" s="60" t="s">
        <v>71</v>
      </c>
      <c r="B14" s="130"/>
      <c r="C14" s="71"/>
      <c r="D14" s="62">
        <v>0</v>
      </c>
      <c r="E14" s="130"/>
      <c r="F14" s="132"/>
      <c r="G14" s="63">
        <f t="shared" si="0"/>
        <v>0</v>
      </c>
    </row>
    <row r="15" spans="1:7" ht="14.25">
      <c r="A15" s="60" t="s">
        <v>72</v>
      </c>
      <c r="B15" s="61">
        <v>0</v>
      </c>
      <c r="C15" s="62"/>
      <c r="D15" s="62"/>
      <c r="E15" s="61"/>
      <c r="F15" s="62"/>
      <c r="G15" s="63">
        <f t="shared" si="0"/>
        <v>0</v>
      </c>
    </row>
    <row r="16" spans="1:7" ht="15" thickBot="1">
      <c r="A16" s="66" t="s">
        <v>73</v>
      </c>
      <c r="B16" s="61"/>
      <c r="C16" s="62"/>
      <c r="D16" s="62"/>
      <c r="E16" s="67"/>
      <c r="F16" s="62"/>
      <c r="G16" s="63">
        <f t="shared" si="0"/>
        <v>0</v>
      </c>
    </row>
    <row r="17" spans="1:7" s="41" customFormat="1" ht="15" thickBot="1">
      <c r="A17" s="69" t="s">
        <v>86</v>
      </c>
      <c r="B17" s="68">
        <f aca="true" t="shared" si="1" ref="B17:G17">B9+B13</f>
        <v>0</v>
      </c>
      <c r="C17" s="68">
        <f t="shared" si="1"/>
        <v>0</v>
      </c>
      <c r="D17" s="68">
        <f t="shared" si="1"/>
        <v>0</v>
      </c>
      <c r="E17" s="68">
        <f t="shared" si="1"/>
        <v>0</v>
      </c>
      <c r="F17" s="68">
        <f t="shared" si="1"/>
        <v>0</v>
      </c>
      <c r="G17" s="68">
        <f t="shared" si="1"/>
        <v>0</v>
      </c>
    </row>
    <row r="19" spans="1:7" ht="15" thickBot="1">
      <c r="A19" s="34"/>
      <c r="B19" s="34"/>
      <c r="C19" s="34"/>
      <c r="D19" s="34"/>
      <c r="E19" s="34"/>
      <c r="F19" s="34"/>
      <c r="G19" s="34"/>
    </row>
    <row r="20" spans="1:6" ht="15" thickBot="1">
      <c r="A20" s="438" t="s">
        <v>221</v>
      </c>
      <c r="B20" s="440" t="s">
        <v>77</v>
      </c>
      <c r="C20" s="441"/>
      <c r="D20" s="435" t="s">
        <v>258</v>
      </c>
      <c r="E20" s="435" t="s">
        <v>259</v>
      </c>
      <c r="F20" s="435" t="s">
        <v>260</v>
      </c>
    </row>
    <row r="21" spans="1:6" ht="29.25" thickBot="1">
      <c r="A21" s="439"/>
      <c r="B21" s="54" t="s">
        <v>82</v>
      </c>
      <c r="C21" s="55" t="s">
        <v>83</v>
      </c>
      <c r="D21" s="436"/>
      <c r="E21" s="437"/>
      <c r="F21" s="436"/>
    </row>
    <row r="22" spans="1:6" ht="15" thickBot="1">
      <c r="A22" s="69" t="s">
        <v>84</v>
      </c>
      <c r="B22" s="57">
        <f>SUM(B23:B25)</f>
        <v>0</v>
      </c>
      <c r="C22" s="58">
        <f>SUM(C23:C25)</f>
        <v>0</v>
      </c>
      <c r="D22" s="58">
        <f>SUM(D23:D25)</f>
        <v>0</v>
      </c>
      <c r="E22" s="58">
        <f>SUM(E23:E25)</f>
        <v>0</v>
      </c>
      <c r="F22" s="58">
        <f aca="true" t="shared" si="2" ref="F22:F27">B22+C22-D22-E22</f>
        <v>0</v>
      </c>
    </row>
    <row r="23" spans="1:6" ht="14.25">
      <c r="A23" s="70" t="s">
        <v>68</v>
      </c>
      <c r="B23" s="61"/>
      <c r="C23" s="61"/>
      <c r="D23" s="64"/>
      <c r="E23" s="64"/>
      <c r="F23" s="62">
        <f t="shared" si="2"/>
        <v>0</v>
      </c>
    </row>
    <row r="24" spans="1:6" ht="14.25">
      <c r="A24" s="70" t="s">
        <v>69</v>
      </c>
      <c r="B24" s="61"/>
      <c r="C24" s="62"/>
      <c r="D24" s="62"/>
      <c r="E24" s="62"/>
      <c r="F24" s="62">
        <f t="shared" si="2"/>
        <v>0</v>
      </c>
    </row>
    <row r="25" spans="1:6" ht="15" thickBot="1">
      <c r="A25" s="70" t="s">
        <v>70</v>
      </c>
      <c r="B25" s="131">
        <v>0</v>
      </c>
      <c r="C25" s="131">
        <v>0</v>
      </c>
      <c r="D25" s="132">
        <v>0</v>
      </c>
      <c r="E25" s="132">
        <v>0</v>
      </c>
      <c r="F25" s="71">
        <f t="shared" si="2"/>
        <v>0</v>
      </c>
    </row>
    <row r="26" spans="1:6" ht="15" thickBot="1">
      <c r="A26" s="69" t="s">
        <v>85</v>
      </c>
      <c r="B26" s="57">
        <f>SUM(B27:B29)</f>
        <v>0</v>
      </c>
      <c r="C26" s="58">
        <f>SUM(C27:C29)</f>
        <v>0</v>
      </c>
      <c r="D26" s="58">
        <f>SUM(D27:D29)</f>
        <v>0</v>
      </c>
      <c r="E26" s="58">
        <f>SUM(E27:E29)</f>
        <v>0</v>
      </c>
      <c r="F26" s="58">
        <f t="shared" si="2"/>
        <v>0</v>
      </c>
    </row>
    <row r="27" spans="1:6" ht="14.25">
      <c r="A27" s="70" t="s">
        <v>71</v>
      </c>
      <c r="B27" s="130"/>
      <c r="C27" s="71">
        <v>0</v>
      </c>
      <c r="D27" s="132">
        <v>0</v>
      </c>
      <c r="E27" s="132">
        <v>0</v>
      </c>
      <c r="F27" s="71">
        <f t="shared" si="2"/>
        <v>0</v>
      </c>
    </row>
    <row r="28" spans="1:6" ht="14.25">
      <c r="A28" s="70" t="s">
        <v>72</v>
      </c>
      <c r="B28" s="61"/>
      <c r="C28" s="62"/>
      <c r="D28" s="62"/>
      <c r="E28" s="62"/>
      <c r="F28" s="62"/>
    </row>
    <row r="29" spans="1:6" ht="15" thickBot="1">
      <c r="A29" s="70" t="s">
        <v>73</v>
      </c>
      <c r="B29" s="67"/>
      <c r="C29" s="62"/>
      <c r="D29" s="62"/>
      <c r="E29" s="62"/>
      <c r="F29" s="62"/>
    </row>
    <row r="30" spans="1:6" s="41" customFormat="1" ht="15" thickBot="1">
      <c r="A30" s="69" t="s">
        <v>86</v>
      </c>
      <c r="B30" s="68">
        <f>B22+B26</f>
        <v>0</v>
      </c>
      <c r="C30" s="68">
        <f>C22+C26</f>
        <v>0</v>
      </c>
      <c r="D30" s="68">
        <f>D22+D26</f>
        <v>0</v>
      </c>
      <c r="E30" s="68">
        <f>E22+E26</f>
        <v>0</v>
      </c>
      <c r="F30" s="68">
        <f>F22+F26</f>
        <v>0</v>
      </c>
    </row>
    <row r="31" spans="1:14" s="137" customFormat="1" ht="13.5" customHeight="1">
      <c r="A31" s="261" t="s">
        <v>46</v>
      </c>
      <c r="B31" s="134"/>
      <c r="C31" s="134"/>
      <c r="D31" s="134"/>
      <c r="E31" s="135"/>
      <c r="F31" s="135"/>
      <c r="G31" s="135"/>
      <c r="H31" s="134"/>
      <c r="I31" s="134"/>
      <c r="J31" s="135"/>
      <c r="K31" s="135"/>
      <c r="L31" s="135"/>
      <c r="M31" s="136"/>
      <c r="N31" s="137" t="s">
        <v>265</v>
      </c>
    </row>
    <row r="32" spans="1:15" s="137" customFormat="1" ht="8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41"/>
      <c r="O32" s="140"/>
    </row>
    <row r="33" spans="1:13" s="137" customFormat="1" ht="16.5" customHeight="1">
      <c r="A33" s="271" t="s">
        <v>47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</row>
    <row r="34" spans="1:13" s="137" customFormat="1" ht="12" customHeight="1">
      <c r="A34" s="434" t="s">
        <v>267</v>
      </c>
      <c r="B34" s="434"/>
      <c r="C34" s="434"/>
      <c r="D34" s="434"/>
      <c r="E34" s="434"/>
      <c r="F34" s="434"/>
      <c r="G34" s="434"/>
      <c r="H34" s="262"/>
      <c r="I34" s="262"/>
      <c r="J34" s="262"/>
      <c r="K34" s="262"/>
      <c r="L34" s="262"/>
      <c r="M34" s="262"/>
    </row>
    <row r="35" spans="1:13" ht="15.75" customHeight="1">
      <c r="A35" s="434" t="s">
        <v>261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</row>
    <row r="36" spans="1:13" s="257" customFormat="1" ht="12" customHeight="1">
      <c r="A36" s="270" t="s">
        <v>264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</row>
    <row r="37" spans="1:13" ht="17.25" customHeight="1">
      <c r="A37" s="433" t="s">
        <v>274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263"/>
    </row>
    <row r="38" spans="1:13" ht="17.25" customHeight="1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3"/>
    </row>
    <row r="39" spans="1:12" ht="14.25">
      <c r="A39" s="260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</row>
    <row r="41" spans="1:8" s="18" customFormat="1" ht="13.5" customHeight="1">
      <c r="A41" s="26"/>
      <c r="B41" s="375" t="s">
        <v>269</v>
      </c>
      <c r="C41" s="375"/>
      <c r="D41" s="375"/>
      <c r="E41" s="377" t="s">
        <v>241</v>
      </c>
      <c r="F41" s="377"/>
      <c r="G41" s="377"/>
      <c r="H41" s="377"/>
    </row>
    <row r="42" spans="1:8" s="1" customFormat="1" ht="13.5" customHeight="1">
      <c r="A42" s="28"/>
      <c r="B42" s="373" t="s">
        <v>272</v>
      </c>
      <c r="C42" s="373"/>
      <c r="D42" s="373"/>
      <c r="E42" s="378" t="s">
        <v>273</v>
      </c>
      <c r="F42" s="378"/>
      <c r="G42" s="378"/>
      <c r="H42" s="378"/>
    </row>
    <row r="43" spans="1:8" s="1" customFormat="1" ht="13.5" customHeight="1">
      <c r="A43" s="30"/>
      <c r="B43" s="372" t="s">
        <v>271</v>
      </c>
      <c r="C43" s="372"/>
      <c r="D43" s="372"/>
      <c r="E43" s="379" t="s">
        <v>242</v>
      </c>
      <c r="F43" s="379"/>
      <c r="G43" s="379"/>
      <c r="H43" s="379"/>
    </row>
    <row r="44" spans="1:8" s="1" customFormat="1" ht="13.5" customHeight="1">
      <c r="A44" s="32"/>
      <c r="B44" s="372" t="s">
        <v>50</v>
      </c>
      <c r="C44" s="372"/>
      <c r="D44" s="372"/>
      <c r="E44" s="372" t="s">
        <v>50</v>
      </c>
      <c r="F44" s="372"/>
      <c r="G44" s="372"/>
      <c r="H44" s="372"/>
    </row>
  </sheetData>
  <sheetProtection/>
  <mergeCells count="25">
    <mergeCell ref="A2:G2"/>
    <mergeCell ref="A3:G3"/>
    <mergeCell ref="A4:G4"/>
    <mergeCell ref="D7:D8"/>
    <mergeCell ref="E7:E8"/>
    <mergeCell ref="F7:F8"/>
    <mergeCell ref="G7:G8"/>
    <mergeCell ref="B7:C7"/>
    <mergeCell ref="A7:A8"/>
    <mergeCell ref="A35:M35"/>
    <mergeCell ref="F20:F21"/>
    <mergeCell ref="A34:G34"/>
    <mergeCell ref="E20:E21"/>
    <mergeCell ref="A20:A21"/>
    <mergeCell ref="B20:C20"/>
    <mergeCell ref="D20:D21"/>
    <mergeCell ref="A37:L37"/>
    <mergeCell ref="B41:D41"/>
    <mergeCell ref="B44:D44"/>
    <mergeCell ref="B42:D42"/>
    <mergeCell ref="B43:D43"/>
    <mergeCell ref="E41:H41"/>
    <mergeCell ref="E42:H42"/>
    <mergeCell ref="E43:H43"/>
    <mergeCell ref="E44:H44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6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d511877</cp:lastModifiedBy>
  <cp:lastPrinted>2019-11-18T20:13:49Z</cp:lastPrinted>
  <dcterms:created xsi:type="dcterms:W3CDTF">2016-10-19T15:26:14Z</dcterms:created>
  <dcterms:modified xsi:type="dcterms:W3CDTF">2019-11-18T20:13:51Z</dcterms:modified>
  <cp:category/>
  <cp:version/>
  <cp:contentType/>
  <cp:contentStatus/>
</cp:coreProperties>
</file>