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180" windowWidth="24240" windowHeight="12255" firstSheet="3" activeTab="3"/>
  </bookViews>
  <sheets>
    <sheet name="DADOS" sheetId="6" state="hidden" r:id="rId1"/>
    <sheet name="B.F. 05" sheetId="8" state="hidden" r:id="rId2"/>
    <sheet name="B.F. 00" sheetId="7" state="hidden" r:id="rId3"/>
    <sheet name="Balanço Financeiro" sheetId="1" r:id="rId4"/>
    <sheet name="Balanço Orçamentário MCASP" sheetId="2" r:id="rId5"/>
    <sheet name="Anexos do BO" sheetId="3" r:id="rId6"/>
    <sheet name="BAL.Financeiro MOD DEZ" sheetId="12" state="hidden" r:id="rId7"/>
    <sheet name="BF Mensal c formula 02 colunas" sheetId="11" state="hidden" r:id="rId8"/>
    <sheet name="Plan2" sheetId="13" state="hidden" r:id="rId9"/>
  </sheets>
  <definedNames>
    <definedName name="_xlnm.Print_Area" localSheetId="5">'Anexos do BO'!$A$2:$G$43</definedName>
    <definedName name="_xlnm.Print_Area" localSheetId="6">'BAL.Financeiro MOD DEZ'!$A$1:$O$68</definedName>
    <definedName name="_xlnm.Print_Area" localSheetId="3">'Balanço Financeiro'!$A$1:$O$58</definedName>
    <definedName name="_xlnm.Print_Area" localSheetId="4">'Balanço Orçamentário MCASP'!$A$2:$G$79</definedName>
  </definedNames>
  <calcPr calcId="145621"/>
</workbook>
</file>

<file path=xl/calcChain.xml><?xml version="1.0" encoding="utf-8"?>
<calcChain xmlns="http://schemas.openxmlformats.org/spreadsheetml/2006/main">
  <c r="F178" i="6" l="1"/>
  <c r="O12" i="1"/>
  <c r="O8" i="1"/>
  <c r="H25" i="1"/>
  <c r="D212" i="6"/>
  <c r="E65" i="6"/>
  <c r="D121" i="6"/>
  <c r="E121" i="6"/>
  <c r="F121" i="6"/>
  <c r="G121" i="6"/>
  <c r="H121" i="6"/>
  <c r="I121" i="6"/>
  <c r="J121" i="6"/>
  <c r="K121" i="6"/>
  <c r="L121" i="6"/>
  <c r="M121" i="6"/>
  <c r="N121" i="6"/>
  <c r="C141" i="6"/>
  <c r="K30" i="8"/>
  <c r="K28" i="8"/>
  <c r="K18" i="8"/>
  <c r="N17" i="12"/>
  <c r="D30" i="8"/>
  <c r="D28" i="8"/>
  <c r="C59" i="6"/>
  <c r="C60" i="6" s="1"/>
  <c r="D60" i="6" s="1"/>
  <c r="E60" i="6" s="1"/>
  <c r="F60" i="6" s="1"/>
  <c r="G60" i="6" s="1"/>
  <c r="H60" i="6" s="1"/>
  <c r="I60" i="6" s="1"/>
  <c r="J60" i="6" s="1"/>
  <c r="K60" i="6" s="1"/>
  <c r="L60" i="6" s="1"/>
  <c r="M60" i="6" s="1"/>
  <c r="N60" i="6" s="1"/>
  <c r="N56" i="6"/>
  <c r="N57" i="6"/>
  <c r="M56" i="6"/>
  <c r="M57" i="6" s="1"/>
  <c r="L56" i="6"/>
  <c r="L57" i="6"/>
  <c r="K56" i="6"/>
  <c r="K57" i="6" s="1"/>
  <c r="J56" i="6"/>
  <c r="J57" i="6"/>
  <c r="I56" i="6"/>
  <c r="I57" i="6" s="1"/>
  <c r="H56" i="6"/>
  <c r="H57" i="6"/>
  <c r="G56" i="6"/>
  <c r="G57" i="6" s="1"/>
  <c r="F56" i="6"/>
  <c r="F57" i="6"/>
  <c r="E56" i="6"/>
  <c r="E57" i="6" s="1"/>
  <c r="D56" i="6"/>
  <c r="C57" i="6"/>
  <c r="O30" i="12"/>
  <c r="H30" i="12"/>
  <c r="N28" i="12"/>
  <c r="G28" i="12"/>
  <c r="H25" i="12"/>
  <c r="O25" i="12"/>
  <c r="N24" i="12"/>
  <c r="G24" i="12"/>
  <c r="N23" i="12"/>
  <c r="G23" i="12"/>
  <c r="O20" i="12"/>
  <c r="N22" i="12"/>
  <c r="G22" i="12"/>
  <c r="H20" i="12"/>
  <c r="N19" i="12"/>
  <c r="N18" i="12"/>
  <c r="G18" i="12"/>
  <c r="N16" i="12"/>
  <c r="G16" i="12"/>
  <c r="N15" i="12"/>
  <c r="G15" i="12"/>
  <c r="N14" i="12"/>
  <c r="G14" i="12"/>
  <c r="N13" i="12"/>
  <c r="N12" i="12" s="1"/>
  <c r="G13" i="12"/>
  <c r="O12" i="12"/>
  <c r="H12" i="12"/>
  <c r="N11" i="12"/>
  <c r="N8" i="12" s="1"/>
  <c r="G11" i="12"/>
  <c r="N10" i="12"/>
  <c r="G10" i="12"/>
  <c r="G9" i="12"/>
  <c r="G8" i="12" s="1"/>
  <c r="O8" i="12"/>
  <c r="H8" i="12"/>
  <c r="H7" i="12"/>
  <c r="H33" i="12" s="1"/>
  <c r="C52" i="6"/>
  <c r="C53" i="6"/>
  <c r="D53" i="6" s="1"/>
  <c r="N49" i="6"/>
  <c r="N50" i="6" s="1"/>
  <c r="M49" i="6"/>
  <c r="M50" i="6" s="1"/>
  <c r="L49" i="6"/>
  <c r="L50" i="6" s="1"/>
  <c r="K49" i="6"/>
  <c r="K50" i="6" s="1"/>
  <c r="J49" i="6"/>
  <c r="J50" i="6" s="1"/>
  <c r="I49" i="6"/>
  <c r="I50" i="6" s="1"/>
  <c r="H49" i="6"/>
  <c r="H50" i="6" s="1"/>
  <c r="G49" i="6"/>
  <c r="G50" i="6" s="1"/>
  <c r="F49" i="6"/>
  <c r="F50" i="6" s="1"/>
  <c r="E49" i="6"/>
  <c r="E50" i="6" s="1"/>
  <c r="D49" i="6"/>
  <c r="D52" i="6" s="1"/>
  <c r="E52" i="6" s="1"/>
  <c r="F52" i="6" s="1"/>
  <c r="G52" i="6" s="1"/>
  <c r="H52" i="6" s="1"/>
  <c r="I52" i="6" s="1"/>
  <c r="J52" i="6" s="1"/>
  <c r="K52" i="6" s="1"/>
  <c r="L52" i="6" s="1"/>
  <c r="M52" i="6" s="1"/>
  <c r="N52" i="6" s="1"/>
  <c r="C49" i="6"/>
  <c r="C50" i="6" s="1"/>
  <c r="N10" i="1"/>
  <c r="N11" i="1"/>
  <c r="N13" i="1"/>
  <c r="N14" i="1"/>
  <c r="N15" i="1"/>
  <c r="N16" i="1"/>
  <c r="N18" i="1"/>
  <c r="N19" i="1"/>
  <c r="N22" i="1"/>
  <c r="N23" i="1"/>
  <c r="N24" i="1"/>
  <c r="N28" i="1"/>
  <c r="H8" i="1"/>
  <c r="H7" i="1" s="1"/>
  <c r="H12" i="1"/>
  <c r="H20" i="1"/>
  <c r="H30" i="1"/>
  <c r="H33" i="1" s="1"/>
  <c r="Q33" i="1" s="1"/>
  <c r="G35" i="2"/>
  <c r="F35" i="2"/>
  <c r="D35" i="2"/>
  <c r="L83" i="6"/>
  <c r="O30" i="1"/>
  <c r="O20" i="1"/>
  <c r="I196" i="6"/>
  <c r="J178" i="6"/>
  <c r="J185" i="6" s="1"/>
  <c r="I168" i="6"/>
  <c r="I163" i="6"/>
  <c r="I117" i="6"/>
  <c r="I83" i="6"/>
  <c r="I65" i="6"/>
  <c r="I14" i="6" s="1"/>
  <c r="I15" i="6"/>
  <c r="I63" i="6"/>
  <c r="I40" i="6"/>
  <c r="I41" i="6" s="1"/>
  <c r="I33" i="6"/>
  <c r="I30" i="6"/>
  <c r="I31" i="6" s="1"/>
  <c r="I22" i="6"/>
  <c r="I23" i="6"/>
  <c r="I17" i="6"/>
  <c r="H196" i="6"/>
  <c r="I178" i="6" s="1"/>
  <c r="I185" i="6" s="1"/>
  <c r="H168" i="6"/>
  <c r="H163" i="6"/>
  <c r="H117" i="6"/>
  <c r="H83" i="6"/>
  <c r="H65" i="6"/>
  <c r="H14" i="6"/>
  <c r="H15" i="6" s="1"/>
  <c r="H63" i="6"/>
  <c r="H40" i="6"/>
  <c r="H41" i="6"/>
  <c r="H33" i="6"/>
  <c r="H30" i="6"/>
  <c r="H31" i="6" s="1"/>
  <c r="H22" i="6"/>
  <c r="H23" i="6" s="1"/>
  <c r="H17" i="6"/>
  <c r="G196" i="6"/>
  <c r="H178" i="6"/>
  <c r="H185" i="6" s="1"/>
  <c r="G168" i="6"/>
  <c r="G163" i="6"/>
  <c r="G117" i="6"/>
  <c r="G83" i="6"/>
  <c r="G65" i="6"/>
  <c r="G63" i="6"/>
  <c r="G72" i="6" s="1"/>
  <c r="G6" i="6"/>
  <c r="G7" i="6" s="1"/>
  <c r="G40" i="6"/>
  <c r="G41" i="6" s="1"/>
  <c r="G33" i="6"/>
  <c r="G30" i="6"/>
  <c r="G31" i="6"/>
  <c r="G22" i="6"/>
  <c r="G23" i="6"/>
  <c r="G17" i="6"/>
  <c r="P29" i="11"/>
  <c r="P28" i="11"/>
  <c r="P27" i="11" s="1"/>
  <c r="P32" i="11"/>
  <c r="Q28" i="11"/>
  <c r="Q27" i="11" s="1"/>
  <c r="H29" i="11"/>
  <c r="H28" i="11"/>
  <c r="Q32" i="11"/>
  <c r="I32" i="11"/>
  <c r="H32" i="11"/>
  <c r="Q29" i="11"/>
  <c r="I29" i="11"/>
  <c r="I27" i="11" s="1"/>
  <c r="I35" i="11" s="1"/>
  <c r="I28" i="11"/>
  <c r="H27" i="11"/>
  <c r="Q22" i="11"/>
  <c r="P22" i="11"/>
  <c r="I22" i="11"/>
  <c r="H22" i="11"/>
  <c r="Q14" i="11"/>
  <c r="P14" i="11"/>
  <c r="I14" i="11"/>
  <c r="H14" i="11"/>
  <c r="Q13" i="11"/>
  <c r="Q9" i="11"/>
  <c r="Q8" i="11" s="1"/>
  <c r="Q35" i="11"/>
  <c r="P9" i="11"/>
  <c r="P8" i="11"/>
  <c r="I9" i="11"/>
  <c r="H9" i="11"/>
  <c r="H8" i="11" s="1"/>
  <c r="H35" i="11" s="1"/>
  <c r="X34" i="11" s="1"/>
  <c r="I8" i="11"/>
  <c r="G9" i="1"/>
  <c r="G8" i="1" s="1"/>
  <c r="G10" i="1"/>
  <c r="G11" i="1"/>
  <c r="G13" i="1"/>
  <c r="G14" i="1"/>
  <c r="G15" i="1"/>
  <c r="G16" i="1"/>
  <c r="G18" i="1"/>
  <c r="G22" i="1"/>
  <c r="G23" i="1"/>
  <c r="G24" i="1"/>
  <c r="F83" i="6"/>
  <c r="K35" i="8" s="1"/>
  <c r="N31" i="12" s="1"/>
  <c r="N30" i="12" s="1"/>
  <c r="F196" i="6"/>
  <c r="G178" i="6" s="1"/>
  <c r="G185" i="6" s="1"/>
  <c r="F168" i="6"/>
  <c r="F163" i="6"/>
  <c r="D22" i="8" s="1"/>
  <c r="F117" i="6"/>
  <c r="F65" i="6"/>
  <c r="F14" i="6" s="1"/>
  <c r="F63" i="6"/>
  <c r="F40" i="6"/>
  <c r="F41" i="6"/>
  <c r="F33" i="6"/>
  <c r="F30" i="6"/>
  <c r="F31" i="6" s="1"/>
  <c r="F22" i="6"/>
  <c r="F23" i="6" s="1"/>
  <c r="F17" i="6"/>
  <c r="D196" i="6"/>
  <c r="E178" i="6" s="1"/>
  <c r="E185" i="6" s="1"/>
  <c r="N30" i="6"/>
  <c r="N31" i="6" s="1"/>
  <c r="E30" i="6"/>
  <c r="E31" i="6" s="1"/>
  <c r="J30" i="6"/>
  <c r="J31" i="6" s="1"/>
  <c r="K30" i="6"/>
  <c r="K31" i="6" s="1"/>
  <c r="L30" i="6"/>
  <c r="M30" i="6"/>
  <c r="D30" i="6"/>
  <c r="O64" i="6"/>
  <c r="D33" i="6"/>
  <c r="C30" i="6"/>
  <c r="N22" i="6"/>
  <c r="N23" i="6" s="1"/>
  <c r="M22" i="6"/>
  <c r="L22" i="6"/>
  <c r="L23" i="6" s="1"/>
  <c r="K22" i="6"/>
  <c r="K23" i="6"/>
  <c r="J22" i="6"/>
  <c r="E22" i="6"/>
  <c r="E23" i="6" s="1"/>
  <c r="D22" i="6"/>
  <c r="C22" i="6"/>
  <c r="C23" i="6" s="1"/>
  <c r="G10" i="3"/>
  <c r="G11" i="3"/>
  <c r="G15" i="3"/>
  <c r="G16" i="3"/>
  <c r="F23" i="3"/>
  <c r="F24" i="3"/>
  <c r="A1" i="2"/>
  <c r="G9" i="2"/>
  <c r="G10" i="2"/>
  <c r="D12" i="2"/>
  <c r="G12" i="2" s="1"/>
  <c r="D13" i="2"/>
  <c r="G13" i="2"/>
  <c r="D14" i="2"/>
  <c r="G14" i="2" s="1"/>
  <c r="D15" i="2"/>
  <c r="B17" i="2"/>
  <c r="D17" i="2"/>
  <c r="G17" i="2" s="1"/>
  <c r="F17" i="2"/>
  <c r="G18" i="2"/>
  <c r="G19" i="2"/>
  <c r="G20" i="2"/>
  <c r="G21" i="2"/>
  <c r="G22" i="2"/>
  <c r="B25" i="2"/>
  <c r="D25" i="2"/>
  <c r="G25" i="2" s="1"/>
  <c r="F25" i="2"/>
  <c r="B52" i="2"/>
  <c r="C52" i="2"/>
  <c r="G52" i="2" s="1"/>
  <c r="D52" i="2"/>
  <c r="E52" i="2"/>
  <c r="F52" i="2"/>
  <c r="G28" i="1"/>
  <c r="A3" i="7"/>
  <c r="D25" i="7"/>
  <c r="G26" i="12" s="1"/>
  <c r="G26" i="1"/>
  <c r="K8" i="7"/>
  <c r="K7" i="7"/>
  <c r="K6" i="7" s="1"/>
  <c r="K35" i="7" s="1"/>
  <c r="D7" i="7"/>
  <c r="D6" i="7" s="1"/>
  <c r="K19" i="7"/>
  <c r="D31" i="7"/>
  <c r="K31" i="7"/>
  <c r="K9" i="8"/>
  <c r="D14" i="6"/>
  <c r="D15" i="6"/>
  <c r="C17" i="6"/>
  <c r="C18" i="6" s="1"/>
  <c r="D18" i="6"/>
  <c r="E18" i="6" s="1"/>
  <c r="F18" i="6" s="1"/>
  <c r="G18" i="6" s="1"/>
  <c r="H18" i="6" s="1"/>
  <c r="D17" i="6"/>
  <c r="E17" i="6"/>
  <c r="J17" i="6"/>
  <c r="K17" i="6"/>
  <c r="L17" i="6"/>
  <c r="M17" i="6"/>
  <c r="N17" i="6"/>
  <c r="J23" i="6"/>
  <c r="M23" i="6"/>
  <c r="C26" i="6"/>
  <c r="C31" i="6"/>
  <c r="L31" i="6"/>
  <c r="M31" i="6"/>
  <c r="C33" i="6"/>
  <c r="C34" i="6"/>
  <c r="D34" i="6"/>
  <c r="E34" i="6" s="1"/>
  <c r="E33" i="6"/>
  <c r="J33" i="6"/>
  <c r="K33" i="6"/>
  <c r="L33" i="6"/>
  <c r="M33" i="6"/>
  <c r="N33" i="6"/>
  <c r="C40" i="6"/>
  <c r="C41" i="6"/>
  <c r="D40" i="6"/>
  <c r="D43" i="6" s="1"/>
  <c r="E43" i="6" s="1"/>
  <c r="F43" i="6" s="1"/>
  <c r="G43" i="6" s="1"/>
  <c r="H43" i="6" s="1"/>
  <c r="I43" i="6" s="1"/>
  <c r="J43" i="6" s="1"/>
  <c r="K43" i="6" s="1"/>
  <c r="L43" i="6" s="1"/>
  <c r="M43" i="6" s="1"/>
  <c r="N43" i="6" s="1"/>
  <c r="E40" i="6"/>
  <c r="E41" i="6"/>
  <c r="J40" i="6"/>
  <c r="J41" i="6" s="1"/>
  <c r="K40" i="6"/>
  <c r="K41" i="6"/>
  <c r="L40" i="6"/>
  <c r="L41" i="6" s="1"/>
  <c r="M40" i="6"/>
  <c r="M41" i="6"/>
  <c r="N40" i="6"/>
  <c r="N41" i="6" s="1"/>
  <c r="C43" i="6"/>
  <c r="C63" i="6"/>
  <c r="C6" i="6"/>
  <c r="C7" i="6" s="1"/>
  <c r="C9" i="6" s="1"/>
  <c r="D63" i="6"/>
  <c r="E63" i="6"/>
  <c r="E72" i="6" s="1"/>
  <c r="J63" i="6"/>
  <c r="K63" i="6"/>
  <c r="L63" i="6"/>
  <c r="M63" i="6"/>
  <c r="M6" i="6" s="1"/>
  <c r="M7" i="6"/>
  <c r="N63" i="6"/>
  <c r="C65" i="6"/>
  <c r="C14" i="6" s="1"/>
  <c r="C15" i="6" s="1"/>
  <c r="D65" i="6"/>
  <c r="E14" i="6"/>
  <c r="J65" i="6"/>
  <c r="J72" i="6" s="1"/>
  <c r="K65" i="6"/>
  <c r="L65" i="6"/>
  <c r="L14" i="6" s="1"/>
  <c r="L15" i="6" s="1"/>
  <c r="M65" i="6"/>
  <c r="M14" i="6" s="1"/>
  <c r="M15" i="6" s="1"/>
  <c r="N65" i="6"/>
  <c r="N72" i="6"/>
  <c r="B83" i="6"/>
  <c r="D35" i="8"/>
  <c r="C83" i="6"/>
  <c r="D83" i="6"/>
  <c r="E83" i="6"/>
  <c r="J83" i="6"/>
  <c r="K83" i="6"/>
  <c r="M83" i="6"/>
  <c r="N83" i="6"/>
  <c r="C117" i="6"/>
  <c r="D117" i="6"/>
  <c r="E117" i="6"/>
  <c r="J117" i="6"/>
  <c r="K117" i="6"/>
  <c r="L117" i="6"/>
  <c r="M117" i="6"/>
  <c r="N117" i="6"/>
  <c r="C121" i="6"/>
  <c r="C163" i="6"/>
  <c r="D163" i="6"/>
  <c r="E163" i="6"/>
  <c r="J163" i="6"/>
  <c r="K163" i="6"/>
  <c r="L163" i="6"/>
  <c r="M163" i="6"/>
  <c r="N163" i="6"/>
  <c r="C168" i="6"/>
  <c r="D168" i="6"/>
  <c r="E168" i="6"/>
  <c r="J168" i="6"/>
  <c r="K168" i="6"/>
  <c r="L168" i="6"/>
  <c r="M168" i="6"/>
  <c r="N168" i="6"/>
  <c r="C185" i="6"/>
  <c r="C186" i="6" s="1"/>
  <c r="C196" i="6"/>
  <c r="D178" i="6"/>
  <c r="D185" i="6" s="1"/>
  <c r="D186" i="6" s="1"/>
  <c r="E186" i="6" s="1"/>
  <c r="F186" i="6" s="1"/>
  <c r="E196" i="6"/>
  <c r="F185" i="6"/>
  <c r="J196" i="6"/>
  <c r="K178" i="6"/>
  <c r="K185" i="6" s="1"/>
  <c r="K196" i="6"/>
  <c r="L178" i="6"/>
  <c r="L185" i="6" s="1"/>
  <c r="L196" i="6"/>
  <c r="M178" i="6"/>
  <c r="M185" i="6"/>
  <c r="M196" i="6"/>
  <c r="N178" i="6" s="1"/>
  <c r="N185" i="6"/>
  <c r="N196" i="6"/>
  <c r="D9" i="8"/>
  <c r="C44" i="6"/>
  <c r="D44" i="6"/>
  <c r="E44" i="6" s="1"/>
  <c r="F44" i="6" s="1"/>
  <c r="P35" i="11"/>
  <c r="B35" i="2"/>
  <c r="G14" i="6"/>
  <c r="G15" i="6" s="1"/>
  <c r="H6" i="6"/>
  <c r="H7" i="6" s="1"/>
  <c r="D20" i="7"/>
  <c r="D19" i="7" s="1"/>
  <c r="K27" i="7"/>
  <c r="N27" i="1" s="1"/>
  <c r="L72" i="6"/>
  <c r="D72" i="6"/>
  <c r="C72" i="6"/>
  <c r="I6" i="6"/>
  <c r="I7" i="6"/>
  <c r="N6" i="6"/>
  <c r="N7" i="6" s="1"/>
  <c r="K6" i="6"/>
  <c r="K7" i="6" s="1"/>
  <c r="J6" i="6"/>
  <c r="J7" i="6" s="1"/>
  <c r="L6" i="6"/>
  <c r="L7" i="6" s="1"/>
  <c r="D6" i="6"/>
  <c r="D7" i="6" s="1"/>
  <c r="O25" i="1"/>
  <c r="O33" i="1" s="1"/>
  <c r="O7" i="12"/>
  <c r="O33" i="12" s="1"/>
  <c r="D33" i="8"/>
  <c r="G31" i="1"/>
  <c r="G30" i="1" s="1"/>
  <c r="E53" i="6"/>
  <c r="F53" i="6" s="1"/>
  <c r="G53" i="6" s="1"/>
  <c r="H53" i="6" s="1"/>
  <c r="I53" i="6" s="1"/>
  <c r="J53" i="6" s="1"/>
  <c r="K53" i="6" s="1"/>
  <c r="L53" i="6" s="1"/>
  <c r="M53" i="6" s="1"/>
  <c r="N53" i="6" s="1"/>
  <c r="M72" i="6"/>
  <c r="C197" i="6"/>
  <c r="D197" i="6" s="1"/>
  <c r="E197" i="6" s="1"/>
  <c r="F197" i="6" s="1"/>
  <c r="D59" i="6"/>
  <c r="E59" i="6"/>
  <c r="F59" i="6" s="1"/>
  <c r="G59" i="6" s="1"/>
  <c r="H59" i="6" s="1"/>
  <c r="I59" i="6" s="1"/>
  <c r="J59" i="6"/>
  <c r="K59" i="6" s="1"/>
  <c r="L59" i="6" s="1"/>
  <c r="M59" i="6" s="1"/>
  <c r="N59" i="6" s="1"/>
  <c r="H72" i="6"/>
  <c r="I72" i="6"/>
  <c r="G31" i="12"/>
  <c r="G30" i="12" s="1"/>
  <c r="C174" i="6"/>
  <c r="D174" i="6" s="1"/>
  <c r="N14" i="6"/>
  <c r="N15" i="6"/>
  <c r="J14" i="6"/>
  <c r="J15" i="6" s="1"/>
  <c r="E6" i="6"/>
  <c r="E7" i="6" s="1"/>
  <c r="E15" i="6"/>
  <c r="N17" i="1"/>
  <c r="K13" i="8"/>
  <c r="K8" i="8" s="1"/>
  <c r="D27" i="7"/>
  <c r="G27" i="12"/>
  <c r="D30" i="7"/>
  <c r="K25" i="7"/>
  <c r="N26" i="1"/>
  <c r="F34" i="6"/>
  <c r="G34" i="6" s="1"/>
  <c r="H34" i="6" s="1"/>
  <c r="I34" i="6" s="1"/>
  <c r="J34" i="6" s="1"/>
  <c r="K34" i="6" s="1"/>
  <c r="L34" i="6" s="1"/>
  <c r="M34" i="6" s="1"/>
  <c r="N34" i="6" s="1"/>
  <c r="O7" i="1"/>
  <c r="N9" i="12"/>
  <c r="N7" i="12"/>
  <c r="N9" i="1"/>
  <c r="N8" i="1" s="1"/>
  <c r="F15" i="6"/>
  <c r="I18" i="6"/>
  <c r="G27" i="1"/>
  <c r="C46" i="2"/>
  <c r="E46" i="2"/>
  <c r="E45" i="2" s="1"/>
  <c r="K33" i="8"/>
  <c r="N31" i="1"/>
  <c r="N30" i="1"/>
  <c r="N27" i="12"/>
  <c r="D24" i="7"/>
  <c r="K24" i="7"/>
  <c r="N26" i="12"/>
  <c r="D32" i="8" l="1"/>
  <c r="G186" i="6"/>
  <c r="H186" i="6" s="1"/>
  <c r="I186" i="6" s="1"/>
  <c r="J186" i="6" s="1"/>
  <c r="K186" i="6" s="1"/>
  <c r="L186" i="6" s="1"/>
  <c r="M186" i="6" s="1"/>
  <c r="N186" i="6" s="1"/>
  <c r="C45" i="2"/>
  <c r="G45" i="2" s="1"/>
  <c r="E174" i="6"/>
  <c r="F174" i="6" s="1"/>
  <c r="G197" i="6"/>
  <c r="H197" i="6" s="1"/>
  <c r="I197" i="6" s="1"/>
  <c r="J197" i="6" s="1"/>
  <c r="K197" i="6" s="1"/>
  <c r="L197" i="6" s="1"/>
  <c r="M197" i="6" s="1"/>
  <c r="N197" i="6" s="1"/>
  <c r="K32" i="8"/>
  <c r="F46" i="2"/>
  <c r="F45" i="2" s="1"/>
  <c r="B44" i="2"/>
  <c r="B41" i="2" s="1"/>
  <c r="F44" i="2"/>
  <c r="F41" i="2" s="1"/>
  <c r="F15" i="2"/>
  <c r="G15" i="2" s="1"/>
  <c r="E44" i="2"/>
  <c r="E41" i="2" s="1"/>
  <c r="E51" i="2" s="1"/>
  <c r="E59" i="2" s="1"/>
  <c r="B11" i="2"/>
  <c r="D44" i="2"/>
  <c r="D41" i="2" s="1"/>
  <c r="A1" i="3"/>
  <c r="B46" i="2"/>
  <c r="B45" i="2" s="1"/>
  <c r="C44" i="2"/>
  <c r="F11" i="2"/>
  <c r="D21" i="8"/>
  <c r="G21" i="12"/>
  <c r="G20" i="12" s="1"/>
  <c r="G21" i="1"/>
  <c r="G20" i="1" s="1"/>
  <c r="D20" i="8"/>
  <c r="G44" i="6"/>
  <c r="H44" i="6" s="1"/>
  <c r="I44" i="6" s="1"/>
  <c r="J44" i="6" s="1"/>
  <c r="K44" i="6" s="1"/>
  <c r="L44" i="6" s="1"/>
  <c r="M44" i="6" s="1"/>
  <c r="N44" i="6" s="1"/>
  <c r="O168" i="6"/>
  <c r="D46" i="2"/>
  <c r="D45" i="2" s="1"/>
  <c r="J18" i="6"/>
  <c r="K18" i="6" s="1"/>
  <c r="L18" i="6" s="1"/>
  <c r="M18" i="6" s="1"/>
  <c r="N18" i="6" s="1"/>
  <c r="B16" i="2"/>
  <c r="D16" i="2" s="1"/>
  <c r="K14" i="6"/>
  <c r="K15" i="6" s="1"/>
  <c r="K72" i="6"/>
  <c r="D35" i="7"/>
  <c r="D36" i="7" s="1"/>
  <c r="C10" i="6"/>
  <c r="D10" i="6" s="1"/>
  <c r="E10" i="6" s="1"/>
  <c r="D9" i="6"/>
  <c r="E9" i="6" s="1"/>
  <c r="F9" i="6" s="1"/>
  <c r="G9" i="6" s="1"/>
  <c r="H9" i="6" s="1"/>
  <c r="I9" i="6" s="1"/>
  <c r="J9" i="6" s="1"/>
  <c r="K9" i="6" s="1"/>
  <c r="L9" i="6" s="1"/>
  <c r="M9" i="6" s="1"/>
  <c r="N9" i="6" s="1"/>
  <c r="N12" i="1"/>
  <c r="N7" i="1" s="1"/>
  <c r="F72" i="6"/>
  <c r="F6" i="6"/>
  <c r="F7" i="6" s="1"/>
  <c r="W34" i="11"/>
  <c r="Q33" i="12"/>
  <c r="D26" i="6"/>
  <c r="C35" i="6"/>
  <c r="D26" i="8"/>
  <c r="D11" i="2" l="1"/>
  <c r="D8" i="2" s="1"/>
  <c r="D24" i="2" s="1"/>
  <c r="D32" i="2" s="1"/>
  <c r="B8" i="2"/>
  <c r="B24" i="2" s="1"/>
  <c r="B32" i="2" s="1"/>
  <c r="D35" i="6"/>
  <c r="E26" i="6"/>
  <c r="G44" i="2"/>
  <c r="C41" i="2"/>
  <c r="F51" i="2"/>
  <c r="F59" i="2" s="1"/>
  <c r="F61" i="2" s="1"/>
  <c r="N29" i="12"/>
  <c r="N25" i="12" s="1"/>
  <c r="K26" i="8"/>
  <c r="N29" i="1"/>
  <c r="N25" i="1" s="1"/>
  <c r="E60" i="2"/>
  <c r="E61" i="2" s="1"/>
  <c r="G46" i="2"/>
  <c r="B51" i="2"/>
  <c r="B59" i="2" s="1"/>
  <c r="K36" i="7"/>
  <c r="G19" i="12"/>
  <c r="G19" i="1"/>
  <c r="F12" i="3"/>
  <c r="F9" i="3" s="1"/>
  <c r="F17" i="3" s="1"/>
  <c r="B27" i="3"/>
  <c r="F14" i="3"/>
  <c r="F13" i="3" s="1"/>
  <c r="E12" i="3"/>
  <c r="C14" i="3"/>
  <c r="C13" i="3" s="1"/>
  <c r="C27" i="3"/>
  <c r="C26" i="3" s="1"/>
  <c r="C12" i="3"/>
  <c r="C9" i="3" s="1"/>
  <c r="B14" i="3"/>
  <c r="E25" i="3"/>
  <c r="E22" i="3" s="1"/>
  <c r="E27" i="3"/>
  <c r="E26" i="3" s="1"/>
  <c r="D25" i="3"/>
  <c r="D22" i="3" s="1"/>
  <c r="D27" i="3"/>
  <c r="D26" i="3" s="1"/>
  <c r="B12" i="3"/>
  <c r="B25" i="3"/>
  <c r="C25" i="3"/>
  <c r="C22" i="3" s="1"/>
  <c r="E14" i="3"/>
  <c r="F10" i="6"/>
  <c r="G10" i="6" s="1"/>
  <c r="H10" i="6" s="1"/>
  <c r="I10" i="6" s="1"/>
  <c r="J10" i="6" s="1"/>
  <c r="K10" i="6" s="1"/>
  <c r="L10" i="6" s="1"/>
  <c r="M10" i="6" s="1"/>
  <c r="N10" i="6" s="1"/>
  <c r="G11" i="2"/>
  <c r="D51" i="2"/>
  <c r="D59" i="2" s="1"/>
  <c r="K22" i="8"/>
  <c r="G174" i="6"/>
  <c r="H174" i="6" s="1"/>
  <c r="I174" i="6" s="1"/>
  <c r="J174" i="6" s="1"/>
  <c r="K174" i="6" s="1"/>
  <c r="L174" i="6" s="1"/>
  <c r="M174" i="6" s="1"/>
  <c r="N174" i="6" s="1"/>
  <c r="G29" i="12"/>
  <c r="G25" i="12" s="1"/>
  <c r="G29" i="1"/>
  <c r="G25" i="1" s="1"/>
  <c r="F27" i="3" l="1"/>
  <c r="B26" i="3"/>
  <c r="F26" i="3" s="1"/>
  <c r="N21" i="1"/>
  <c r="N20" i="1" s="1"/>
  <c r="N33" i="1" s="1"/>
  <c r="K21" i="8"/>
  <c r="N21" i="12"/>
  <c r="N20" i="12" s="1"/>
  <c r="N33" i="12" s="1"/>
  <c r="B9" i="3"/>
  <c r="G12" i="3"/>
  <c r="E30" i="3"/>
  <c r="B61" i="2"/>
  <c r="C51" i="2"/>
  <c r="G41" i="2"/>
  <c r="B33" i="2"/>
  <c r="B34" i="2" s="1"/>
  <c r="B60" i="2"/>
  <c r="D14" i="3"/>
  <c r="D13" i="3" s="1"/>
  <c r="E13" i="3"/>
  <c r="B13" i="3"/>
  <c r="G14" i="3"/>
  <c r="D12" i="3"/>
  <c r="D9" i="3" s="1"/>
  <c r="D17" i="3" s="1"/>
  <c r="E9" i="3"/>
  <c r="E17" i="3" s="1"/>
  <c r="K37" i="8"/>
  <c r="C30" i="3"/>
  <c r="D30" i="3"/>
  <c r="C17" i="3"/>
  <c r="E35" i="6"/>
  <c r="F26" i="6"/>
  <c r="F25" i="3"/>
  <c r="B22" i="3"/>
  <c r="F22" i="3" l="1"/>
  <c r="F30" i="3" s="1"/>
  <c r="B30" i="3"/>
  <c r="G26" i="6"/>
  <c r="F35" i="6"/>
  <c r="D18" i="8" s="1"/>
  <c r="F16" i="2"/>
  <c r="G13" i="3"/>
  <c r="C59" i="2"/>
  <c r="G51" i="2"/>
  <c r="B17" i="3"/>
  <c r="G9" i="3"/>
  <c r="G17" i="3" s="1"/>
  <c r="D13" i="8" l="1"/>
  <c r="D8" i="8" s="1"/>
  <c r="D37" i="8" s="1"/>
  <c r="G17" i="12"/>
  <c r="G12" i="12" s="1"/>
  <c r="G7" i="12" s="1"/>
  <c r="G33" i="12" s="1"/>
  <c r="P33" i="12" s="1"/>
  <c r="G17" i="1"/>
  <c r="G12" i="1" s="1"/>
  <c r="G7" i="1" s="1"/>
  <c r="H26" i="6"/>
  <c r="G35" i="6"/>
  <c r="G59" i="2"/>
  <c r="C61" i="2"/>
  <c r="D33" i="2"/>
  <c r="D34" i="2" s="1"/>
  <c r="C60" i="2"/>
  <c r="G16" i="2"/>
  <c r="F8" i="2"/>
  <c r="H35" i="6" l="1"/>
  <c r="I26" i="6"/>
  <c r="G8" i="2"/>
  <c r="F24" i="2"/>
  <c r="G33" i="1"/>
  <c r="P33" i="1" s="1"/>
  <c r="D38" i="8"/>
  <c r="K38" i="8"/>
  <c r="I35" i="6" l="1"/>
  <c r="J26" i="6"/>
  <c r="G24" i="2"/>
  <c r="F32" i="2"/>
  <c r="G32" i="2" l="1"/>
  <c r="F33" i="2"/>
  <c r="G33" i="2" s="1"/>
  <c r="D60" i="2"/>
  <c r="K26" i="6"/>
  <c r="J35" i="6"/>
  <c r="D61" i="2" l="1"/>
  <c r="G61" i="2" s="1"/>
  <c r="G60" i="2"/>
  <c r="L26" i="6"/>
  <c r="K35" i="6"/>
  <c r="F34" i="2"/>
  <c r="G34" i="2" s="1"/>
  <c r="L35" i="6" l="1"/>
  <c r="M26" i="6"/>
  <c r="N26" i="6" l="1"/>
  <c r="N35" i="6" s="1"/>
  <c r="M35" i="6"/>
</calcChain>
</file>

<file path=xl/comments1.xml><?xml version="1.0" encoding="utf-8"?>
<comments xmlns="http://schemas.openxmlformats.org/spreadsheetml/2006/main">
  <authors>
    <author>Carlos Benito Martinez</author>
    <author>d835717</author>
    <author>Cleber Tavares de Souza</author>
  </authors>
  <commentList>
    <comment ref="B64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Conta Corrente SECRETARIA DA EDUCAÇÃO 
18.302-4</t>
        </r>
      </text>
    </comment>
    <comment ref="B81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Portaria SF n.22/01/2019, desvinc da receita. Valor n saiu do disponivel, por isso o ajuste</t>
        </r>
      </text>
    </comment>
    <comment ref="C81" authorId="1">
      <text>
        <r>
          <rPr>
            <sz val="9"/>
            <color indexed="81"/>
            <rFont val="Tahoma"/>
            <family val="2"/>
          </rPr>
          <t xml:space="preserve">Transferência financeira da Desvinculação adicional de R$ 3.782.776,56 referente aos valores arrecadados até 31/12/2018 ajustado no saldo Caixa e Equivalente de Caixa. A SAÍDA FINANCEIRA DESTA DESVINCULAÇÃO OCORREREU 28/01/2019.
</t>
        </r>
      </text>
    </comment>
    <comment ref="H81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Rejeição de pgto cf. informado por Dedis, a ser transferido para a conta do fumcad</t>
        </r>
      </text>
    </comment>
    <comment ref="I81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desvinculação da receita portaria n.220 de 27/07 doc 28/0/8/08.Ajuste não efetauado nesta coluna, pq saiu do disponivel .vide razão
</t>
        </r>
      </text>
    </comment>
    <comment ref="J81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saida do disponivel, sem estar no rol de pgtos.Em consulta ao disponivel de set está entrando na conta, com histórico de rejeição de pgto.</t>
        </r>
      </text>
    </comment>
    <comment ref="K81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pgto consta no disponivel, mas n na relação de pgto. Consulta
ao disponivel de outubro entra como pgto rejeitado</t>
        </r>
      </text>
    </comment>
    <comment ref="N81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Portaria SF n.22/01/2019, desvinc da receita. Valor n saiu do disponivel, por isso o ajuste</t>
        </r>
      </text>
    </comment>
    <comment ref="C141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somatorio dos dois ex. de restos, verificar
1.786,75 (EX.2016)+31.878,51 (EX.2017
=33.664,91
ambos restos processados, conf relatorio de restos</t>
        </r>
      </text>
    </comment>
    <comment ref="A169" authorId="1">
      <text>
        <r>
          <rPr>
            <sz val="9"/>
            <color indexed="81"/>
            <rFont val="Tahoma"/>
            <family val="2"/>
          </rPr>
          <t xml:space="preserve">Desvinculação adicional de R$ 5.158.455,99 referente aos valores arrecadados até 31/12/2016 ajustado no saldo Caixa e Equivalente de Caixa. Processo SEI nº 6017.2017/0004407-8.
A SAÍDA FINANCEITO DESTA DESVINCULAÇÃO OCORRERÁ NA COMPETÊNCIA DE FEVEREIRO/2017.
</t>
        </r>
      </text>
    </comment>
    <comment ref="I169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desvinculação de receita R$ 2.951.853,55 - Portaria SF 220 de 28/07/2018;
Orientação Decon: processo sei nº 6017.2017/0004407-8.
No exercício 2018 não houve informação diferente.Assim, efetuamos de forma semelhante.
</t>
        </r>
      </text>
    </comment>
    <comment ref="N169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desvinculação Adc. da receita, Portaria SF 22/01/2019
Portaria
</t>
        </r>
      </text>
    </comment>
    <comment ref="A170" authorId="1">
      <text>
        <r>
          <rPr>
            <sz val="9"/>
            <color indexed="81"/>
            <rFont val="Tahoma"/>
            <family val="2"/>
          </rPr>
          <t xml:space="preserve">Desvinculação da Receita de R$ 15.480.496,12  referente aos valores arrecadados de janeiro a 14 de julho ajustado no saldo Caixa e Equivalente de Caixa. Processo SEI nº 6017.2017/0004407-8.
A SAÍDA FINANCEITO DESTA DESVINCULAÇÃO OCORRERÁ NA COMPETÊNCIA SEGUINTE.
</t>
        </r>
      </text>
    </comment>
    <comment ref="A171" authorId="1">
      <text>
        <r>
          <rPr>
            <sz val="9"/>
            <color indexed="81"/>
            <rFont val="Tahoma"/>
            <family val="2"/>
          </rPr>
          <t xml:space="preserve">Desvinculação da Receita de R$ 15.480.496,12  referente aos valores arrecadados de janeiro a 14 de julho ajustado no saldo Caixa e Equivalente de Caixa. Processo SEI nº 6017.2017/0004407-8.
A SAÍDA FINANCEITO DESTA DESVINCULAÇÃO OCORRERÁ NA COMPETÊNCIA SEGUINTE.
</t>
        </r>
      </text>
    </comment>
    <comment ref="I172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???</t>
        </r>
      </text>
    </comment>
    <comment ref="E178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diminuir (-) 100,00 desta linha, referente a saldo devedor do mês de fevereiro 19.Não tem pgto extra por aqui.
</t>
        </r>
      </text>
    </comment>
    <comment ref="F178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diminuir 6.670,00  no mês de abril</t>
        </r>
      </text>
    </comment>
    <comment ref="I178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acerto na planilha para deduzir o valor do mês de junho: de R$ 684.358,81, linha 176; o pgto extra vira orçamentário, conf. Conversado Cleber
</t>
        </r>
      </text>
    </comment>
    <comment ref="L178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diminuir(-) 76.091,97, não tem pgto extra por aqui</t>
        </r>
      </text>
    </comment>
    <comment ref="M178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diminuido (-) 18.945,76 , não tem pgto extra por aqui
</t>
        </r>
      </text>
    </comment>
    <comment ref="C181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quando saldo credor da conta</t>
        </r>
      </text>
    </comment>
    <comment ref="M181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saldo credor da conta</t>
        </r>
      </text>
    </comment>
    <comment ref="M182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saldo credor da conta</t>
        </r>
      </text>
    </comment>
    <comment ref="N183" authorId="2">
      <text>
        <r>
          <rPr>
            <sz val="9"/>
            <color indexed="81"/>
            <rFont val="Tahoma"/>
            <family val="2"/>
          </rPr>
          <t>29/12/2017 - RECLASSIFICAÇÃO CONTÁBIL PARA AVERBAÇÃO - Do recolhimento efetuado por meio da Guia de Remessa nº 110/2017, referente à doação ao FUMCAD, para fins de restituição, conforme despacho
as fls. 27 e solicitação as fls. 33 do processo nº 2017-0.042.588-5.</t>
        </r>
      </text>
    </comment>
    <comment ref="C184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Entrou recurso no disponivel, por rejeição de pgto de dezembro/18. em Janeiro de 2019- Ver disponivel cta cod reduzido (100738)</t>
        </r>
      </text>
    </comment>
    <comment ref="F184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recolhimento DRD n.7747/2017 pg.2/8 Fumcad Imposto de Renda códiog 28460, cta 1.7.70.00.0.1.1.01.00
retirar da planilha/mês de maio</t>
        </r>
      </text>
    </comment>
    <comment ref="N184" authorId="2">
      <text>
        <r>
          <rPr>
            <sz val="9"/>
            <color indexed="81"/>
            <rFont val="Tahoma"/>
            <family val="2"/>
          </rPr>
          <t>29/12/2017 - RECLASSIFICAÇÃO CONTÁBIL PARA AVERBAÇÃO - Do recolhimento efetuado por meio do DRD nº 427/2017, referente à doação ao FUMCAD, para fins de restituição, conforme despacho as fls. 21 e
solicitação as fls. 26 do processo nº 2017-0.108.368-6.</t>
        </r>
      </text>
    </comment>
    <comment ref="D191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O vlr de Restos de R$ 4.210,08, de jan 19,foi ajustado na planilha de forma automatica.Ver que em Fev/19 esta como Receita extra, linha D178 Observar que fez parte dos vlrs pagos de restos do mês de Fevereiro/19.</t>
        </r>
      </text>
    </comment>
    <comment ref="C192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saida do disponível em 31/01/19, com pagto em 01/02/2019.É pagamento de restos.Não foi pago em Janeiro /19 - Email SF Didis e sim em Fevereiro.
</t>
        </r>
      </text>
    </comment>
    <comment ref="D192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Saida do disponível em 28/02/2019 de R$ 454.669,45, com pagamento em 01/03/2019.
</t>
        </r>
      </text>
    </comment>
    <comment ref="E192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R$ 222.011,27 saida disponivel
Relatório pgto Maio:
149.785,62+40.347,50+ 31.878,15 (restos) obs, que restos não aprece nos pgtos seja Mod 1 ou disponivel.
O valor de R$ 158.677,52 foi rejeitado, entrada em Maio, perfazendo os R$
380.688,79.
</t>
        </r>
      </text>
    </comment>
    <comment ref="F192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pgtos não localizados, a serem regularizados por Didis ,mês seguinte</t>
        </r>
      </text>
    </comment>
    <comment ref="I192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saida do disponivel não localizados nos pgtos mod 1.Pgto a ser efetuado em 01/0/8 conforme Defin : 68.674,60+373.
550,00
</t>
        </r>
      </text>
    </comment>
    <comment ref="K192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saida do disponivel 355.833,64+49185,34+405018,98-204.595,68 (pgto Modo 1 n identificado) = 200.423,30
-49.185,34 (entrada disponivel em OUT)
=151.237,96 ( pgo em OUT)
Consulta a Cleber, achou melhor deixar tudo em d+1
</t>
        </r>
      </text>
    </comment>
    <comment ref="L192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saida do disponivel em 31/10/18, com pgtos identificados na rela.pgtos mod 1 de nov/18
</t>
        </r>
      </text>
    </comment>
    <comment ref="L193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acompanhar junto a Didis, é pgto rejeitado que foi regularizado em Nov, vide disponivel</t>
        </r>
      </text>
    </comment>
    <comment ref="N193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reclassificação efetuada por SF Didis.
Obs:no  mês anterior entrou como extra</t>
        </r>
      </text>
    </comment>
    <comment ref="D194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sd devedor da conta, acertar no mês seguinte, Março /19,diminuindo na linha 178.
</t>
        </r>
      </text>
    </comment>
    <comment ref="E194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sd devedor da conta,
exclui no mês seguinte na linha 178, coluna F</t>
        </r>
      </text>
    </comment>
    <comment ref="F194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sd devedor da cta, excluir no mês de maio este vlr, na linha 178</t>
        </r>
      </text>
    </comment>
    <comment ref="H194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saldo devedor da conta
no mês seguinte, exclui o vlr na celula I 160, pq não tem pgo extra por aqui
</t>
        </r>
      </text>
    </comment>
    <comment ref="K194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saldo da conta devedora
acerta vr. na planilha mês de outubro,coluna "L, linha 
160, H178- 76.091,97
</t>
        </r>
      </text>
    </comment>
    <comment ref="L194" authorId="0">
      <text>
        <r>
          <rPr>
            <b/>
            <sz val="9"/>
            <color indexed="81"/>
            <rFont val="Tahoma"/>
            <family val="2"/>
          </rPr>
          <t>Carlos Benito Martinez:</t>
        </r>
        <r>
          <rPr>
            <sz val="9"/>
            <color indexed="81"/>
            <rFont val="Tahoma"/>
            <family val="2"/>
          </rPr>
          <t xml:space="preserve">
saldo devedor da conta,a ser diminuido em nov na linha 160, coluna M</t>
        </r>
      </text>
    </comment>
    <comment ref="N194" authorId="0">
      <text>
        <r>
          <rPr>
            <b/>
            <sz val="9"/>
            <color indexed="81"/>
            <rFont val="Tahoma"/>
            <charset val="1"/>
          </rPr>
          <t>Carlos Benito Martinez:</t>
        </r>
        <r>
          <rPr>
            <sz val="9"/>
            <color indexed="81"/>
            <rFont val="Tahoma"/>
            <charset val="1"/>
          </rPr>
          <t xml:space="preserve">
saldo da cta devedor
</t>
        </r>
      </text>
    </comment>
  </commentList>
</comments>
</file>

<file path=xl/sharedStrings.xml><?xml version="1.0" encoding="utf-8"?>
<sst xmlns="http://schemas.openxmlformats.org/spreadsheetml/2006/main" count="791" uniqueCount="307">
  <si>
    <t>FUMCAD_ Fundo Municipal da Criança e do Adolescente</t>
  </si>
  <si>
    <t xml:space="preserve">Balancete Financeiro </t>
  </si>
  <si>
    <t>em R$</t>
  </si>
  <si>
    <t>INGRESSOS</t>
  </si>
  <si>
    <t>DISPÊNDIOS</t>
  </si>
  <si>
    <t>ESPECIFICAÇÃO</t>
  </si>
  <si>
    <t>Exercício Atual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</si>
  <si>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</si>
  <si>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</si>
  <si>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</si>
  <si>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</si>
  <si>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</si>
  <si>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</si>
  <si>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</si>
  <si>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</si>
  <si>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</si>
  <si>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</si>
  <si>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</si>
  <si>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</si>
  <si>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</si>
  <si>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</si>
  <si>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</si>
  <si>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</si>
  <si>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</si>
  <si>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</si>
  <si>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</si>
  <si>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</si>
  <si>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</si>
  <si>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</si>
  <si>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>EMPENHOS NÃO LIQUIDADOS A PAGAR - TESOURO</t>
  </si>
  <si>
    <t>PAGAMENTOS DE RESTOS A PAGAR NÃO PROCESSADOS - TESOURO</t>
  </si>
  <si>
    <t>EMPENHOS NÃO LIQUIDADOS A PAGAR - OUTRAS FONTES</t>
  </si>
  <si>
    <t>PAGAMENTOS DE RESTOS A PAGAR NÃO PROCESSADOS - OUTRAS FONTES</t>
  </si>
  <si>
    <t>EMPENHOS LIQUIDADOS A PAGAR - TESOURO</t>
  </si>
  <si>
    <t>PAGAMENTOS DE RESTOS A PAGAR PROCESSADOS - TESOURO</t>
  </si>
  <si>
    <t>EMPENHOS LIQUIDADOS A PAGAR - OUTRAS FONTES</t>
  </si>
  <si>
    <t>PAGAMENTOS DE RESTOS A PAGAR PROCESSADOS - OUTRAS FONTES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</si>
  <si>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</si>
  <si>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</si>
  <si>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</si>
  <si>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</si>
  <si>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</si>
  <si>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>CAIXA E EQUIVALENTES DE CAIXA - TESOURO</t>
  </si>
  <si>
    <t>CAIXA E EQUIVALENTES DE CAIXA - OUTRAS FONTES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</si>
  <si>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</si>
  <si>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</si>
  <si>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</si>
  <si>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</si>
  <si>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</si>
  <si>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Analista de Planej. e Desenv. Organiz. - Contador</t>
  </si>
  <si>
    <t>Sec. Mun. de Direitos Humanos e Cidadania</t>
  </si>
  <si>
    <t>SMDHC</t>
  </si>
  <si>
    <t>RECEITAS ORÇAMENTÁRIAS</t>
  </si>
  <si>
    <t>Receitas Correntes (I)</t>
  </si>
  <si>
    <t>Receita Tributária</t>
  </si>
  <si>
    <t>Receita de Contribuições</t>
  </si>
  <si>
    <t>Receita Agropecuária</t>
  </si>
  <si>
    <t>Receita de Serviços</t>
  </si>
  <si>
    <t>Transferências Correntes</t>
  </si>
  <si>
    <t>Outras Receitas Correntes</t>
  </si>
  <si>
    <t>Operações de Crédito</t>
  </si>
  <si>
    <t>Amortizações de Empréstimos</t>
  </si>
  <si>
    <t>Operações de Crédito Internas</t>
  </si>
  <si>
    <t>Operações de Crédito Externas</t>
  </si>
  <si>
    <t>Reabertura de Créditos Adicionais</t>
  </si>
  <si>
    <t>DESPESAS ORÇAMENTÁRIAS</t>
  </si>
  <si>
    <t>Despesas Empenhadas (g)</t>
  </si>
  <si>
    <t>Despesas Pagas (i)</t>
  </si>
  <si>
    <t>Pessoal e Encargos Sociais</t>
  </si>
  <si>
    <t>Juros e Encargos da Dívida</t>
  </si>
  <si>
    <t>Outras Despesas Correntes</t>
  </si>
  <si>
    <t>Investimentos</t>
  </si>
  <si>
    <t>Inversões Financeiras</t>
  </si>
  <si>
    <t>Amortização da Dívida</t>
  </si>
  <si>
    <t>Reserva do RPPS (XII)</t>
  </si>
  <si>
    <t>Amortização da Dívida Interna</t>
  </si>
  <si>
    <t>Outras Dívidas</t>
  </si>
  <si>
    <t>Amortização da Dívida Externa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</si>
  <si>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</si>
  <si>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</si>
  <si>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</si>
  <si>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</si>
  <si>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</si>
  <si>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</si>
  <si>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</si>
  <si>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</si>
  <si>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</si>
  <si>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</si>
  <si>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RELATÓRIOS</t>
  </si>
  <si>
    <t>DIFERENÇA</t>
  </si>
  <si>
    <t>FONTE 05</t>
  </si>
  <si>
    <t>FONTE 00</t>
  </si>
  <si>
    <t>BOLETIM DA RECEITA POR FONTE E ORGÃO</t>
  </si>
  <si>
    <t>Receita Prevista</t>
  </si>
  <si>
    <t>Realizada no Mês</t>
  </si>
  <si>
    <t>Realizada até o Mês</t>
  </si>
  <si>
    <t>Conta Corrente</t>
  </si>
  <si>
    <t>Cód. 100738 - 8946-X</t>
  </si>
  <si>
    <t>Cód. 100738 - Aplicação</t>
  </si>
  <si>
    <t>Cód. 100071 - 5738-X</t>
  </si>
  <si>
    <t>Saldo Inicial</t>
  </si>
  <si>
    <t>FONTE 08 - Tesouro Municipal - Recursos Vinculados</t>
  </si>
  <si>
    <t>Realizada no Mês - CONCILIADO</t>
  </si>
  <si>
    <t>Realizada até o Mês - CONCILIADO</t>
  </si>
  <si>
    <t>FONTE 05 - Outras Fontes</t>
  </si>
  <si>
    <t>RAZÃO DE DISPONÍVEIS</t>
  </si>
  <si>
    <t>RAZÃO DE ARRECADAÇÃO</t>
  </si>
  <si>
    <t>Valores Indevidos (-)</t>
  </si>
  <si>
    <t>ACOMPANHAMENTO DE EXECUÇÃO ORÇAMENTÁRIA</t>
  </si>
  <si>
    <t>Empenhado Até o Mês</t>
  </si>
  <si>
    <t>Pago Até o Mês</t>
  </si>
  <si>
    <t>Liquidado Até o Mês</t>
  </si>
  <si>
    <t>Liquidado A Pagar</t>
  </si>
  <si>
    <t>NÃO Liquidado A Pagar</t>
  </si>
  <si>
    <t>POR FONTE RECURSO</t>
  </si>
  <si>
    <t>POR CONTA DE DESPESA</t>
  </si>
  <si>
    <t>Orçamento Inicial</t>
  </si>
  <si>
    <t>Orçamento Atualizado</t>
  </si>
  <si>
    <t>DESPESA CORRENTE</t>
  </si>
  <si>
    <t>DESPESA CAPITAL</t>
  </si>
  <si>
    <r>
      <t xml:space="preserve">ACOMPANHAMENTO DE EXECUÇÃO ORÇAMENTÁRIA - </t>
    </r>
    <r>
      <rPr>
        <b/>
        <i/>
        <sz val="10"/>
        <color indexed="8"/>
        <rFont val="Arial"/>
        <family val="2"/>
      </rPr>
      <t>RESTO A PAGAR</t>
    </r>
  </si>
  <si>
    <t>Não Processado</t>
  </si>
  <si>
    <t>Processado</t>
  </si>
  <si>
    <t>PAGAMENTO</t>
  </si>
  <si>
    <t>POR CONTA DE DESPESA - DESPESA CORRENTE</t>
  </si>
  <si>
    <t>SALDO TRANSFERIDO</t>
  </si>
  <si>
    <t>CANCELAMENTO</t>
  </si>
  <si>
    <t>POR CONTA DE DESPESA - DESPESA CAPITAL</t>
  </si>
  <si>
    <t>TOTAL GERAL</t>
  </si>
  <si>
    <t>Fonte:</t>
  </si>
  <si>
    <t>Notas Explicativas:</t>
  </si>
  <si>
    <t>Nome do Responsável e assinatura</t>
  </si>
  <si>
    <t>Cargo</t>
  </si>
  <si>
    <t>CRC</t>
  </si>
  <si>
    <t>Balanço Financeiro - FONTE 05</t>
  </si>
  <si>
    <t>Balanço Financeiro - FONTE 00</t>
  </si>
  <si>
    <t xml:space="preserve">     Retenção Extra</t>
  </si>
  <si>
    <t>PAGAMENTOS eE RESTOS A PAGAR PROCESSAeOS - TESOURO</t>
  </si>
  <si>
    <t>Cód. 100072 - 5737-1</t>
  </si>
  <si>
    <r>
      <t xml:space="preserve">A.E.O. - </t>
    </r>
    <r>
      <rPr>
        <b/>
        <i/>
        <sz val="10"/>
        <color indexed="8"/>
        <rFont val="Arial"/>
        <family val="2"/>
      </rPr>
      <t>RESTO A PAGAR - COMPETÊNCIAS ANTERIORES</t>
    </r>
  </si>
  <si>
    <t>TRANSFERÊNCIAS FINANCEIRAS RECEBIDAS (II)</t>
  </si>
  <si>
    <t>TRANSFERÊNCIAS FINANCEIRAS CONCEDIDAS (VII)</t>
  </si>
  <si>
    <t>Não Processado - FONTE 05</t>
  </si>
  <si>
    <t>Processado - FONTE 00</t>
  </si>
  <si>
    <t>Não Processado - FONTE 00</t>
  </si>
  <si>
    <t>Processado - FONTE 05</t>
  </si>
  <si>
    <t xml:space="preserve">RECEBIMENTOS EXTRAORÇAMENTÁRIOS (III)  </t>
  </si>
  <si>
    <t xml:space="preserve">PAGAMENTOS EXTRAORÇAMENTÁRIOS  (VIII)    </t>
  </si>
  <si>
    <t>RECURSO MÊS ANTERIOR</t>
  </si>
  <si>
    <t>TOTAL RECEBIMENTO ACUMULADO</t>
  </si>
  <si>
    <t>TOTAL PAGAMENTO ACUMULADO</t>
  </si>
  <si>
    <t>Cód. 100071 - Aplicação</t>
  </si>
  <si>
    <t>EXECUÇÃO DE RESTOS A PAGAR PROCESSADO E NÃO PROCESSADOS</t>
  </si>
  <si>
    <t>BALANÇO ORÇAMENTÁRIO</t>
  </si>
  <si>
    <t>ORÇAMENTOS FISCAL E DA SEGURIDADE SOCIAL</t>
  </si>
  <si>
    <t>Previsão Inicial (a)</t>
  </si>
  <si>
    <t>Previsão Atualizada (b)</t>
  </si>
  <si>
    <t>Receitas Realizadas ( c )</t>
  </si>
  <si>
    <t>Saldo d= (c-b)</t>
  </si>
  <si>
    <t>Receita Patrimonial</t>
  </si>
  <si>
    <t>Receita Industrial</t>
  </si>
  <si>
    <t>Receitas de Capital (II)</t>
  </si>
  <si>
    <t>Alienação de Bens</t>
  </si>
  <si>
    <t>Transferências de Capital</t>
  </si>
  <si>
    <t>Outras Receitas de Capital</t>
  </si>
  <si>
    <t>Mobiliária</t>
  </si>
  <si>
    <t>Contratual</t>
  </si>
  <si>
    <t>SALDOS DE EXERCÍCIO ANTERIORES</t>
  </si>
  <si>
    <t>Dotação Inicial (e)</t>
  </si>
  <si>
    <t>Dotação Atualizada (f)</t>
  </si>
  <si>
    <t>Despesas Liquidadas (h)</t>
  </si>
  <si>
    <t>Saldo da dotação (j) =(f-g)</t>
  </si>
  <si>
    <t>Dívida mobiliária</t>
  </si>
  <si>
    <t>Dívida Mobiliária</t>
  </si>
  <si>
    <t>Cód. 100991 - 18114-X</t>
  </si>
  <si>
    <t>Exercício Anterior</t>
  </si>
  <si>
    <t>RENDIMENTO FINANCEIRO DA TRANSFERÊNCIA PARA EDUCAÇÃO</t>
  </si>
  <si>
    <r>
      <t xml:space="preserve">5. </t>
    </r>
    <r>
      <rPr>
        <b/>
        <sz val="7"/>
        <rFont val="Arial"/>
        <family val="2"/>
      </rPr>
      <t>Outros Recebimentos Extraorçamentários</t>
    </r>
  </si>
  <si>
    <r>
      <t xml:space="preserve">6. </t>
    </r>
    <r>
      <rPr>
        <b/>
        <sz val="7"/>
        <rFont val="Arial"/>
        <family val="2"/>
      </rPr>
      <t>Outros Pagamentos Extraorçamentários</t>
    </r>
  </si>
  <si>
    <t>Saida de recurso para pagamento D+1 a ser realizado no mês seguinte</t>
  </si>
  <si>
    <t>RECURSOS A RECEBER</t>
  </si>
  <si>
    <t>RECURSOS A RECEBER - CC 18114-5</t>
  </si>
  <si>
    <t>CC 18114-5 - Créditos – FUMCAD - aguardando conciliação</t>
  </si>
  <si>
    <t>Debora Eduarda Rezende Sindona</t>
  </si>
  <si>
    <t>Supervisora de Execução Orçamentáriae Financeiro</t>
  </si>
  <si>
    <r>
      <t xml:space="preserve">4. </t>
    </r>
    <r>
      <rPr>
        <b/>
        <sz val="7"/>
        <rFont val="Arial"/>
        <family val="2"/>
      </rPr>
      <t>Caixa e Equivalente de Caixa</t>
    </r>
    <r>
      <rPr>
        <sz val="7"/>
        <rFont val="Arial"/>
        <family val="2"/>
      </rPr>
      <t xml:space="preserve"> - conciliados de acordo com as contas movimentos e de arrecadações de boletos do fundo.</t>
    </r>
  </si>
  <si>
    <t>6.1. Trata-se de recursos extraorçamentários reclassificados como orçamentários, reclassificação entre contas de receitas e transferências de recursos para pagamentos a serem realizados na competência seguinte.</t>
  </si>
  <si>
    <t>CRC 1SP148226/O</t>
  </si>
  <si>
    <t>FUMCAD - Fundo Municipal da Criança e do Adolescente</t>
  </si>
  <si>
    <t>DESVINCULAÇÃO ADICIONAL DA RECEITA - R$5.158.455,99</t>
  </si>
  <si>
    <t>Reclassificação Mensal - devolução por meio depósito judicial</t>
  </si>
  <si>
    <r>
      <t xml:space="preserve">3. </t>
    </r>
    <r>
      <rPr>
        <b/>
        <sz val="7"/>
        <rFont val="Arial"/>
        <family val="2"/>
      </rPr>
      <t>Transferências Financeiras Concedidas:</t>
    </r>
  </si>
  <si>
    <t>DESVINCULAÇÃO ADICIONAL DA RECEITA - R$15.480.496,12</t>
  </si>
  <si>
    <t>Superávit Financeiro</t>
  </si>
  <si>
    <t>DESVINCULAÇÃO ADICIONAL DA RECEITA - R$15.262.094,25</t>
  </si>
  <si>
    <r>
      <rPr>
        <b/>
        <sz val="7"/>
        <rFont val="Arial"/>
        <family val="2"/>
      </rPr>
      <t>7. Receita Orçamentária ORDINÁRIA</t>
    </r>
    <r>
      <rPr>
        <sz val="7"/>
        <rFont val="Arial"/>
        <family val="2"/>
      </rPr>
      <t xml:space="preserve"> - Valor da desvinculação do excercício de 2017. Processo SEI 6017.2017/0004407-8.</t>
    </r>
  </si>
  <si>
    <t>6.2. Pagamento de R$ 96.129,85 referente a dezembro que foi rejeitado e que foi estornado para o Caixa em janeiro 2018.</t>
  </si>
  <si>
    <t>1.3.2.1.00.5.1.01.06.022.001.11.01.000 - FUMCAD</t>
  </si>
  <si>
    <t>1.7.7.0.00.1.1.00.00.000.000.11.01.000 - FUMCAD - Imposto de Renda</t>
  </si>
  <si>
    <t>1.9.9.0.99.1.1.05.00.000.000.11.01.000 - FUMCAD</t>
  </si>
  <si>
    <t>1.3.2.1.00.5.1.01.06.022.001.11.01.000</t>
  </si>
  <si>
    <t>1.7.7.0.00.1.1.00.00.000.000.11.01.000</t>
  </si>
  <si>
    <t xml:space="preserve">1.9.9.0.99.1.1.05.00.000.000.11.01.000 </t>
  </si>
  <si>
    <t>1.9.2.2.99.1.1.01.00.000.000.11.01.000</t>
  </si>
  <si>
    <t>1.9.2.2.99.1.1.01.00.000.000.11.01.000 - FUMCAD - Outras Restituições</t>
  </si>
  <si>
    <t>(25955) - FUMCAD</t>
  </si>
  <si>
    <t>(28460) - FUMCAD - Imposto de Renda</t>
  </si>
  <si>
    <t>(28746) - FUMCAD - Outras Restit.</t>
  </si>
  <si>
    <t>(28988) FUMCAD</t>
  </si>
  <si>
    <t>C - Créditos - FUMCAD (31160) - Integração Arrecadação - Apropriação</t>
  </si>
  <si>
    <t>C - Créditos de Repasse FUMCAD (31371) - Integração Arrecadação - Reclassificação</t>
  </si>
  <si>
    <t>4.1. Saldo Inicial ajustado em R$15.262.094,25 em virtude da não transferência financeira, em dezembro 2017, do valor adicional da desvinculação para o Tesouro.</t>
  </si>
  <si>
    <t>5.1. Trata-se da conciliação dos boletos de arrecadações dos créditos e recursos extraorçamentários a apropriar.</t>
  </si>
  <si>
    <t>2. Os documentos que serviram de base para sua apresentação, encontram-se encartados no Processo SEI nº 6074.2018/0000181-9.</t>
  </si>
  <si>
    <t>D - Aprop. em F.IR dos Créditos – FUMCAD de aprop. como rec. da compet. anterior</t>
  </si>
  <si>
    <t>Valores RENDIMENTO DA CONTA SME - PROJETO MAIS ESCOLA</t>
  </si>
  <si>
    <t>D - Créditos - FUMCAD (31160) - Integração Arrecadação - Apropriação</t>
  </si>
  <si>
    <t>RESTOS A PAGAR  PROCESSADO</t>
  </si>
  <si>
    <t>RESTOS A PAGAR NÃO PROCESSADO</t>
  </si>
  <si>
    <t>5.2. Do valor R$5.000,00 debitado através da Guia de Remessa nº 135758/2017 na conta Créditos - FUMCAD, que reclassificamos para SAF 28460, conforme solicitação as fls. 41 do processo 2017-0.042.588-5.</t>
  </si>
  <si>
    <t xml:space="preserve">EMPENHOS NÃO LIQUIDADOS A PAGAR </t>
  </si>
  <si>
    <t xml:space="preserve">EMPENHOS LIQUIDADOS A PAGAR </t>
  </si>
  <si>
    <t xml:space="preserve">CAIXA E EQUIVALENTES DE CAIXA </t>
  </si>
  <si>
    <t>Carlos Benito Martinez</t>
  </si>
  <si>
    <t>CRC 1SP124487/O-6</t>
  </si>
  <si>
    <t>transferencia mais escolas</t>
  </si>
  <si>
    <t>3.1. Redimentos financeiros, do recurso transferido para o Projeto Mais Escola , repassados para SME (MAIS O REPASSE COMPLEMENTAR DO PROJETO MAIS ESCOLA DECRETO Nº 58.163/2018</t>
  </si>
  <si>
    <t>4.2. AJUSTE  no saldo do Disponível do mês de Abril/18 de R$ 453.315,34  - referente a pagamentos efetuados, sem a contrapartida do FUMCAD, regularizado em 7/05/2018 por SF/ Defin/Didis nº 2170/2018 - lcto nº5936</t>
  </si>
  <si>
    <t>5.3. Recolhimento efetuado por meio de DRD nº 774/2017, ref. valor depositado ao FUMCAD de R$ 200,00, ofício nº 576/2016 do TJSP, cf. fls. 26 do processo 2017-0.120.214-6</t>
  </si>
  <si>
    <t>Sec.Munic.de Direitos Humanos e Cidadania</t>
  </si>
  <si>
    <t xml:space="preserve">PAGAMENTOS DE RESTOS A PAGAR NÃO PROCESSADOS </t>
  </si>
  <si>
    <t xml:space="preserve">PAGAMENTOS DE RESTOS A PAGAR PROCESSADOS </t>
  </si>
  <si>
    <t>anterior</t>
  </si>
  <si>
    <t>atual</t>
  </si>
  <si>
    <t>-</t>
  </si>
  <si>
    <t xml:space="preserve"> Analista de Planej. e Desenv. Organiz. - Contador</t>
  </si>
  <si>
    <t>JUNHO 2018</t>
  </si>
  <si>
    <t>Berenice Maria Giannella</t>
  </si>
  <si>
    <t xml:space="preserve">CPF: </t>
  </si>
  <si>
    <t>CPF: 119.045.358-44</t>
  </si>
  <si>
    <t xml:space="preserve"> </t>
  </si>
  <si>
    <t xml:space="preserve">TOTAL (V) = (I+II+III+IV)
</t>
  </si>
  <si>
    <t>TOTAL (X) = (VI+VII+VIII+IX)</t>
  </si>
  <si>
    <t>SUBTOTAL DAS RECEITAS (III) = (I + II )</t>
  </si>
  <si>
    <t>Operações de Crédito / Refinanciamento (IV)</t>
  </si>
  <si>
    <t>SUBTOTAL COM REFINANCIAMENTO ( V) = (III + IV)</t>
  </si>
  <si>
    <t>Déficit (VI)</t>
  </si>
  <si>
    <t>TOTAL (VII) = (V + VI)</t>
  </si>
  <si>
    <t>Despesas Correntes (VIII)</t>
  </si>
  <si>
    <t>Despesas de Capital (IX)</t>
  </si>
  <si>
    <t>Reserva de Contingência (X)</t>
  </si>
  <si>
    <t>SUBTOTAL DAS DESPESAS (XI)= (VIII + IX + X)</t>
  </si>
  <si>
    <t>Amortização da Dívida/ Refinanciamento (XII)</t>
  </si>
  <si>
    <t>SUBTOTAL COM REFINANCIAMENTO (XIII)= (XI+ XII)</t>
  </si>
  <si>
    <t>Superávit (XIII)</t>
  </si>
  <si>
    <t>TOTAL (XIV) = (XII + XIII)</t>
  </si>
  <si>
    <t>Recursos Arrecadados em Exercícios Anteriores</t>
  </si>
  <si>
    <t xml:space="preserve">Reserva do RPPS </t>
  </si>
  <si>
    <t>EXERCICIO ANTERIOR</t>
  </si>
  <si>
    <t xml:space="preserve">                                           </t>
  </si>
  <si>
    <t>1.9.1.0.08.1.1.02.00.000.11.01.000 - FUMCAD - Multas Decorrentes De Sentenças Judiciais</t>
  </si>
  <si>
    <t>1.7.4.0.00.1.1.01.13.000.000.11.01.000</t>
  </si>
  <si>
    <t>1.7.4.0.00.1.1.01.13.000.000.11.01.000 Transf.Instituições Privadas - FUMCAD Doações Direcionadas[</t>
  </si>
  <si>
    <t>1.9.1.0.08.1.1.02.00.000.000.11.01.000</t>
  </si>
  <si>
    <t>1.7.7.0.00.1.1.10.00.000.11.01.000 Transf. Pessoas Fisicas - FUMCAD Doações Direcionadas</t>
  </si>
  <si>
    <t>Reclassificação da Arrecadação - FUMCAD ( 31371);e/ou outras Reclass</t>
  </si>
  <si>
    <t>(33693)Tranf.Inst.Priv.-Doações Direc.</t>
  </si>
  <si>
    <t>1.7.7.0.00.1.1.10.00.000.000.11.01.000</t>
  </si>
  <si>
    <t>(28601) - FUMCAD - Multas Judiciais</t>
  </si>
  <si>
    <t xml:space="preserve">INSCRIÇÃO RESTOS A PAGAR NÃO PROCESSADOS </t>
  </si>
  <si>
    <t xml:space="preserve">INSCRIÇÃO DE RESTOS A PAGAR PROCESSADOS </t>
  </si>
  <si>
    <t>Ajuste - Desvinculação de Receita 2018</t>
  </si>
  <si>
    <t>DEZEMBRO 2019</t>
  </si>
  <si>
    <t>2. Os documentos que serviram de base para sua apresentação, encontram-se encartados no Processo SEI nº 6074.2019/0000/159-4</t>
  </si>
  <si>
    <t>Pagos (c)</t>
  </si>
  <si>
    <t>Cancelados (d)</t>
  </si>
  <si>
    <t>Saldo (e)= (a+b-c-d)</t>
  </si>
  <si>
    <t>3. Modelo do MCASP - 8ª edição, a partir do exercício de 2019.</t>
  </si>
  <si>
    <t>pagto rejeitado em exercício anterior 2018, devolução em Jan 2019</t>
  </si>
  <si>
    <t>4. Outras Receitas Correntes - Imposto de Renda; Devoluções; Apropriação sem identificação do doador;Multas de Sentenças Judiciais.</t>
  </si>
  <si>
    <t>3. Receita Patrimonial - Rendimentos Financeiros.</t>
  </si>
  <si>
    <t>5.1.Trata-se da conciliação dos boletos de arrecadações dos créditos e recursos extraorçamentários a apropriar.</t>
  </si>
  <si>
    <t>6.1.Trata-se de recursos extraorçamentários reclassificados como orçamentários, reclassificação entre contas de receitas e transferências de recursos para pagamentos a serem realizados na competência seguinte.</t>
  </si>
  <si>
    <t>4.1.Saldo Inicial ajustado em R$ 3.782.776,56 em virtude da não transferência financeira, em dezembro 2018, do valor adicional da desvinculação para o Tesouro.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</si>
  <si>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</si>
  <si>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1. Em observância a Portaria SF nº 266, de Outubro de 2016.</t>
  </si>
  <si>
    <t>6.2 Movimentação de saída do disponível em Fevereiro 2019, no valor de R$ 454.669,45, com pagamento no mês seguinte.</t>
  </si>
  <si>
    <r>
      <t xml:space="preserve">3. </t>
    </r>
    <r>
      <rPr>
        <b/>
        <sz val="10"/>
        <rFont val="Arial"/>
        <family val="2"/>
      </rPr>
      <t>Transferências Financeiras Concedidas:</t>
    </r>
  </si>
  <si>
    <r>
      <t xml:space="preserve">5. </t>
    </r>
    <r>
      <rPr>
        <b/>
        <sz val="10"/>
        <rFont val="Arial"/>
        <family val="2"/>
      </rPr>
      <t>Outros Recebimentos Extraorçamentários</t>
    </r>
  </si>
  <si>
    <r>
      <t xml:space="preserve">6. </t>
    </r>
    <r>
      <rPr>
        <b/>
        <sz val="10"/>
        <rFont val="Arial"/>
        <family val="2"/>
      </rPr>
      <t>Outros Pagamentos Extraorçamentários</t>
    </r>
  </si>
  <si>
    <r>
      <t>7.0.</t>
    </r>
    <r>
      <rPr>
        <b/>
        <sz val="10"/>
        <rFont val="Arial"/>
        <family val="2"/>
      </rPr>
      <t>Lei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Orçamentaria - LOA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</si>
  <si>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3.1.Rendimentos financeiros, do recurso transferido para o Projeto Mais Escola , repassados para SME (mais o repasse complementar do projeto mais escola Decrerto nº 58.163/2018.)</t>
  </si>
  <si>
    <t>VALORES DE DEZEMBRO DE 2018 - EXERCÍCIO DE 2019</t>
  </si>
  <si>
    <r>
      <t xml:space="preserve">4. </t>
    </r>
    <r>
      <rPr>
        <b/>
        <sz val="10"/>
        <rFont val="Arial"/>
        <family val="2"/>
      </rPr>
      <t>Caixa e Equivalente de Caixa</t>
    </r>
    <r>
      <rPr>
        <sz val="10"/>
        <rFont val="Arial"/>
        <family val="2"/>
      </rPr>
      <t xml:space="preserve"> - conciliados de acordo com as contas movimentos e de arredações de boletos do fundo.</t>
    </r>
  </si>
  <si>
    <t>total de rendimentos transferidos para educação</t>
  </si>
  <si>
    <t xml:space="preserve">Sec.Munic.de Direitos Humanos e Cidadania </t>
  </si>
  <si>
    <t>(33696)Tranf.Inst.Pes.Fis.-Doações Direc.</t>
  </si>
  <si>
    <t>ABRIL 2019</t>
  </si>
  <si>
    <t>COMPETÊNCIA: ABRIL 2019</t>
  </si>
  <si>
    <t>5.2 Estorno de parte do valor recolhido através da DRD nº 2624/2018, no valor de R$ 122,50, para fins de quitação da Guia de Depósito Judicial, conforme despacho de fls.14 do processo nº 2018-0.078.297-3.</t>
  </si>
  <si>
    <t xml:space="preserve">Inês Aparecida da Costa Figueiredo Santos </t>
  </si>
  <si>
    <t>Diretora  de Divisão Técnica</t>
  </si>
  <si>
    <t>Diretora de Divisão Técnica</t>
  </si>
  <si>
    <t xml:space="preserve">               Diretora de Divisão Técnica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</si>
  <si>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</si>
  <si>
    <t>CRC 1SP256806/O-2</t>
  </si>
  <si>
    <t>6.2 Saída do disponível em Abril 2019,no total de R$ 152.694,56, referentes a pagamentos em duplicidade, a serem ressarcidos ao Fumcad, conforme e-mail de SF/ Didis..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</si>
</sst>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#,##0.00_ ;\-#,##0.00\ "/>
  </numFmts>
  <fonts count="75" x14ac:knownFonts="1">
    <font>
      <sz val="10"/>
      <color indexed="8"/>
      <name val="ARIAL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1"/>
      <name val="Calibri"/>
      <family val="2"/>
    </font>
    <font>
      <b/>
      <sz val="11"/>
      <color indexed="9"/>
      <name val="Calibri"/>
      <family val="2"/>
    </font>
    <font>
      <sz val="11"/>
      <color indexed="51"/>
      <name val="Calibri"/>
      <family val="2"/>
    </font>
    <font>
      <sz val="11"/>
      <color indexed="61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8"/>
      <color indexed="61"/>
      <name val="Cambria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indexed="52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8"/>
      <name val="Arial"/>
      <family val="2"/>
    </font>
    <font>
      <sz val="8"/>
      <color indexed="52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8"/>
      <color indexed="10"/>
      <name val="Arial"/>
      <family val="2"/>
    </font>
    <font>
      <b/>
      <sz val="7"/>
      <color indexed="52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12"/>
      <color indexed="8"/>
      <name val="Calibri"/>
      <family val="2"/>
    </font>
    <font>
      <b/>
      <sz val="9"/>
      <color indexed="81"/>
      <name val="Tahoma"/>
      <family val="2"/>
    </font>
    <font>
      <sz val="8.15"/>
      <name val="Arial"/>
      <family val="2"/>
    </font>
    <font>
      <sz val="8.15"/>
      <color indexed="8"/>
      <name val="Arial"/>
      <family val="2"/>
    </font>
    <font>
      <sz val="12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name val="Arial"/>
      <family val="2"/>
    </font>
    <font>
      <b/>
      <sz val="9"/>
      <name val="Arial"/>
      <family val="2"/>
    </font>
    <font>
      <b/>
      <u/>
      <sz val="11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8.15"/>
      <name val="Arial"/>
      <family val="2"/>
    </font>
    <font>
      <sz val="8"/>
      <color rgb="FFFF0000"/>
      <name val="Arial"/>
      <family val="2"/>
    </font>
    <font>
      <b/>
      <sz val="7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9"/>
      <color rgb="FFFFC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8.15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>
      <alignment vertical="top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4" fillId="11" borderId="1" applyNumberFormat="0" applyAlignment="0" applyProtection="0"/>
    <xf numFmtId="0" fontId="5" fillId="12" borderId="2" applyNumberFormat="0" applyAlignment="0" applyProtection="0"/>
    <xf numFmtId="0" fontId="6" fillId="0" borderId="3" applyNumberFormat="0" applyFill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7" fillId="7" borderId="1" applyNumberFormat="0" applyAlignment="0" applyProtection="0"/>
    <xf numFmtId="0" fontId="8" fillId="16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" fillId="0" borderId="0"/>
    <xf numFmtId="0" fontId="9" fillId="4" borderId="4" applyNumberFormat="0" applyFont="0" applyAlignment="0" applyProtection="0"/>
    <xf numFmtId="9" fontId="9" fillId="0" borderId="0" applyFont="0" applyFill="0" applyBorder="0" applyAlignment="0" applyProtection="0"/>
    <xf numFmtId="0" fontId="12" fillId="11" borderId="5" applyNumberFormat="0" applyAlignment="0" applyProtection="0"/>
    <xf numFmtId="166" fontId="1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43" fontId="9" fillId="0" borderId="0" applyFont="0" applyFill="0" applyBorder="0" applyAlignment="0" applyProtection="0"/>
  </cellStyleXfs>
  <cellXfs count="547">
    <xf numFmtId="0" fontId="0" fillId="0" borderId="0" xfId="0">
      <alignment vertical="top"/>
    </xf>
    <xf numFmtId="0" fontId="21" fillId="0" borderId="0" xfId="0" applyFont="1" applyFill="1" applyAlignment="1">
      <alignment vertical="center"/>
    </xf>
    <xf numFmtId="43" fontId="21" fillId="0" borderId="0" xfId="46" applyFont="1" applyFill="1" applyAlignment="1">
      <alignment vertical="center"/>
    </xf>
    <xf numFmtId="0" fontId="21" fillId="0" borderId="0" xfId="0" applyFont="1" applyFill="1" applyAlignment="1">
      <alignment horizontal="center" vertical="center" wrapText="1" readingOrder="1"/>
    </xf>
    <xf numFmtId="0" fontId="21" fillId="0" borderId="0" xfId="0" applyFont="1" applyFill="1" applyAlignment="1">
      <alignment horizontal="right" vertical="center" wrapText="1" readingOrder="1"/>
    </xf>
    <xf numFmtId="0" fontId="23" fillId="17" borderId="10" xfId="0" applyFont="1" applyFill="1" applyBorder="1" applyAlignment="1">
      <alignment horizontal="center" vertical="center" readingOrder="1"/>
    </xf>
    <xf numFmtId="164" fontId="23" fillId="0" borderId="11" xfId="0" applyNumberFormat="1" applyFont="1" applyFill="1" applyBorder="1" applyAlignment="1">
      <alignment vertical="center"/>
    </xf>
    <xf numFmtId="165" fontId="21" fillId="0" borderId="0" xfId="0" applyNumberFormat="1" applyFont="1" applyFill="1" applyAlignment="1">
      <alignment vertical="center"/>
    </xf>
    <xf numFmtId="2" fontId="21" fillId="0" borderId="0" xfId="0" applyNumberFormat="1" applyFont="1" applyFill="1" applyAlignment="1">
      <alignment vertical="center"/>
    </xf>
    <xf numFmtId="164" fontId="21" fillId="0" borderId="11" xfId="0" applyNumberFormat="1" applyFont="1" applyFill="1" applyBorder="1" applyAlignment="1">
      <alignment vertical="center"/>
    </xf>
    <xf numFmtId="165" fontId="21" fillId="0" borderId="0" xfId="46" applyNumberFormat="1" applyFont="1" applyFill="1" applyAlignment="1">
      <alignment vertical="center"/>
    </xf>
    <xf numFmtId="164" fontId="21" fillId="0" borderId="12" xfId="0" applyNumberFormat="1" applyFont="1" applyFill="1" applyBorder="1" applyAlignment="1">
      <alignment vertical="center"/>
    </xf>
    <xf numFmtId="164" fontId="23" fillId="0" borderId="12" xfId="0" applyNumberFormat="1" applyFont="1" applyFill="1" applyBorder="1" applyAlignment="1">
      <alignment vertical="center"/>
    </xf>
    <xf numFmtId="164" fontId="21" fillId="0" borderId="13" xfId="0" applyNumberFormat="1" applyFont="1" applyFill="1" applyBorder="1" applyAlignment="1">
      <alignment vertical="center"/>
    </xf>
    <xf numFmtId="164" fontId="23" fillId="0" borderId="10" xfId="0" applyNumberFormat="1" applyFont="1" applyFill="1" applyBorder="1" applyAlignment="1">
      <alignment vertical="center"/>
    </xf>
    <xf numFmtId="43" fontId="21" fillId="0" borderId="0" xfId="0" applyNumberFormat="1" applyFont="1" applyFill="1" applyAlignment="1">
      <alignment vertical="center"/>
    </xf>
    <xf numFmtId="164" fontId="23" fillId="0" borderId="10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 readingOrder="1"/>
    </xf>
    <xf numFmtId="0" fontId="23" fillId="0" borderId="0" xfId="0" applyFont="1" applyFill="1" applyAlignment="1">
      <alignment vertical="center" readingOrder="1"/>
    </xf>
    <xf numFmtId="164" fontId="23" fillId="0" borderId="0" xfId="0" applyNumberFormat="1" applyFont="1" applyFill="1" applyAlignment="1">
      <alignment vertical="center"/>
    </xf>
    <xf numFmtId="164" fontId="23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left" vertical="center" readingOrder="1"/>
    </xf>
    <xf numFmtId="43" fontId="21" fillId="0" borderId="0" xfId="46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readingOrder="1"/>
    </xf>
    <xf numFmtId="0" fontId="27" fillId="0" borderId="0" xfId="0" applyFont="1" applyFill="1" applyAlignment="1">
      <alignment vertical="center" readingOrder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164" fontId="21" fillId="0" borderId="0" xfId="0" applyNumberFormat="1" applyFont="1" applyFill="1" applyAlignment="1">
      <alignment vertical="center"/>
    </xf>
    <xf numFmtId="0" fontId="19" fillId="0" borderId="0" xfId="33" applyFont="1" applyAlignment="1">
      <alignment horizontal="center"/>
    </xf>
    <xf numFmtId="0" fontId="1" fillId="0" borderId="0" xfId="33"/>
    <xf numFmtId="166" fontId="1" fillId="0" borderId="12" xfId="46" applyNumberFormat="1" applyFont="1" applyBorder="1"/>
    <xf numFmtId="166" fontId="19" fillId="18" borderId="10" xfId="46" applyNumberFormat="1" applyFont="1" applyFill="1" applyBorder="1"/>
    <xf numFmtId="166" fontId="1" fillId="0" borderId="12" xfId="33" applyNumberFormat="1" applyBorder="1"/>
    <xf numFmtId="166" fontId="1" fillId="18" borderId="11" xfId="33" applyNumberFormat="1" applyFill="1" applyBorder="1"/>
    <xf numFmtId="0" fontId="19" fillId="0" borderId="0" xfId="33" applyFont="1"/>
    <xf numFmtId="166" fontId="1" fillId="18" borderId="13" xfId="46" applyNumberFormat="1" applyFont="1" applyFill="1" applyBorder="1"/>
    <xf numFmtId="0" fontId="1" fillId="0" borderId="11" xfId="33" applyBorder="1"/>
    <xf numFmtId="0" fontId="1" fillId="0" borderId="0" xfId="33" applyAlignment="1">
      <alignment horizontal="center" vertical="center" wrapText="1"/>
    </xf>
    <xf numFmtId="43" fontId="19" fillId="0" borderId="0" xfId="33" applyNumberFormat="1" applyFont="1" applyAlignment="1">
      <alignment horizontal="center"/>
    </xf>
    <xf numFmtId="0" fontId="19" fillId="18" borderId="14" xfId="33" applyFont="1" applyFill="1" applyBorder="1" applyAlignment="1">
      <alignment horizontal="center" vertical="center" wrapText="1"/>
    </xf>
    <xf numFmtId="0" fontId="19" fillId="18" borderId="15" xfId="33" applyFont="1" applyFill="1" applyBorder="1" applyAlignment="1">
      <alignment horizontal="center" wrapText="1"/>
    </xf>
    <xf numFmtId="0" fontId="19" fillId="18" borderId="15" xfId="33" applyFont="1" applyFill="1" applyBorder="1"/>
    <xf numFmtId="166" fontId="19" fillId="18" borderId="14" xfId="46" applyNumberFormat="1" applyFont="1" applyFill="1" applyBorder="1"/>
    <xf numFmtId="166" fontId="19" fillId="18" borderId="15" xfId="46" applyNumberFormat="1" applyFont="1" applyFill="1" applyBorder="1"/>
    <xf numFmtId="166" fontId="19" fillId="18" borderId="16" xfId="46" applyNumberFormat="1" applyFont="1" applyFill="1" applyBorder="1"/>
    <xf numFmtId="166" fontId="1" fillId="0" borderId="17" xfId="33" applyNumberFormat="1" applyBorder="1"/>
    <xf numFmtId="166" fontId="1" fillId="0" borderId="18" xfId="33" applyNumberFormat="1" applyBorder="1"/>
    <xf numFmtId="166" fontId="1" fillId="0" borderId="19" xfId="33" applyNumberFormat="1" applyBorder="1"/>
    <xf numFmtId="166" fontId="1" fillId="0" borderId="18" xfId="46" applyNumberFormat="1" applyFont="1" applyBorder="1"/>
    <xf numFmtId="166" fontId="1" fillId="0" borderId="17" xfId="46" applyNumberFormat="1" applyFont="1" applyBorder="1"/>
    <xf numFmtId="166" fontId="1" fillId="0" borderId="20" xfId="33" applyNumberFormat="1" applyBorder="1"/>
    <xf numFmtId="0" fontId="19" fillId="18" borderId="14" xfId="33" applyFont="1" applyFill="1" applyBorder="1"/>
    <xf numFmtId="166" fontId="1" fillId="0" borderId="18" xfId="46" applyNumberFormat="1" applyFont="1" applyFill="1" applyBorder="1"/>
    <xf numFmtId="0" fontId="0" fillId="0" borderId="0" xfId="0" applyFill="1" applyBorder="1">
      <alignment vertical="top"/>
    </xf>
    <xf numFmtId="0" fontId="0" fillId="0" borderId="10" xfId="0" applyBorder="1">
      <alignment vertical="top"/>
    </xf>
    <xf numFmtId="0" fontId="9" fillId="0" borderId="10" xfId="0" applyFont="1" applyFill="1" applyBorder="1" applyAlignment="1">
      <alignment horizontal="left" vertical="top"/>
    </xf>
    <xf numFmtId="0" fontId="31" fillId="19" borderId="10" xfId="0" applyFont="1" applyFill="1" applyBorder="1" applyAlignment="1">
      <alignment vertical="center" wrapText="1"/>
    </xf>
    <xf numFmtId="0" fontId="31" fillId="20" borderId="10" xfId="0" applyFont="1" applyFill="1" applyBorder="1" applyAlignment="1">
      <alignment horizontal="center" vertical="center" wrapText="1"/>
    </xf>
    <xf numFmtId="0" fontId="31" fillId="19" borderId="1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1" fillId="19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19" borderId="10" xfId="0" applyFill="1" applyBorder="1">
      <alignment vertical="top"/>
    </xf>
    <xf numFmtId="0" fontId="0" fillId="19" borderId="0" xfId="0" applyFill="1" applyBorder="1" applyAlignment="1">
      <alignment horizontal="center" vertical="center" wrapText="1"/>
    </xf>
    <xf numFmtId="0" fontId="31" fillId="19" borderId="0" xfId="0" applyFont="1" applyFill="1" applyBorder="1" applyAlignment="1">
      <alignment vertical="center" wrapText="1"/>
    </xf>
    <xf numFmtId="165" fontId="0" fillId="0" borderId="10" xfId="0" applyNumberFormat="1" applyBorder="1">
      <alignment vertical="top"/>
    </xf>
    <xf numFmtId="165" fontId="0" fillId="20" borderId="10" xfId="0" applyNumberFormat="1" applyFill="1" applyBorder="1">
      <alignment vertical="top"/>
    </xf>
    <xf numFmtId="165" fontId="0" fillId="0" borderId="0" xfId="0" applyNumberFormat="1" applyFill="1" applyBorder="1">
      <alignment vertical="top"/>
    </xf>
    <xf numFmtId="165" fontId="0" fillId="0" borderId="0" xfId="0" applyNumberFormat="1">
      <alignment vertical="top"/>
    </xf>
    <xf numFmtId="165" fontId="0" fillId="19" borderId="0" xfId="0" applyNumberFormat="1" applyFill="1" applyBorder="1">
      <alignment vertical="top"/>
    </xf>
    <xf numFmtId="40" fontId="0" fillId="0" borderId="10" xfId="0" applyNumberFormat="1" applyBorder="1">
      <alignment vertical="top"/>
    </xf>
    <xf numFmtId="164" fontId="21" fillId="21" borderId="12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 wrapText="1" readingOrder="1"/>
    </xf>
    <xf numFmtId="0" fontId="21" fillId="0" borderId="0" xfId="0" applyFont="1" applyFill="1" applyAlignment="1">
      <alignment horizontal="center" vertical="center" readingOrder="1"/>
    </xf>
    <xf numFmtId="0" fontId="34" fillId="0" borderId="0" xfId="0" applyFont="1" applyFill="1" applyAlignment="1">
      <alignment horizontal="center" vertical="center" readingOrder="1"/>
    </xf>
    <xf numFmtId="0" fontId="34" fillId="0" borderId="0" xfId="0" applyFont="1" applyFill="1" applyAlignment="1">
      <alignment horizontal="center" vertical="center"/>
    </xf>
    <xf numFmtId="0" fontId="31" fillId="0" borderId="21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164" fontId="21" fillId="22" borderId="12" xfId="0" applyNumberFormat="1" applyFont="1" applyFill="1" applyBorder="1" applyAlignment="1">
      <alignment vertical="center"/>
    </xf>
    <xf numFmtId="49" fontId="1" fillId="0" borderId="0" xfId="33" applyNumberFormat="1"/>
    <xf numFmtId="17" fontId="30" fillId="18" borderId="22" xfId="0" applyNumberFormat="1" applyFont="1" applyFill="1" applyBorder="1" applyAlignment="1">
      <alignment horizontal="center" vertical="top"/>
    </xf>
    <xf numFmtId="0" fontId="9" fillId="0" borderId="10" xfId="0" applyFont="1" applyBorder="1">
      <alignment vertical="top"/>
    </xf>
    <xf numFmtId="0" fontId="9" fillId="0" borderId="10" xfId="0" applyFont="1" applyBorder="1" applyAlignment="1">
      <alignment vertical="center" wrapText="1"/>
    </xf>
    <xf numFmtId="0" fontId="31" fillId="23" borderId="10" xfId="0" applyFont="1" applyFill="1" applyBorder="1" applyAlignment="1">
      <alignment horizontal="center" vertical="center" wrapText="1"/>
    </xf>
    <xf numFmtId="165" fontId="0" fillId="23" borderId="10" xfId="0" applyNumberFormat="1" applyFill="1" applyBorder="1">
      <alignment vertical="top"/>
    </xf>
    <xf numFmtId="165" fontId="9" fillId="23" borderId="10" xfId="0" applyNumberFormat="1" applyFont="1" applyFill="1" applyBorder="1">
      <alignment vertical="top"/>
    </xf>
    <xf numFmtId="0" fontId="9" fillId="23" borderId="10" xfId="0" applyFont="1" applyFill="1" applyBorder="1" applyAlignment="1">
      <alignment vertical="center"/>
    </xf>
    <xf numFmtId="0" fontId="9" fillId="23" borderId="10" xfId="0" applyFont="1" applyFill="1" applyBorder="1" applyAlignment="1">
      <alignment vertical="center" wrapText="1"/>
    </xf>
    <xf numFmtId="0" fontId="35" fillId="22" borderId="10" xfId="0" applyFont="1" applyFill="1" applyBorder="1" applyAlignment="1">
      <alignment horizontal="center" vertical="center" wrapText="1"/>
    </xf>
    <xf numFmtId="165" fontId="36" fillId="22" borderId="10" xfId="0" applyNumberFormat="1" applyFont="1" applyFill="1" applyBorder="1">
      <alignment vertical="top"/>
    </xf>
    <xf numFmtId="0" fontId="31" fillId="24" borderId="10" xfId="0" applyFont="1" applyFill="1" applyBorder="1" applyAlignment="1">
      <alignment horizontal="center" vertical="center" wrapText="1"/>
    </xf>
    <xf numFmtId="165" fontId="0" fillId="24" borderId="10" xfId="0" applyNumberFormat="1" applyFill="1" applyBorder="1">
      <alignment vertical="top"/>
    </xf>
    <xf numFmtId="164" fontId="37" fillId="0" borderId="10" xfId="0" applyNumberFormat="1" applyFont="1" applyFill="1" applyBorder="1" applyAlignment="1">
      <alignment vertical="center"/>
    </xf>
    <xf numFmtId="164" fontId="38" fillId="22" borderId="12" xfId="0" applyNumberFormat="1" applyFont="1" applyFill="1" applyBorder="1" applyAlignment="1">
      <alignment vertical="center"/>
    </xf>
    <xf numFmtId="164" fontId="38" fillId="0" borderId="12" xfId="0" applyNumberFormat="1" applyFont="1" applyFill="1" applyBorder="1" applyAlignment="1">
      <alignment vertical="center"/>
    </xf>
    <xf numFmtId="164" fontId="37" fillId="0" borderId="12" xfId="0" applyNumberFormat="1" applyFont="1" applyFill="1" applyBorder="1" applyAlignment="1">
      <alignment vertical="center"/>
    </xf>
    <xf numFmtId="0" fontId="30" fillId="0" borderId="0" xfId="0" applyFont="1">
      <alignment vertical="top"/>
    </xf>
    <xf numFmtId="0" fontId="32" fillId="20" borderId="10" xfId="0" applyFont="1" applyFill="1" applyBorder="1" applyAlignment="1">
      <alignment horizontal="center" vertical="center" wrapText="1"/>
    </xf>
    <xf numFmtId="165" fontId="30" fillId="20" borderId="10" xfId="0" applyNumberFormat="1" applyFont="1" applyFill="1" applyBorder="1">
      <alignment vertical="top"/>
    </xf>
    <xf numFmtId="40" fontId="0" fillId="0" borderId="0" xfId="0" applyNumberFormat="1">
      <alignment vertical="top"/>
    </xf>
    <xf numFmtId="165" fontId="9" fillId="0" borderId="10" xfId="0" applyNumberFormat="1" applyFont="1" applyBorder="1">
      <alignment vertical="top"/>
    </xf>
    <xf numFmtId="0" fontId="30" fillId="0" borderId="0" xfId="0" applyFont="1" applyBorder="1" applyAlignment="1">
      <alignment horizontal="center" vertical="center" wrapText="1"/>
    </xf>
    <xf numFmtId="40" fontId="0" fillId="0" borderId="10" xfId="0" applyNumberFormat="1" applyFill="1" applyBorder="1">
      <alignment vertical="top"/>
    </xf>
    <xf numFmtId="43" fontId="21" fillId="0" borderId="0" xfId="46" applyFont="1" applyFill="1" applyAlignment="1">
      <alignment horizontal="left" vertical="center" readingOrder="1"/>
    </xf>
    <xf numFmtId="14" fontId="1" fillId="22" borderId="0" xfId="33" applyNumberFormat="1" applyFill="1"/>
    <xf numFmtId="166" fontId="1" fillId="0" borderId="17" xfId="33" applyNumberFormat="1" applyFill="1" applyBorder="1"/>
    <xf numFmtId="166" fontId="1" fillId="0" borderId="18" xfId="33" applyNumberFormat="1" applyFill="1" applyBorder="1"/>
    <xf numFmtId="0" fontId="40" fillId="0" borderId="0" xfId="0" applyFont="1" applyFill="1" applyAlignment="1">
      <alignment vertical="center" readingOrder="1"/>
    </xf>
    <xf numFmtId="0" fontId="41" fillId="0" borderId="0" xfId="0" applyFont="1" applyFill="1" applyAlignment="1">
      <alignment vertical="center" readingOrder="1"/>
    </xf>
    <xf numFmtId="164" fontId="41" fillId="0" borderId="0" xfId="0" applyNumberFormat="1" applyFont="1" applyFill="1" applyAlignment="1">
      <alignment vertical="center"/>
    </xf>
    <xf numFmtId="164" fontId="41" fillId="0" borderId="0" xfId="0" applyNumberFormat="1" applyFont="1" applyFill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2" fillId="0" borderId="0" xfId="0" applyFont="1" applyFill="1" applyAlignment="1">
      <alignment horizontal="left" vertical="center" readingOrder="1"/>
    </xf>
    <xf numFmtId="0" fontId="42" fillId="0" borderId="0" xfId="0" applyFont="1" applyFill="1" applyAlignment="1">
      <alignment horizontal="right" vertical="center"/>
    </xf>
    <xf numFmtId="43" fontId="42" fillId="0" borderId="0" xfId="0" applyNumberFormat="1" applyFont="1" applyFill="1" applyAlignment="1">
      <alignment vertical="center"/>
    </xf>
    <xf numFmtId="43" fontId="42" fillId="0" borderId="0" xfId="46" applyFont="1" applyFill="1" applyAlignment="1">
      <alignment horizontal="right" vertical="center"/>
    </xf>
    <xf numFmtId="165" fontId="45" fillId="20" borderId="10" xfId="0" applyNumberFormat="1" applyFont="1" applyFill="1" applyBorder="1">
      <alignment vertical="top"/>
    </xf>
    <xf numFmtId="43" fontId="0" fillId="0" borderId="0" xfId="46" applyFont="1" applyAlignment="1">
      <alignment vertical="top"/>
    </xf>
    <xf numFmtId="0" fontId="43" fillId="0" borderId="0" xfId="0" applyFont="1" applyFill="1" applyAlignment="1">
      <alignment vertical="center" wrapText="1" readingOrder="1"/>
    </xf>
    <xf numFmtId="0" fontId="23" fillId="17" borderId="21" xfId="0" applyFont="1" applyFill="1" applyBorder="1" applyAlignment="1">
      <alignment horizontal="center" vertical="center" readingOrder="1"/>
    </xf>
    <xf numFmtId="0" fontId="23" fillId="17" borderId="23" xfId="0" applyFont="1" applyFill="1" applyBorder="1" applyAlignment="1">
      <alignment horizontal="center" vertical="center" readingOrder="1"/>
    </xf>
    <xf numFmtId="0" fontId="23" fillId="17" borderId="22" xfId="0" applyFont="1" applyFill="1" applyBorder="1" applyAlignment="1">
      <alignment horizontal="center" vertical="center" readingOrder="1"/>
    </xf>
    <xf numFmtId="164" fontId="21" fillId="0" borderId="24" xfId="0" applyNumberFormat="1" applyFont="1" applyFill="1" applyBorder="1" applyAlignment="1">
      <alignment vertical="center"/>
    </xf>
    <xf numFmtId="164" fontId="21" fillId="0" borderId="25" xfId="0" applyNumberFormat="1" applyFont="1" applyFill="1" applyBorder="1" applyAlignment="1">
      <alignment vertical="center"/>
    </xf>
    <xf numFmtId="164" fontId="21" fillId="0" borderId="26" xfId="0" applyNumberFormat="1" applyFont="1" applyFill="1" applyBorder="1" applyAlignment="1">
      <alignment vertical="center"/>
    </xf>
    <xf numFmtId="9" fontId="27" fillId="0" borderId="0" xfId="35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164" fontId="21" fillId="0" borderId="0" xfId="46" applyNumberFormat="1" applyFont="1" applyFill="1" applyAlignment="1">
      <alignment horizontal="right" vertical="center"/>
    </xf>
    <xf numFmtId="0" fontId="9" fillId="22" borderId="10" xfId="0" applyFont="1" applyFill="1" applyBorder="1" applyAlignment="1">
      <alignment horizontal="left" vertical="top"/>
    </xf>
    <xf numFmtId="40" fontId="0" fillId="22" borderId="10" xfId="0" applyNumberFormat="1" applyFill="1" applyBorder="1">
      <alignment vertical="top"/>
    </xf>
    <xf numFmtId="43" fontId="21" fillId="0" borderId="0" xfId="0" applyNumberFormat="1" applyFont="1" applyFill="1" applyAlignment="1">
      <alignment horizontal="left" vertical="center" readingOrder="1"/>
    </xf>
    <xf numFmtId="164" fontId="21" fillId="0" borderId="0" xfId="0" applyNumberFormat="1" applyFont="1" applyFill="1" applyAlignment="1">
      <alignment horizontal="right" vertical="center"/>
    </xf>
    <xf numFmtId="165" fontId="0" fillId="0" borderId="10" xfId="0" applyNumberFormat="1" applyFill="1" applyBorder="1">
      <alignment vertical="top"/>
    </xf>
    <xf numFmtId="43" fontId="0" fillId="0" borderId="27" xfId="46" applyFont="1" applyBorder="1"/>
    <xf numFmtId="40" fontId="32" fillId="20" borderId="10" xfId="0" applyNumberFormat="1" applyFont="1" applyFill="1" applyBorder="1" applyAlignment="1">
      <alignment horizontal="center" vertical="center" wrapText="1"/>
    </xf>
    <xf numFmtId="40" fontId="30" fillId="20" borderId="10" xfId="0" applyNumberFormat="1" applyFont="1" applyFill="1" applyBorder="1">
      <alignment vertical="top"/>
    </xf>
    <xf numFmtId="43" fontId="31" fillId="19" borderId="10" xfId="46" applyFont="1" applyFill="1" applyBorder="1" applyAlignment="1">
      <alignment vertical="center" wrapText="1"/>
    </xf>
    <xf numFmtId="167" fontId="31" fillId="19" borderId="10" xfId="46" applyNumberFormat="1" applyFont="1" applyFill="1" applyBorder="1" applyAlignment="1">
      <alignment vertical="center" wrapText="1"/>
    </xf>
    <xf numFmtId="43" fontId="0" fillId="0" borderId="28" xfId="0" applyNumberFormat="1" applyBorder="1" applyAlignment="1"/>
    <xf numFmtId="4" fontId="21" fillId="0" borderId="0" xfId="0" applyNumberFormat="1" applyFont="1" applyFill="1" applyAlignment="1">
      <alignment vertical="center"/>
    </xf>
    <xf numFmtId="164" fontId="21" fillId="27" borderId="12" xfId="0" applyNumberFormat="1" applyFont="1" applyFill="1" applyBorder="1" applyAlignment="1">
      <alignment vertical="center"/>
    </xf>
    <xf numFmtId="164" fontId="63" fillId="22" borderId="12" xfId="0" applyNumberFormat="1" applyFont="1" applyFill="1" applyBorder="1" applyAlignment="1">
      <alignment vertical="center"/>
    </xf>
    <xf numFmtId="43" fontId="42" fillId="0" borderId="0" xfId="46" applyFont="1" applyFill="1" applyAlignment="1">
      <alignment vertical="center"/>
    </xf>
    <xf numFmtId="43" fontId="1" fillId="0" borderId="0" xfId="46" applyFont="1"/>
    <xf numFmtId="164" fontId="21" fillId="28" borderId="12" xfId="0" applyNumberFormat="1" applyFont="1" applyFill="1" applyBorder="1" applyAlignment="1">
      <alignment vertical="center"/>
    </xf>
    <xf numFmtId="0" fontId="19" fillId="18" borderId="10" xfId="33" applyFont="1" applyFill="1" applyBorder="1"/>
    <xf numFmtId="0" fontId="19" fillId="18" borderId="10" xfId="33" applyFont="1" applyFill="1" applyBorder="1" applyAlignment="1">
      <alignment horizontal="center"/>
    </xf>
    <xf numFmtId="0" fontId="1" fillId="0" borderId="13" xfId="33" applyBorder="1"/>
    <xf numFmtId="0" fontId="19" fillId="18" borderId="10" xfId="33" applyFont="1" applyFill="1" applyBorder="1" applyAlignment="1">
      <alignment horizontal="center" vertical="center" wrapText="1"/>
    </xf>
    <xf numFmtId="43" fontId="19" fillId="0" borderId="0" xfId="46" applyFont="1"/>
    <xf numFmtId="43" fontId="1" fillId="0" borderId="0" xfId="46" applyFont="1" applyAlignment="1">
      <alignment horizontal="center" vertical="center" wrapText="1"/>
    </xf>
    <xf numFmtId="43" fontId="23" fillId="0" borderId="0" xfId="46" applyFont="1" applyFill="1" applyAlignment="1">
      <alignment vertical="center"/>
    </xf>
    <xf numFmtId="0" fontId="43" fillId="0" borderId="0" xfId="0" applyFont="1" applyFill="1" applyAlignment="1">
      <alignment vertical="center" readingOrder="1"/>
    </xf>
    <xf numFmtId="165" fontId="45" fillId="0" borderId="10" xfId="0" applyNumberFormat="1" applyFont="1" applyFill="1" applyBorder="1">
      <alignment vertical="top"/>
    </xf>
    <xf numFmtId="165" fontId="11" fillId="0" borderId="10" xfId="0" applyNumberFormat="1" applyFont="1" applyFill="1" applyBorder="1">
      <alignment vertical="top"/>
    </xf>
    <xf numFmtId="0" fontId="0" fillId="0" borderId="0" xfId="0" applyFill="1">
      <alignment vertical="top"/>
    </xf>
    <xf numFmtId="0" fontId="0" fillId="28" borderId="10" xfId="0" applyFill="1" applyBorder="1" applyAlignment="1">
      <alignment vertical="center" wrapText="1"/>
    </xf>
    <xf numFmtId="165" fontId="45" fillId="28" borderId="10" xfId="0" applyNumberFormat="1" applyFont="1" applyFill="1" applyBorder="1">
      <alignment vertical="top"/>
    </xf>
    <xf numFmtId="165" fontId="0" fillId="29" borderId="10" xfId="0" applyNumberFormat="1" applyFill="1" applyBorder="1">
      <alignment vertical="top"/>
    </xf>
    <xf numFmtId="43" fontId="21" fillId="0" borderId="0" xfId="0" applyNumberFormat="1" applyFont="1" applyFill="1" applyAlignment="1">
      <alignment horizontal="right" vertical="center"/>
    </xf>
    <xf numFmtId="40" fontId="11" fillId="28" borderId="10" xfId="0" applyNumberFormat="1" applyFont="1" applyFill="1" applyBorder="1">
      <alignment vertical="top"/>
    </xf>
    <xf numFmtId="165" fontId="0" fillId="30" borderId="10" xfId="0" applyNumberFormat="1" applyFill="1" applyBorder="1">
      <alignment vertical="top"/>
    </xf>
    <xf numFmtId="165" fontId="0" fillId="28" borderId="10" xfId="0" applyNumberFormat="1" applyFill="1" applyBorder="1">
      <alignment vertical="top"/>
    </xf>
    <xf numFmtId="0" fontId="21" fillId="0" borderId="29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23" fillId="0" borderId="25" xfId="0" applyNumberFormat="1" applyFont="1" applyFill="1" applyBorder="1" applyAlignment="1">
      <alignment vertical="center"/>
    </xf>
    <xf numFmtId="43" fontId="9" fillId="0" borderId="0" xfId="46" applyFont="1" applyFill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3" fillId="0" borderId="10" xfId="0" applyNumberFormat="1" applyFont="1" applyFill="1" applyBorder="1" applyAlignment="1">
      <alignment vertical="center" readingOrder="1"/>
    </xf>
    <xf numFmtId="0" fontId="21" fillId="0" borderId="13" xfId="0" applyFont="1" applyFill="1" applyBorder="1" applyAlignment="1">
      <alignment horizontal="center" vertical="center"/>
    </xf>
    <xf numFmtId="164" fontId="21" fillId="0" borderId="12" xfId="0" applyNumberFormat="1" applyFont="1" applyFill="1" applyBorder="1" applyAlignment="1">
      <alignment horizontal="center" vertical="center"/>
    </xf>
    <xf numFmtId="165" fontId="11" fillId="0" borderId="10" xfId="0" applyNumberFormat="1" applyFont="1" applyBorder="1">
      <alignment vertical="top"/>
    </xf>
    <xf numFmtId="40" fontId="11" fillId="0" borderId="10" xfId="0" applyNumberFormat="1" applyFont="1" applyBorder="1">
      <alignment vertical="top"/>
    </xf>
    <xf numFmtId="9" fontId="27" fillId="0" borderId="0" xfId="35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readingOrder="1"/>
    </xf>
    <xf numFmtId="43" fontId="0" fillId="28" borderId="30" xfId="0" applyNumberFormat="1" applyFill="1" applyBorder="1" applyAlignment="1"/>
    <xf numFmtId="0" fontId="26" fillId="0" borderId="0" xfId="0" applyFont="1" applyFill="1" applyBorder="1" applyAlignment="1">
      <alignment horizontal="center" vertical="center"/>
    </xf>
    <xf numFmtId="40" fontId="0" fillId="28" borderId="10" xfId="0" applyNumberFormat="1" applyFill="1" applyBorder="1">
      <alignment vertical="top"/>
    </xf>
    <xf numFmtId="165" fontId="0" fillId="31" borderId="10" xfId="0" applyNumberFormat="1" applyFill="1" applyBorder="1">
      <alignment vertical="top"/>
    </xf>
    <xf numFmtId="165" fontId="11" fillId="32" borderId="10" xfId="0" applyNumberFormat="1" applyFont="1" applyFill="1" applyBorder="1">
      <alignment vertical="top"/>
    </xf>
    <xf numFmtId="0" fontId="64" fillId="0" borderId="0" xfId="0" applyFont="1" applyFill="1" applyAlignment="1">
      <alignment vertical="center" readingOrder="1"/>
    </xf>
    <xf numFmtId="0" fontId="21" fillId="0" borderId="0" xfId="0" applyFont="1" applyFill="1" applyAlignment="1">
      <alignment horizontal="left" vertical="center" wrapText="1" readingOrder="1"/>
    </xf>
    <xf numFmtId="0" fontId="50" fillId="0" borderId="0" xfId="0" applyFont="1" applyFill="1" applyAlignment="1">
      <alignment vertical="center"/>
    </xf>
    <xf numFmtId="0" fontId="49" fillId="0" borderId="0" xfId="0" applyFont="1" applyFill="1" applyAlignment="1">
      <alignment vertical="center" wrapText="1" readingOrder="1"/>
    </xf>
    <xf numFmtId="43" fontId="50" fillId="0" borderId="0" xfId="46" applyFont="1" applyFill="1" applyAlignment="1">
      <alignment vertical="center"/>
    </xf>
    <xf numFmtId="0" fontId="50" fillId="31" borderId="0" xfId="0" applyFont="1" applyFill="1" applyAlignment="1">
      <alignment vertical="center"/>
    </xf>
    <xf numFmtId="43" fontId="50" fillId="31" borderId="0" xfId="46" applyFont="1" applyFill="1" applyAlignment="1">
      <alignment vertical="center"/>
    </xf>
    <xf numFmtId="43" fontId="50" fillId="0" borderId="0" xfId="0" applyNumberFormat="1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/>
    </xf>
    <xf numFmtId="40" fontId="0" fillId="31" borderId="10" xfId="0" applyNumberFormat="1" applyFill="1" applyBorder="1">
      <alignment vertical="top"/>
    </xf>
    <xf numFmtId="166" fontId="47" fillId="18" borderId="13" xfId="46" applyNumberFormat="1" applyFont="1" applyFill="1" applyBorder="1"/>
    <xf numFmtId="166" fontId="51" fillId="0" borderId="12" xfId="46" applyNumberFormat="1" applyFont="1" applyBorder="1"/>
    <xf numFmtId="166" fontId="51" fillId="0" borderId="12" xfId="46" applyNumberFormat="1" applyFont="1" applyFill="1" applyBorder="1"/>
    <xf numFmtId="166" fontId="47" fillId="18" borderId="10" xfId="33" applyNumberFormat="1" applyFont="1" applyFill="1" applyBorder="1"/>
    <xf numFmtId="166" fontId="47" fillId="18" borderId="11" xfId="33" applyNumberFormat="1" applyFont="1" applyFill="1" applyBorder="1"/>
    <xf numFmtId="43" fontId="51" fillId="18" borderId="13" xfId="46" applyFont="1" applyFill="1" applyBorder="1"/>
    <xf numFmtId="43" fontId="47" fillId="18" borderId="13" xfId="46" applyFont="1" applyFill="1" applyBorder="1"/>
    <xf numFmtId="0" fontId="51" fillId="0" borderId="12" xfId="33" applyFont="1" applyBorder="1"/>
    <xf numFmtId="43" fontId="51" fillId="0" borderId="12" xfId="46" applyFont="1" applyFill="1" applyBorder="1"/>
    <xf numFmtId="43" fontId="51" fillId="0" borderId="12" xfId="33" applyNumberFormat="1" applyFont="1" applyFill="1" applyBorder="1"/>
    <xf numFmtId="43" fontId="51" fillId="0" borderId="12" xfId="33" applyNumberFormat="1" applyFont="1" applyBorder="1"/>
    <xf numFmtId="43" fontId="47" fillId="18" borderId="10" xfId="46" applyFont="1" applyFill="1" applyBorder="1"/>
    <xf numFmtId="43" fontId="47" fillId="18" borderId="10" xfId="33" applyNumberFormat="1" applyFont="1" applyFill="1" applyBorder="1"/>
    <xf numFmtId="0" fontId="47" fillId="0" borderId="12" xfId="33" applyFont="1" applyFill="1" applyBorder="1"/>
    <xf numFmtId="166" fontId="47" fillId="18" borderId="14" xfId="46" applyNumberFormat="1" applyFont="1" applyFill="1" applyBorder="1"/>
    <xf numFmtId="166" fontId="47" fillId="18" borderId="15" xfId="46" applyNumberFormat="1" applyFont="1" applyFill="1" applyBorder="1"/>
    <xf numFmtId="166" fontId="47" fillId="18" borderId="16" xfId="46" applyNumberFormat="1" applyFont="1" applyFill="1" applyBorder="1"/>
    <xf numFmtId="166" fontId="51" fillId="0" borderId="17" xfId="33" applyNumberFormat="1" applyFont="1" applyFill="1" applyBorder="1"/>
    <xf numFmtId="166" fontId="51" fillId="0" borderId="18" xfId="46" applyNumberFormat="1" applyFont="1" applyFill="1" applyBorder="1"/>
    <xf numFmtId="166" fontId="51" fillId="0" borderId="18" xfId="46" applyNumberFormat="1" applyFont="1" applyBorder="1"/>
    <xf numFmtId="166" fontId="51" fillId="0" borderId="17" xfId="46" applyNumberFormat="1" applyFont="1" applyFill="1" applyBorder="1"/>
    <xf numFmtId="166" fontId="51" fillId="0" borderId="18" xfId="33" applyNumberFormat="1" applyFont="1" applyFill="1" applyBorder="1"/>
    <xf numFmtId="166" fontId="51" fillId="0" borderId="19" xfId="33" applyNumberFormat="1" applyFont="1" applyBorder="1"/>
    <xf numFmtId="166" fontId="51" fillId="0" borderId="18" xfId="33" applyNumberFormat="1" applyFont="1" applyBorder="1"/>
    <xf numFmtId="166" fontId="47" fillId="18" borderId="15" xfId="33" applyNumberFormat="1" applyFont="1" applyFill="1" applyBorder="1"/>
    <xf numFmtId="0" fontId="51" fillId="0" borderId="29" xfId="33" applyFont="1" applyBorder="1"/>
    <xf numFmtId="0" fontId="51" fillId="0" borderId="18" xfId="33" applyFont="1" applyBorder="1"/>
    <xf numFmtId="0" fontId="51" fillId="0" borderId="31" xfId="33" applyFont="1" applyBorder="1"/>
    <xf numFmtId="0" fontId="47" fillId="18" borderId="10" xfId="33" applyFont="1" applyFill="1" applyBorder="1"/>
    <xf numFmtId="0" fontId="47" fillId="18" borderId="11" xfId="33" applyFont="1" applyFill="1" applyBorder="1"/>
    <xf numFmtId="0" fontId="47" fillId="18" borderId="13" xfId="33" applyFont="1" applyFill="1" applyBorder="1"/>
    <xf numFmtId="0" fontId="47" fillId="0" borderId="13" xfId="33" applyFont="1" applyBorder="1"/>
    <xf numFmtId="0" fontId="47" fillId="18" borderId="10" xfId="33" applyFont="1" applyFill="1" applyBorder="1" applyAlignment="1">
      <alignment horizontal="center" vertical="center" wrapText="1"/>
    </xf>
    <xf numFmtId="0" fontId="52" fillId="17" borderId="21" xfId="0" applyFont="1" applyFill="1" applyBorder="1" applyAlignment="1">
      <alignment horizontal="center" vertical="center" readingOrder="1"/>
    </xf>
    <xf numFmtId="0" fontId="52" fillId="17" borderId="23" xfId="0" applyFont="1" applyFill="1" applyBorder="1" applyAlignment="1">
      <alignment horizontal="center" vertical="center" readingOrder="1"/>
    </xf>
    <xf numFmtId="0" fontId="52" fillId="17" borderId="10" xfId="0" applyFont="1" applyFill="1" applyBorder="1" applyAlignment="1">
      <alignment horizontal="center" vertical="center" readingOrder="1"/>
    </xf>
    <xf numFmtId="164" fontId="52" fillId="31" borderId="11" xfId="0" applyNumberFormat="1" applyFont="1" applyFill="1" applyBorder="1" applyAlignment="1">
      <alignment vertical="center"/>
    </xf>
    <xf numFmtId="164" fontId="52" fillId="0" borderId="11" xfId="0" applyNumberFormat="1" applyFont="1" applyFill="1" applyBorder="1" applyAlignment="1">
      <alignment vertical="center"/>
    </xf>
    <xf numFmtId="164" fontId="53" fillId="0" borderId="12" xfId="0" applyNumberFormat="1" applyFont="1" applyFill="1" applyBorder="1" applyAlignment="1">
      <alignment vertical="center"/>
    </xf>
    <xf numFmtId="164" fontId="52" fillId="0" borderId="12" xfId="0" applyNumberFormat="1" applyFont="1" applyFill="1" applyBorder="1" applyAlignment="1">
      <alignment vertical="center"/>
    </xf>
    <xf numFmtId="164" fontId="53" fillId="0" borderId="13" xfId="0" applyNumberFormat="1" applyFont="1" applyFill="1" applyBorder="1" applyAlignment="1">
      <alignment vertical="center"/>
    </xf>
    <xf numFmtId="164" fontId="52" fillId="31" borderId="13" xfId="0" applyNumberFormat="1" applyFont="1" applyFill="1" applyBorder="1" applyAlignment="1">
      <alignment vertical="center"/>
    </xf>
    <xf numFmtId="164" fontId="52" fillId="31" borderId="10" xfId="0" applyNumberFormat="1" applyFont="1" applyFill="1" applyBorder="1" applyAlignment="1">
      <alignment vertical="center"/>
    </xf>
    <xf numFmtId="164" fontId="52" fillId="0" borderId="10" xfId="0" applyNumberFormat="1" applyFont="1" applyFill="1" applyBorder="1" applyAlignment="1">
      <alignment vertical="center"/>
    </xf>
    <xf numFmtId="164" fontId="53" fillId="31" borderId="11" xfId="0" applyNumberFormat="1" applyFont="1" applyFill="1" applyBorder="1" applyAlignment="1">
      <alignment vertical="center"/>
    </xf>
    <xf numFmtId="164" fontId="53" fillId="31" borderId="12" xfId="0" applyNumberFormat="1" applyFont="1" applyFill="1" applyBorder="1" applyAlignment="1">
      <alignment vertical="center"/>
    </xf>
    <xf numFmtId="164" fontId="53" fillId="31" borderId="13" xfId="0" applyNumberFormat="1" applyFont="1" applyFill="1" applyBorder="1" applyAlignment="1">
      <alignment vertical="center"/>
    </xf>
    <xf numFmtId="164" fontId="53" fillId="31" borderId="12" xfId="0" applyNumberFormat="1" applyFont="1" applyFill="1" applyBorder="1" applyAlignment="1"/>
    <xf numFmtId="164" fontId="53" fillId="0" borderId="12" xfId="0" applyNumberFormat="1" applyFont="1" applyFill="1" applyBorder="1" applyAlignment="1"/>
    <xf numFmtId="164" fontId="53" fillId="0" borderId="12" xfId="0" applyNumberFormat="1" applyFont="1" applyFill="1" applyBorder="1" applyAlignment="1">
      <alignment horizontal="right" vertical="center"/>
    </xf>
    <xf numFmtId="0" fontId="53" fillId="0" borderId="0" xfId="0" applyFont="1" applyFill="1" applyAlignment="1">
      <alignment horizontal="right" vertical="center"/>
    </xf>
    <xf numFmtId="164" fontId="52" fillId="0" borderId="1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 readingOrder="1"/>
    </xf>
    <xf numFmtId="0" fontId="63" fillId="0" borderId="0" xfId="0" applyFont="1" applyFill="1" applyAlignment="1">
      <alignment horizontal="left" vertical="center" wrapText="1" readingOrder="1"/>
    </xf>
    <xf numFmtId="165" fontId="0" fillId="32" borderId="10" xfId="0" applyNumberFormat="1" applyFill="1" applyBorder="1">
      <alignment vertical="top"/>
    </xf>
    <xf numFmtId="165" fontId="11" fillId="30" borderId="10" xfId="0" applyNumberFormat="1" applyFont="1" applyFill="1" applyBorder="1">
      <alignment vertical="top"/>
    </xf>
    <xf numFmtId="165" fontId="0" fillId="33" borderId="10" xfId="0" applyNumberFormat="1" applyFill="1" applyBorder="1">
      <alignment vertical="top"/>
    </xf>
    <xf numFmtId="0" fontId="47" fillId="18" borderId="12" xfId="33" applyFont="1" applyFill="1" applyBorder="1" applyAlignment="1">
      <alignment horizontal="left" wrapText="1"/>
    </xf>
    <xf numFmtId="0" fontId="47" fillId="0" borderId="29" xfId="33" applyFont="1" applyBorder="1"/>
    <xf numFmtId="0" fontId="1" fillId="0" borderId="32" xfId="33" applyBorder="1"/>
    <xf numFmtId="0" fontId="1" fillId="0" borderId="33" xfId="33" applyBorder="1"/>
    <xf numFmtId="0" fontId="1" fillId="0" borderId="29" xfId="33" applyBorder="1"/>
    <xf numFmtId="0" fontId="47" fillId="18" borderId="21" xfId="33" applyFont="1" applyFill="1" applyBorder="1"/>
    <xf numFmtId="0" fontId="63" fillId="0" borderId="0" xfId="0" applyFont="1" applyFill="1" applyAlignment="1">
      <alignment vertical="center"/>
    </xf>
    <xf numFmtId="165" fontId="23" fillId="0" borderId="0" xfId="0" applyNumberFormat="1" applyFont="1" applyFill="1" applyAlignment="1">
      <alignment horizontal="center" vertical="center"/>
    </xf>
    <xf numFmtId="0" fontId="53" fillId="0" borderId="0" xfId="0" applyFont="1" applyFill="1" applyAlignment="1">
      <alignment horizontal="right" vertical="center" wrapText="1" readingOrder="1"/>
    </xf>
    <xf numFmtId="0" fontId="67" fillId="34" borderId="10" xfId="0" applyFont="1" applyFill="1" applyBorder="1" applyAlignment="1">
      <alignment vertical="center"/>
    </xf>
    <xf numFmtId="0" fontId="57" fillId="34" borderId="12" xfId="0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56" fillId="0" borderId="0" xfId="0" applyFont="1" applyFill="1" applyAlignment="1">
      <alignment vertical="center" wrapText="1" readingOrder="1"/>
    </xf>
    <xf numFmtId="0" fontId="53" fillId="31" borderId="0" xfId="0" applyFont="1" applyFill="1" applyAlignment="1">
      <alignment vertical="center"/>
    </xf>
    <xf numFmtId="0" fontId="52" fillId="0" borderId="0" xfId="0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center" readingOrder="1"/>
    </xf>
    <xf numFmtId="9" fontId="56" fillId="0" borderId="0" xfId="35" applyFont="1" applyFill="1" applyAlignment="1">
      <alignment horizontal="center" vertical="center"/>
    </xf>
    <xf numFmtId="0" fontId="56" fillId="0" borderId="0" xfId="0" applyFont="1" applyFill="1" applyAlignment="1">
      <alignment horizontal="center" vertical="center"/>
    </xf>
    <xf numFmtId="0" fontId="19" fillId="0" borderId="12" xfId="33" applyFont="1" applyBorder="1"/>
    <xf numFmtId="0" fontId="1" fillId="0" borderId="12" xfId="33" applyBorder="1"/>
    <xf numFmtId="0" fontId="68" fillId="0" borderId="0" xfId="0" applyFont="1">
      <alignment vertical="top"/>
    </xf>
    <xf numFmtId="0" fontId="9" fillId="28" borderId="10" xfId="0" applyFont="1" applyFill="1" applyBorder="1">
      <alignment vertical="top"/>
    </xf>
    <xf numFmtId="0" fontId="9" fillId="31" borderId="10" xfId="0" applyFont="1" applyFill="1" applyBorder="1" applyAlignment="1">
      <alignment vertical="center" wrapText="1"/>
    </xf>
    <xf numFmtId="0" fontId="9" fillId="0" borderId="0" xfId="0" applyFont="1">
      <alignment vertical="top"/>
    </xf>
    <xf numFmtId="0" fontId="69" fillId="0" borderId="0" xfId="0" applyFont="1">
      <alignment vertical="top"/>
    </xf>
    <xf numFmtId="0" fontId="21" fillId="0" borderId="0" xfId="33" applyFont="1"/>
    <xf numFmtId="0" fontId="21" fillId="0" borderId="0" xfId="0" applyFont="1" applyFill="1" applyAlignment="1">
      <alignment horizontal="left" vertical="center"/>
    </xf>
    <xf numFmtId="4" fontId="21" fillId="0" borderId="0" xfId="0" applyNumberFormat="1" applyFont="1" applyFill="1" applyAlignment="1">
      <alignment horizontal="left" vertical="center"/>
    </xf>
    <xf numFmtId="0" fontId="9" fillId="35" borderId="22" xfId="0" applyFont="1" applyFill="1" applyBorder="1">
      <alignment vertical="top"/>
    </xf>
    <xf numFmtId="40" fontId="70" fillId="28" borderId="10" xfId="0" applyNumberFormat="1" applyFont="1" applyFill="1" applyBorder="1">
      <alignment vertical="top"/>
    </xf>
    <xf numFmtId="0" fontId="21" fillId="28" borderId="0" xfId="0" applyFont="1" applyFill="1" applyAlignment="1">
      <alignment vertical="center"/>
    </xf>
    <xf numFmtId="164" fontId="52" fillId="28" borderId="11" xfId="0" applyNumberFormat="1" applyFont="1" applyFill="1" applyBorder="1" applyAlignment="1">
      <alignment vertical="center"/>
    </xf>
    <xf numFmtId="164" fontId="53" fillId="28" borderId="12" xfId="0" applyNumberFormat="1" applyFont="1" applyFill="1" applyBorder="1" applyAlignment="1">
      <alignment vertical="center"/>
    </xf>
    <xf numFmtId="164" fontId="53" fillId="28" borderId="29" xfId="0" applyNumberFormat="1" applyFont="1" applyFill="1" applyBorder="1" applyAlignment="1">
      <alignment vertical="center"/>
    </xf>
    <xf numFmtId="164" fontId="52" fillId="28" borderId="12" xfId="0" applyNumberFormat="1" applyFont="1" applyFill="1" applyBorder="1" applyAlignment="1">
      <alignment vertical="center"/>
    </xf>
    <xf numFmtId="164" fontId="53" fillId="28" borderId="13" xfId="0" applyNumberFormat="1" applyFont="1" applyFill="1" applyBorder="1" applyAlignment="1">
      <alignment vertical="center"/>
    </xf>
    <xf numFmtId="164" fontId="52" fillId="28" borderId="13" xfId="0" applyNumberFormat="1" applyFont="1" applyFill="1" applyBorder="1" applyAlignment="1">
      <alignment vertical="center"/>
    </xf>
    <xf numFmtId="164" fontId="53" fillId="28" borderId="11" xfId="0" applyNumberFormat="1" applyFont="1" applyFill="1" applyBorder="1" applyAlignment="1">
      <alignment vertical="center"/>
    </xf>
    <xf numFmtId="164" fontId="52" fillId="28" borderId="10" xfId="0" applyNumberFormat="1" applyFont="1" applyFill="1" applyBorder="1" applyAlignment="1">
      <alignment vertical="center"/>
    </xf>
    <xf numFmtId="164" fontId="53" fillId="28" borderId="24" xfId="0" applyNumberFormat="1" applyFont="1" applyFill="1" applyBorder="1" applyAlignment="1">
      <alignment vertical="center"/>
    </xf>
    <xf numFmtId="164" fontId="53" fillId="28" borderId="25" xfId="0" applyNumberFormat="1" applyFont="1" applyFill="1" applyBorder="1" applyAlignment="1">
      <alignment vertical="center"/>
    </xf>
    <xf numFmtId="164" fontId="53" fillId="28" borderId="26" xfId="0" applyNumberFormat="1" applyFont="1" applyFill="1" applyBorder="1" applyAlignment="1">
      <alignment vertical="center"/>
    </xf>
    <xf numFmtId="164" fontId="53" fillId="28" borderId="29" xfId="0" applyNumberFormat="1" applyFont="1" applyFill="1" applyBorder="1" applyAlignment="1">
      <alignment horizontal="center" vertical="center"/>
    </xf>
    <xf numFmtId="164" fontId="52" fillId="28" borderId="10" xfId="0" applyNumberFormat="1" applyFont="1" applyFill="1" applyBorder="1" applyAlignment="1">
      <alignment horizontal="right" vertical="center"/>
    </xf>
    <xf numFmtId="0" fontId="53" fillId="28" borderId="12" xfId="0" applyFont="1" applyFill="1" applyBorder="1" applyAlignment="1">
      <alignment vertical="center"/>
    </xf>
    <xf numFmtId="43" fontId="53" fillId="28" borderId="12" xfId="46" applyFont="1" applyFill="1" applyBorder="1" applyAlignment="1">
      <alignment vertical="center"/>
    </xf>
    <xf numFmtId="0" fontId="53" fillId="0" borderId="0" xfId="0" applyFont="1" applyFill="1" applyAlignment="1">
      <alignment horizontal="left" vertical="center" readingOrder="1"/>
    </xf>
    <xf numFmtId="0" fontId="56" fillId="0" borderId="0" xfId="0" applyFont="1" applyFill="1" applyAlignment="1">
      <alignment vertical="center" readingOrder="1"/>
    </xf>
    <xf numFmtId="0" fontId="57" fillId="0" borderId="0" xfId="0" applyFont="1" applyFill="1" applyAlignment="1">
      <alignment vertical="center" readingOrder="1"/>
    </xf>
    <xf numFmtId="0" fontId="56" fillId="31" borderId="0" xfId="0" applyFont="1" applyFill="1" applyAlignment="1">
      <alignment horizontal="left" vertical="center" readingOrder="1"/>
    </xf>
    <xf numFmtId="0" fontId="56" fillId="31" borderId="0" xfId="0" applyFont="1" applyFill="1" applyAlignment="1">
      <alignment horizontal="left" vertical="center" readingOrder="1"/>
    </xf>
    <xf numFmtId="0" fontId="71" fillId="0" borderId="0" xfId="0" applyFont="1" applyFill="1" applyAlignment="1">
      <alignment vertical="center" readingOrder="1"/>
    </xf>
    <xf numFmtId="0" fontId="1" fillId="0" borderId="0" xfId="33" applyBorder="1"/>
    <xf numFmtId="0" fontId="1" fillId="0" borderId="0" xfId="33" applyFont="1" applyBorder="1"/>
    <xf numFmtId="164" fontId="28" fillId="0" borderId="0" xfId="0" applyNumberFormat="1" applyFont="1" applyFill="1" applyBorder="1" applyAlignment="1">
      <alignment vertical="center"/>
    </xf>
    <xf numFmtId="167" fontId="1" fillId="0" borderId="0" xfId="46" applyNumberFormat="1" applyFont="1"/>
    <xf numFmtId="43" fontId="9" fillId="0" borderId="0" xfId="46" applyFont="1" applyFill="1" applyAlignment="1">
      <alignment horizontal="left" vertical="center" readingOrder="1"/>
    </xf>
    <xf numFmtId="43" fontId="11" fillId="0" borderId="0" xfId="0" applyNumberFormat="1" applyFont="1" applyFill="1" applyAlignment="1">
      <alignment vertical="center" readingOrder="1"/>
    </xf>
    <xf numFmtId="43" fontId="52" fillId="0" borderId="0" xfId="46" applyFont="1" applyFill="1" applyAlignment="1">
      <alignment vertical="center" readingOrder="1"/>
    </xf>
    <xf numFmtId="0" fontId="56" fillId="31" borderId="0" xfId="0" applyFont="1" applyFill="1" applyAlignment="1">
      <alignment horizontal="left" vertical="center" wrapText="1" readingOrder="1"/>
    </xf>
    <xf numFmtId="0" fontId="43" fillId="31" borderId="0" xfId="0" applyFont="1" applyFill="1" applyAlignment="1">
      <alignment vertical="center" wrapText="1" readingOrder="1"/>
    </xf>
    <xf numFmtId="43" fontId="53" fillId="31" borderId="0" xfId="46" applyFont="1" applyFill="1" applyAlignment="1">
      <alignment vertical="center"/>
    </xf>
    <xf numFmtId="0" fontId="56" fillId="31" borderId="0" xfId="0" applyFont="1" applyFill="1" applyAlignment="1">
      <alignment vertical="center" wrapText="1" readingOrder="1"/>
    </xf>
    <xf numFmtId="43" fontId="53" fillId="31" borderId="0" xfId="0" applyNumberFormat="1" applyFont="1" applyFill="1" applyAlignment="1">
      <alignment vertical="center"/>
    </xf>
    <xf numFmtId="0" fontId="49" fillId="31" borderId="0" xfId="0" applyFont="1" applyFill="1" applyAlignment="1">
      <alignment vertical="center" wrapText="1" readingOrder="1"/>
    </xf>
    <xf numFmtId="0" fontId="2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readingOrder="1"/>
    </xf>
    <xf numFmtId="0" fontId="11" fillId="0" borderId="0" xfId="0" applyFont="1" applyFill="1" applyAlignment="1">
      <alignment vertical="center" readingOrder="1"/>
    </xf>
    <xf numFmtId="0" fontId="11" fillId="31" borderId="0" xfId="0" applyFont="1" applyFill="1" applyAlignment="1">
      <alignment horizontal="left" vertical="center" readingOrder="1"/>
    </xf>
    <xf numFmtId="165" fontId="9" fillId="28" borderId="10" xfId="0" applyNumberFormat="1" applyFont="1" applyFill="1" applyBorder="1">
      <alignment vertical="top"/>
    </xf>
    <xf numFmtId="0" fontId="11" fillId="31" borderId="0" xfId="0" applyFont="1" applyFill="1" applyAlignment="1">
      <alignment horizontal="left" vertical="center" wrapText="1" readingOrder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 readingOrder="1"/>
    </xf>
    <xf numFmtId="0" fontId="11" fillId="31" borderId="0" xfId="0" applyFont="1" applyFill="1" applyBorder="1" applyAlignment="1">
      <alignment horizontal="left" vertical="center" wrapText="1" readingOrder="1"/>
    </xf>
    <xf numFmtId="0" fontId="11" fillId="0" borderId="0" xfId="0" applyFont="1" applyFill="1" applyAlignment="1">
      <alignment horizontal="left" vertical="center" wrapText="1" readingOrder="1"/>
    </xf>
    <xf numFmtId="0" fontId="9" fillId="31" borderId="0" xfId="0" applyFont="1" applyFill="1" applyAlignment="1">
      <alignment vertical="center"/>
    </xf>
    <xf numFmtId="0" fontId="72" fillId="0" borderId="0" xfId="0" applyFont="1" applyFill="1" applyAlignment="1">
      <alignment vertical="center" readingOrder="1"/>
    </xf>
    <xf numFmtId="0" fontId="11" fillId="31" borderId="0" xfId="0" applyFont="1" applyFill="1" applyAlignment="1">
      <alignment horizontal="left" vertical="center" wrapText="1" readingOrder="1"/>
    </xf>
    <xf numFmtId="0" fontId="1" fillId="31" borderId="0" xfId="33" applyFill="1"/>
    <xf numFmtId="165" fontId="11" fillId="36" borderId="10" xfId="0" applyNumberFormat="1" applyFont="1" applyFill="1" applyBorder="1">
      <alignment vertical="top"/>
    </xf>
    <xf numFmtId="165" fontId="0" fillId="36" borderId="10" xfId="0" applyNumberFormat="1" applyFill="1" applyBorder="1">
      <alignment vertical="top"/>
    </xf>
    <xf numFmtId="40" fontId="11" fillId="31" borderId="10" xfId="0" applyNumberFormat="1" applyFont="1" applyFill="1" applyBorder="1">
      <alignment vertical="top"/>
    </xf>
    <xf numFmtId="0" fontId="70" fillId="0" borderId="0" xfId="0" applyFont="1" applyFill="1" applyAlignment="1">
      <alignment horizontal="left" vertical="center" readingOrder="1"/>
    </xf>
    <xf numFmtId="0" fontId="70" fillId="0" borderId="0" xfId="0" applyFont="1" applyFill="1" applyAlignment="1">
      <alignment vertical="center" readingOrder="1"/>
    </xf>
    <xf numFmtId="0" fontId="9" fillId="0" borderId="0" xfId="0" applyFont="1" applyFill="1" applyBorder="1" applyAlignment="1">
      <alignment vertical="center"/>
    </xf>
    <xf numFmtId="0" fontId="70" fillId="31" borderId="0" xfId="0" applyFont="1" applyFill="1" applyAlignment="1">
      <alignment horizontal="left" vertical="center" readingOrder="1"/>
    </xf>
    <xf numFmtId="0" fontId="70" fillId="0" borderId="0" xfId="33" applyFont="1"/>
    <xf numFmtId="0" fontId="62" fillId="31" borderId="0" xfId="0" applyFont="1" applyFill="1" applyAlignment="1">
      <alignment vertical="center" wrapText="1" readingOrder="1"/>
    </xf>
    <xf numFmtId="0" fontId="41" fillId="31" borderId="0" xfId="0" applyFont="1" applyFill="1" applyAlignment="1">
      <alignment vertical="center"/>
    </xf>
    <xf numFmtId="164" fontId="53" fillId="31" borderId="29" xfId="0" applyNumberFormat="1" applyFont="1" applyFill="1" applyBorder="1" applyAlignment="1">
      <alignment vertical="center"/>
    </xf>
    <xf numFmtId="164" fontId="52" fillId="31" borderId="12" xfId="0" applyNumberFormat="1" applyFont="1" applyFill="1" applyBorder="1" applyAlignment="1">
      <alignment vertical="center"/>
    </xf>
    <xf numFmtId="164" fontId="53" fillId="31" borderId="24" xfId="0" applyNumberFormat="1" applyFont="1" applyFill="1" applyBorder="1" applyAlignment="1">
      <alignment vertical="center"/>
    </xf>
    <xf numFmtId="164" fontId="53" fillId="31" borderId="25" xfId="0" applyNumberFormat="1" applyFont="1" applyFill="1" applyBorder="1" applyAlignment="1">
      <alignment vertical="center"/>
    </xf>
    <xf numFmtId="164" fontId="53" fillId="31" borderId="26" xfId="0" applyNumberFormat="1" applyFont="1" applyFill="1" applyBorder="1" applyAlignment="1">
      <alignment vertical="center"/>
    </xf>
    <xf numFmtId="164" fontId="53" fillId="31" borderId="29" xfId="0" applyNumberFormat="1" applyFont="1" applyFill="1" applyBorder="1" applyAlignment="1">
      <alignment horizontal="center" vertical="center"/>
    </xf>
    <xf numFmtId="164" fontId="52" fillId="31" borderId="10" xfId="0" applyNumberFormat="1" applyFont="1" applyFill="1" applyBorder="1" applyAlignment="1">
      <alignment horizontal="right" vertical="center"/>
    </xf>
    <xf numFmtId="0" fontId="53" fillId="31" borderId="12" xfId="0" applyFont="1" applyFill="1" applyBorder="1" applyAlignment="1">
      <alignment vertical="center"/>
    </xf>
    <xf numFmtId="43" fontId="53" fillId="31" borderId="12" xfId="46" applyFont="1" applyFill="1" applyBorder="1" applyAlignment="1">
      <alignment vertical="center"/>
    </xf>
    <xf numFmtId="0" fontId="19" fillId="0" borderId="0" xfId="33" applyFont="1" applyBorder="1"/>
    <xf numFmtId="0" fontId="58" fillId="0" borderId="0" xfId="33" applyFont="1" applyBorder="1"/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left" vertical="center" readingOrder="1"/>
    </xf>
    <xf numFmtId="0" fontId="61" fillId="0" borderId="0" xfId="33" applyFont="1" applyBorder="1"/>
    <xf numFmtId="0" fontId="9" fillId="0" borderId="0" xfId="0" applyFont="1" applyFill="1" applyBorder="1" applyAlignment="1">
      <alignment horizontal="right" vertical="center"/>
    </xf>
    <xf numFmtId="164" fontId="30" fillId="0" borderId="0" xfId="0" applyNumberFormat="1" applyFont="1" applyFill="1" applyBorder="1" applyAlignment="1">
      <alignment vertical="center"/>
    </xf>
    <xf numFmtId="166" fontId="47" fillId="31" borderId="0" xfId="33" applyNumberFormat="1" applyFont="1" applyFill="1" applyBorder="1"/>
    <xf numFmtId="0" fontId="1" fillId="31" borderId="0" xfId="33" applyFill="1" applyBorder="1"/>
    <xf numFmtId="166" fontId="59" fillId="31" borderId="0" xfId="33" applyNumberFormat="1" applyFont="1" applyFill="1" applyBorder="1"/>
    <xf numFmtId="43" fontId="47" fillId="31" borderId="0" xfId="46" applyFont="1" applyFill="1" applyBorder="1" applyAlignment="1">
      <alignment vertical="center" readingOrder="1"/>
    </xf>
    <xf numFmtId="166" fontId="60" fillId="31" borderId="0" xfId="0" applyNumberFormat="1" applyFont="1" applyFill="1" applyBorder="1" applyAlignment="1">
      <alignment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19" borderId="10" xfId="0" applyFont="1" applyFill="1" applyBorder="1" applyAlignment="1">
      <alignment horizontal="left" vertical="top"/>
    </xf>
    <xf numFmtId="0" fontId="30" fillId="25" borderId="10" xfId="0" applyFont="1" applyFill="1" applyBorder="1" applyAlignment="1">
      <alignment horizontal="center" vertical="top"/>
    </xf>
    <xf numFmtId="0" fontId="73" fillId="19" borderId="10" xfId="0" applyFont="1" applyFill="1" applyBorder="1" applyAlignment="1">
      <alignment horizontal="left" vertical="top"/>
    </xf>
    <xf numFmtId="0" fontId="31" fillId="0" borderId="10" xfId="0" applyFont="1" applyBorder="1" applyAlignment="1">
      <alignment horizontal="center" vertical="center"/>
    </xf>
    <xf numFmtId="0" fontId="30" fillId="26" borderId="10" xfId="0" applyFont="1" applyFill="1" applyBorder="1" applyAlignment="1">
      <alignment horizontal="center" vertical="top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30" fillId="18" borderId="10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31" fillId="19" borderId="21" xfId="0" applyFont="1" applyFill="1" applyBorder="1" applyAlignment="1">
      <alignment horizontal="left" vertical="center"/>
    </xf>
    <xf numFmtId="0" fontId="31" fillId="19" borderId="22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1" fillId="22" borderId="21" xfId="0" applyFont="1" applyFill="1" applyBorder="1" applyAlignment="1">
      <alignment horizontal="center" vertical="center"/>
    </xf>
    <xf numFmtId="0" fontId="31" fillId="22" borderId="22" xfId="0" applyFont="1" applyFill="1" applyBorder="1" applyAlignment="1">
      <alignment horizontal="center" vertical="center"/>
    </xf>
    <xf numFmtId="0" fontId="31" fillId="28" borderId="21" xfId="0" applyFont="1" applyFill="1" applyBorder="1" applyAlignment="1">
      <alignment horizontal="center" vertical="center"/>
    </xf>
    <xf numFmtId="0" fontId="31" fillId="28" borderId="22" xfId="0" applyFont="1" applyFill="1" applyBorder="1" applyAlignment="1">
      <alignment horizontal="center" vertical="center"/>
    </xf>
    <xf numFmtId="0" fontId="23" fillId="17" borderId="21" xfId="0" applyFont="1" applyFill="1" applyBorder="1" applyAlignment="1">
      <alignment horizontal="left" vertical="center"/>
    </xf>
    <xf numFmtId="0" fontId="0" fillId="17" borderId="23" xfId="0" applyFill="1" applyBorder="1" applyAlignment="1">
      <alignment horizontal="left" vertical="center"/>
    </xf>
    <xf numFmtId="0" fontId="0" fillId="17" borderId="22" xfId="0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17" fontId="39" fillId="0" borderId="0" xfId="0" applyNumberFormat="1" applyFont="1" applyFill="1" applyAlignment="1">
      <alignment horizontal="center" vertical="center"/>
    </xf>
    <xf numFmtId="0" fontId="39" fillId="0" borderId="0" xfId="0" applyNumberFormat="1" applyFont="1" applyFill="1" applyAlignment="1">
      <alignment horizontal="center" vertical="center"/>
    </xf>
    <xf numFmtId="0" fontId="23" fillId="17" borderId="21" xfId="0" applyFont="1" applyFill="1" applyBorder="1" applyAlignment="1">
      <alignment horizontal="center" vertical="center" readingOrder="1"/>
    </xf>
    <xf numFmtId="0" fontId="23" fillId="17" borderId="23" xfId="0" applyFont="1" applyFill="1" applyBorder="1" applyAlignment="1">
      <alignment horizontal="center" vertical="center" readingOrder="1"/>
    </xf>
    <xf numFmtId="0" fontId="23" fillId="17" borderId="22" xfId="0" applyFont="1" applyFill="1" applyBorder="1" applyAlignment="1">
      <alignment horizontal="center" vertical="center" readingOrder="1"/>
    </xf>
    <xf numFmtId="0" fontId="23" fillId="0" borderId="21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1" fillId="0" borderId="34" xfId="0" applyFont="1" applyFill="1" applyBorder="1" applyAlignment="1">
      <alignment horizontal="left" vertical="center"/>
    </xf>
    <xf numFmtId="0" fontId="21" fillId="0" borderId="35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1" fillId="0" borderId="29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21" fillId="0" borderId="0" xfId="0" applyFont="1" applyFill="1" applyBorder="1" applyAlignment="1">
      <alignment horizontal="left" vertical="center" indent="1"/>
    </xf>
    <xf numFmtId="0" fontId="21" fillId="0" borderId="29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 indent="1"/>
    </xf>
    <xf numFmtId="0" fontId="21" fillId="0" borderId="33" xfId="0" applyFont="1" applyFill="1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35" xfId="0" applyBorder="1" applyAlignment="1">
      <alignment horizontal="left" vertical="center"/>
    </xf>
    <xf numFmtId="0" fontId="21" fillId="0" borderId="32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1" fillId="0" borderId="33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26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17" fontId="20" fillId="0" borderId="0" xfId="0" applyNumberFormat="1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readingOrder="1"/>
    </xf>
    <xf numFmtId="49" fontId="11" fillId="0" borderId="0" xfId="0" applyNumberFormat="1" applyFont="1" applyFill="1" applyAlignment="1">
      <alignment horizontal="center" vertical="center" readingOrder="1"/>
    </xf>
    <xf numFmtId="0" fontId="53" fillId="0" borderId="32" xfId="0" applyFont="1" applyFill="1" applyBorder="1" applyAlignment="1">
      <alignment horizontal="left" vertical="center"/>
    </xf>
    <xf numFmtId="0" fontId="53" fillId="0" borderId="33" xfId="0" applyFont="1" applyFill="1" applyBorder="1" applyAlignment="1">
      <alignment horizontal="left" vertical="center"/>
    </xf>
    <xf numFmtId="0" fontId="53" fillId="0" borderId="26" xfId="0" applyFont="1" applyFill="1" applyBorder="1" applyAlignment="1">
      <alignment horizontal="left" vertical="center"/>
    </xf>
    <xf numFmtId="0" fontId="53" fillId="0" borderId="29" xfId="0" applyFont="1" applyFill="1" applyBorder="1" applyAlignment="1">
      <alignment horizontal="left" vertical="center"/>
    </xf>
    <xf numFmtId="0" fontId="53" fillId="0" borderId="25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22" fillId="0" borderId="0" xfId="0" applyFont="1" applyFill="1" applyAlignment="1">
      <alignment horizontal="center" vertical="center" wrapText="1" readingOrder="1"/>
    </xf>
    <xf numFmtId="0" fontId="20" fillId="0" borderId="0" xfId="0" applyFont="1" applyFill="1" applyAlignment="1">
      <alignment horizontal="left" vertical="center" readingOrder="1"/>
    </xf>
    <xf numFmtId="0" fontId="11" fillId="0" borderId="0" xfId="0" applyFont="1" applyFill="1" applyAlignment="1">
      <alignment vertical="center" wrapText="1" readingOrder="1"/>
    </xf>
    <xf numFmtId="0" fontId="11" fillId="0" borderId="0" xfId="0" applyFont="1" applyFill="1" applyAlignment="1">
      <alignment horizontal="left" vertical="center" wrapText="1" readingOrder="1"/>
    </xf>
    <xf numFmtId="0" fontId="11" fillId="31" borderId="0" xfId="0" applyFont="1" applyFill="1" applyAlignment="1">
      <alignment horizontal="left" vertical="center" wrapText="1" readingOrder="1"/>
    </xf>
    <xf numFmtId="0" fontId="49" fillId="31" borderId="0" xfId="0" applyFont="1" applyFill="1" applyAlignment="1">
      <alignment vertical="center" wrapText="1" readingOrder="1"/>
    </xf>
    <xf numFmtId="0" fontId="74" fillId="0" borderId="0" xfId="0" applyFont="1" applyFill="1" applyAlignment="1">
      <alignment vertical="center"/>
    </xf>
    <xf numFmtId="0" fontId="53" fillId="0" borderId="29" xfId="0" applyFont="1" applyFill="1" applyBorder="1" applyAlignment="1">
      <alignment horizontal="left" vertical="center" indent="1"/>
    </xf>
    <xf numFmtId="0" fontId="53" fillId="0" borderId="25" xfId="0" applyFont="1" applyFill="1" applyBorder="1" applyAlignment="1">
      <alignment horizontal="left" vertical="center" indent="1"/>
    </xf>
    <xf numFmtId="0" fontId="53" fillId="0" borderId="0" xfId="0" applyFont="1" applyFill="1" applyBorder="1" applyAlignment="1">
      <alignment horizontal="left" vertical="center" indent="1"/>
    </xf>
    <xf numFmtId="0" fontId="53" fillId="0" borderId="0" xfId="0" applyFont="1" applyBorder="1" applyAlignment="1">
      <alignment horizontal="left" vertical="center" indent="1"/>
    </xf>
    <xf numFmtId="0" fontId="53" fillId="0" borderId="32" xfId="0" applyFont="1" applyFill="1" applyBorder="1" applyAlignment="1">
      <alignment horizontal="left" vertical="center" indent="1"/>
    </xf>
    <xf numFmtId="0" fontId="53" fillId="0" borderId="26" xfId="0" applyFont="1" applyFill="1" applyBorder="1" applyAlignment="1">
      <alignment horizontal="left" vertical="center" indent="1"/>
    </xf>
    <xf numFmtId="0" fontId="53" fillId="0" borderId="33" xfId="0" applyFont="1" applyFill="1" applyBorder="1" applyAlignment="1">
      <alignment horizontal="left" vertical="center" indent="1"/>
    </xf>
    <xf numFmtId="0" fontId="53" fillId="0" borderId="33" xfId="0" applyFont="1" applyBorder="1" applyAlignment="1">
      <alignment horizontal="left" vertical="center" indent="1"/>
    </xf>
    <xf numFmtId="0" fontId="52" fillId="0" borderId="21" xfId="0" applyFont="1" applyFill="1" applyBorder="1" applyAlignment="1">
      <alignment horizontal="left" vertical="center"/>
    </xf>
    <xf numFmtId="0" fontId="52" fillId="0" borderId="23" xfId="0" applyFont="1" applyFill="1" applyBorder="1" applyAlignment="1">
      <alignment horizontal="left" vertical="center"/>
    </xf>
    <xf numFmtId="0" fontId="52" fillId="0" borderId="2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 readingOrder="1"/>
    </xf>
    <xf numFmtId="0" fontId="53" fillId="0" borderId="34" xfId="0" applyFont="1" applyFill="1" applyBorder="1" applyAlignment="1">
      <alignment horizontal="left" vertical="center"/>
    </xf>
    <xf numFmtId="0" fontId="53" fillId="0" borderId="35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left" vertical="center"/>
    </xf>
    <xf numFmtId="0" fontId="52" fillId="17" borderId="21" xfId="0" applyFont="1" applyFill="1" applyBorder="1" applyAlignment="1">
      <alignment horizontal="center" vertical="center" readingOrder="1"/>
    </xf>
    <xf numFmtId="0" fontId="52" fillId="17" borderId="23" xfId="0" applyFont="1" applyFill="1" applyBorder="1" applyAlignment="1">
      <alignment horizontal="center" vertical="center" readingOrder="1"/>
    </xf>
    <xf numFmtId="0" fontId="52" fillId="17" borderId="22" xfId="0" applyFont="1" applyFill="1" applyBorder="1" applyAlignment="1">
      <alignment horizontal="center" vertical="center" readingOrder="1"/>
    </xf>
    <xf numFmtId="0" fontId="53" fillId="0" borderId="0" xfId="0" applyFont="1" applyAlignment="1">
      <alignment horizontal="left" vertical="center" indent="1"/>
    </xf>
    <xf numFmtId="0" fontId="52" fillId="17" borderId="21" xfId="0" applyFont="1" applyFill="1" applyBorder="1" applyAlignment="1">
      <alignment horizontal="left" vertical="center"/>
    </xf>
    <xf numFmtId="0" fontId="52" fillId="17" borderId="23" xfId="0" applyFont="1" applyFill="1" applyBorder="1" applyAlignment="1">
      <alignment horizontal="left" vertical="center"/>
    </xf>
    <xf numFmtId="0" fontId="52" fillId="17" borderId="22" xfId="0" applyFont="1" applyFill="1" applyBorder="1" applyAlignment="1">
      <alignment horizontal="left" vertical="center"/>
    </xf>
    <xf numFmtId="0" fontId="52" fillId="17" borderId="21" xfId="0" applyFont="1" applyFill="1" applyBorder="1" applyAlignment="1">
      <alignment horizontal="center" vertical="center"/>
    </xf>
    <xf numFmtId="0" fontId="52" fillId="17" borderId="23" xfId="0" applyFont="1" applyFill="1" applyBorder="1" applyAlignment="1">
      <alignment horizontal="center" vertical="center"/>
    </xf>
    <xf numFmtId="0" fontId="52" fillId="17" borderId="22" xfId="0" applyFont="1" applyFill="1" applyBorder="1" applyAlignment="1">
      <alignment horizontal="center" vertical="center"/>
    </xf>
    <xf numFmtId="0" fontId="53" fillId="0" borderId="35" xfId="0" applyFont="1" applyBorder="1" applyAlignment="1">
      <alignment horizontal="left" vertical="center"/>
    </xf>
    <xf numFmtId="0" fontId="53" fillId="0" borderId="23" xfId="0" applyFont="1" applyBorder="1" applyAlignment="1">
      <alignment horizontal="left" vertical="center"/>
    </xf>
    <xf numFmtId="0" fontId="53" fillId="0" borderId="22" xfId="0" applyFont="1" applyBorder="1" applyAlignment="1">
      <alignment horizontal="left" vertical="center"/>
    </xf>
    <xf numFmtId="0" fontId="11" fillId="0" borderId="0" xfId="0" applyFont="1" applyFill="1" applyAlignment="1">
      <alignment horizontal="left" vertical="center" readingOrder="1"/>
    </xf>
    <xf numFmtId="0" fontId="11" fillId="31" borderId="0" xfId="0" applyFont="1" applyFill="1" applyAlignment="1">
      <alignment horizontal="left" vertical="center" readingOrder="1"/>
    </xf>
    <xf numFmtId="0" fontId="27" fillId="0" borderId="0" xfId="0" applyFont="1" applyFill="1" applyAlignment="1">
      <alignment horizontal="center" vertical="center"/>
    </xf>
    <xf numFmtId="166" fontId="47" fillId="18" borderId="11" xfId="33" applyNumberFormat="1" applyFont="1" applyFill="1" applyBorder="1" applyAlignment="1">
      <alignment horizontal="center"/>
    </xf>
    <xf numFmtId="166" fontId="47" fillId="18" borderId="10" xfId="33" applyNumberFormat="1" applyFont="1" applyFill="1" applyBorder="1" applyAlignment="1">
      <alignment horizontal="center"/>
    </xf>
    <xf numFmtId="43" fontId="1" fillId="0" borderId="34" xfId="33" applyNumberFormat="1" applyBorder="1" applyAlignment="1">
      <alignment horizontal="center"/>
    </xf>
    <xf numFmtId="43" fontId="1" fillId="0" borderId="24" xfId="33" applyNumberFormat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readingOrder="1"/>
    </xf>
    <xf numFmtId="166" fontId="1" fillId="0" borderId="29" xfId="33" applyNumberFormat="1" applyBorder="1" applyAlignment="1">
      <alignment horizontal="center"/>
    </xf>
    <xf numFmtId="166" fontId="1" fillId="0" borderId="0" xfId="33" applyNumberFormat="1" applyBorder="1" applyAlignment="1">
      <alignment horizontal="center"/>
    </xf>
    <xf numFmtId="166" fontId="47" fillId="18" borderId="13" xfId="33" applyNumberFormat="1" applyFont="1" applyFill="1" applyBorder="1" applyAlignment="1">
      <alignment horizontal="center" wrapText="1"/>
    </xf>
    <xf numFmtId="0" fontId="47" fillId="18" borderId="13" xfId="33" applyFont="1" applyFill="1" applyBorder="1" applyAlignment="1">
      <alignment horizontal="center" wrapText="1"/>
    </xf>
    <xf numFmtId="0" fontId="47" fillId="0" borderId="0" xfId="33" applyFont="1" applyAlignment="1">
      <alignment horizontal="center"/>
    </xf>
    <xf numFmtId="166" fontId="1" fillId="0" borderId="29" xfId="46" applyNumberFormat="1" applyFont="1" applyBorder="1" applyAlignment="1">
      <alignment horizontal="center"/>
    </xf>
    <xf numFmtId="166" fontId="1" fillId="0" borderId="25" xfId="46" applyNumberFormat="1" applyFont="1" applyBorder="1" applyAlignment="1">
      <alignment horizontal="center"/>
    </xf>
    <xf numFmtId="166" fontId="51" fillId="0" borderId="29" xfId="46" applyNumberFormat="1" applyFont="1" applyBorder="1" applyAlignment="1">
      <alignment horizontal="center"/>
    </xf>
    <xf numFmtId="166" fontId="51" fillId="0" borderId="25" xfId="46" applyNumberFormat="1" applyFont="1" applyBorder="1" applyAlignment="1">
      <alignment horizontal="center"/>
    </xf>
    <xf numFmtId="166" fontId="1" fillId="18" borderId="21" xfId="33" applyNumberFormat="1" applyFill="1" applyBorder="1" applyAlignment="1">
      <alignment horizontal="center"/>
    </xf>
    <xf numFmtId="166" fontId="1" fillId="18" borderId="22" xfId="33" applyNumberFormat="1" applyFill="1" applyBorder="1" applyAlignment="1">
      <alignment horizontal="center"/>
    </xf>
    <xf numFmtId="166" fontId="1" fillId="18" borderId="13" xfId="46" applyNumberFormat="1" applyFont="1" applyFill="1" applyBorder="1" applyAlignment="1">
      <alignment horizontal="center"/>
    </xf>
    <xf numFmtId="166" fontId="19" fillId="18" borderId="10" xfId="46" applyNumberFormat="1" applyFont="1" applyFill="1" applyBorder="1" applyAlignment="1">
      <alignment horizontal="center"/>
    </xf>
    <xf numFmtId="0" fontId="19" fillId="18" borderId="10" xfId="33" applyFont="1" applyFill="1" applyBorder="1" applyAlignment="1">
      <alignment horizontal="center"/>
    </xf>
    <xf numFmtId="166" fontId="47" fillId="18" borderId="13" xfId="46" applyNumberFormat="1" applyFont="1" applyFill="1" applyBorder="1" applyAlignment="1">
      <alignment horizontal="center"/>
    </xf>
    <xf numFmtId="166" fontId="51" fillId="0" borderId="29" xfId="46" applyNumberFormat="1" applyFont="1" applyFill="1" applyBorder="1" applyAlignment="1">
      <alignment horizontal="center"/>
    </xf>
    <xf numFmtId="166" fontId="51" fillId="0" borderId="25" xfId="46" applyNumberFormat="1" applyFont="1" applyFill="1" applyBorder="1" applyAlignment="1">
      <alignment horizontal="center"/>
    </xf>
    <xf numFmtId="166" fontId="1" fillId="0" borderId="25" xfId="33" applyNumberFormat="1" applyBorder="1" applyAlignment="1">
      <alignment horizontal="center"/>
    </xf>
    <xf numFmtId="9" fontId="27" fillId="0" borderId="0" xfId="35" applyFont="1" applyFill="1" applyAlignment="1">
      <alignment horizontal="center" vertical="center"/>
    </xf>
    <xf numFmtId="166" fontId="1" fillId="0" borderId="11" xfId="33" applyNumberFormat="1" applyBorder="1" applyAlignment="1">
      <alignment horizontal="center"/>
    </xf>
    <xf numFmtId="0" fontId="27" fillId="0" borderId="0" xfId="0" applyFont="1" applyFill="1" applyBorder="1" applyAlignment="1">
      <alignment horizontal="center" vertical="center" readingOrder="1"/>
    </xf>
    <xf numFmtId="0" fontId="26" fillId="0" borderId="0" xfId="0" applyFont="1" applyFill="1" applyBorder="1" applyAlignment="1">
      <alignment horizontal="center" vertical="center"/>
    </xf>
    <xf numFmtId="0" fontId="19" fillId="18" borderId="44" xfId="33" applyFont="1" applyFill="1" applyBorder="1" applyAlignment="1">
      <alignment horizontal="center" vertical="center" wrapText="1"/>
    </xf>
    <xf numFmtId="0" fontId="19" fillId="18" borderId="31" xfId="33" applyFont="1" applyFill="1" applyBorder="1" applyAlignment="1">
      <alignment horizontal="center" vertical="center" wrapText="1"/>
    </xf>
    <xf numFmtId="0" fontId="70" fillId="31" borderId="0" xfId="0" applyFont="1" applyFill="1" applyAlignment="1">
      <alignment horizontal="left" vertical="center" wrapText="1" readingOrder="1"/>
    </xf>
    <xf numFmtId="0" fontId="47" fillId="18" borderId="36" xfId="33" applyFont="1" applyFill="1" applyBorder="1" applyAlignment="1">
      <alignment horizontal="center" vertical="center"/>
    </xf>
    <xf numFmtId="0" fontId="47" fillId="18" borderId="39" xfId="33" applyFont="1" applyFill="1" applyBorder="1" applyAlignment="1">
      <alignment horizontal="center" vertical="center"/>
    </xf>
    <xf numFmtId="0" fontId="19" fillId="18" borderId="42" xfId="33" applyFont="1" applyFill="1" applyBorder="1" applyAlignment="1">
      <alignment horizontal="center"/>
    </xf>
    <xf numFmtId="0" fontId="19" fillId="18" borderId="43" xfId="33" applyFont="1" applyFill="1" applyBorder="1" applyAlignment="1">
      <alignment horizontal="center"/>
    </xf>
    <xf numFmtId="0" fontId="19" fillId="0" borderId="0" xfId="33" applyFont="1" applyAlignment="1">
      <alignment horizontal="center"/>
    </xf>
    <xf numFmtId="0" fontId="19" fillId="18" borderId="36" xfId="33" applyFont="1" applyFill="1" applyBorder="1" applyAlignment="1">
      <alignment horizontal="center" vertical="center" wrapText="1"/>
    </xf>
    <xf numFmtId="0" fontId="19" fillId="18" borderId="37" xfId="33" applyFont="1" applyFill="1" applyBorder="1" applyAlignment="1">
      <alignment horizontal="center" vertical="center" wrapText="1"/>
    </xf>
    <xf numFmtId="0" fontId="19" fillId="18" borderId="38" xfId="33" applyFont="1" applyFill="1" applyBorder="1" applyAlignment="1">
      <alignment horizontal="center" vertical="center" wrapText="1"/>
    </xf>
    <xf numFmtId="0" fontId="19" fillId="18" borderId="39" xfId="33" applyFont="1" applyFill="1" applyBorder="1" applyAlignment="1">
      <alignment horizontal="center" vertical="center" wrapText="1"/>
    </xf>
    <xf numFmtId="0" fontId="19" fillId="18" borderId="40" xfId="33" applyFont="1" applyFill="1" applyBorder="1" applyAlignment="1">
      <alignment horizontal="center" vertical="center" wrapText="1"/>
    </xf>
    <xf numFmtId="0" fontId="19" fillId="18" borderId="41" xfId="33" applyFont="1" applyFill="1" applyBorder="1" applyAlignment="1">
      <alignment horizontal="center" vertical="center" wrapText="1"/>
    </xf>
    <xf numFmtId="0" fontId="47" fillId="18" borderId="37" xfId="33" applyFont="1" applyFill="1" applyBorder="1" applyAlignment="1">
      <alignment horizontal="center" vertical="center"/>
    </xf>
    <xf numFmtId="0" fontId="56" fillId="31" borderId="0" xfId="0" applyFont="1" applyFill="1" applyAlignment="1">
      <alignment vertical="center" wrapText="1" readingOrder="1"/>
    </xf>
    <xf numFmtId="0" fontId="56" fillId="28" borderId="0" xfId="0" applyFont="1" applyFill="1" applyAlignment="1">
      <alignment horizontal="left" vertical="center" wrapText="1" readingOrder="1"/>
    </xf>
    <xf numFmtId="0" fontId="28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left" vertical="center" wrapText="1" readingOrder="1"/>
    </xf>
    <xf numFmtId="0" fontId="26" fillId="0" borderId="0" xfId="0" applyFont="1" applyFill="1" applyBorder="1" applyAlignment="1">
      <alignment horizontal="center" vertical="center" readingOrder="1"/>
    </xf>
    <xf numFmtId="0" fontId="43" fillId="0" borderId="0" xfId="0" applyFont="1" applyFill="1" applyAlignment="1">
      <alignment vertical="center" wrapText="1" readingOrder="1"/>
    </xf>
    <xf numFmtId="0" fontId="43" fillId="0" borderId="0" xfId="0" applyFont="1" applyFill="1" applyAlignment="1">
      <alignment horizontal="left" vertical="center" readingOrder="1"/>
    </xf>
    <xf numFmtId="0" fontId="43" fillId="0" borderId="0" xfId="0" applyFont="1" applyFill="1" applyBorder="1" applyAlignment="1">
      <alignment horizontal="left" vertical="center" wrapText="1" readingOrder="1"/>
    </xf>
    <xf numFmtId="0" fontId="43" fillId="31" borderId="0" xfId="0" applyFont="1" applyFill="1" applyAlignment="1">
      <alignment horizontal="left" vertical="center" wrapText="1" readingOrder="1"/>
    </xf>
    <xf numFmtId="0" fontId="43" fillId="31" borderId="0" xfId="0" applyFont="1" applyFill="1" applyBorder="1" applyAlignment="1">
      <alignment horizontal="left" vertical="center" wrapText="1" readingOrder="1"/>
    </xf>
    <xf numFmtId="0" fontId="21" fillId="0" borderId="25" xfId="0" applyFont="1" applyFill="1" applyBorder="1" applyAlignment="1">
      <alignment horizontal="left" vertical="center"/>
    </xf>
    <xf numFmtId="0" fontId="21" fillId="0" borderId="24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23" fillId="17" borderId="34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49" fontId="27" fillId="0" borderId="0" xfId="0" applyNumberFormat="1" applyFont="1" applyFill="1" applyAlignment="1">
      <alignment horizontal="center" vertical="center" readingOrder="1"/>
    </xf>
    <xf numFmtId="0" fontId="23" fillId="17" borderId="34" xfId="0" applyFont="1" applyFill="1" applyBorder="1" applyAlignment="1">
      <alignment horizontal="center" vertical="center" readingOrder="1"/>
    </xf>
    <xf numFmtId="0" fontId="23" fillId="17" borderId="35" xfId="0" applyFont="1" applyFill="1" applyBorder="1" applyAlignment="1">
      <alignment horizontal="center" vertical="center" readingOrder="1"/>
    </xf>
  </cellXfs>
  <cellStyles count="47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2" xfId="32"/>
    <cellStyle name="Normal_BALANÇO ORÇAMENTÁRIO MCASP - Nov15" xfId="33"/>
    <cellStyle name="Nota" xfId="34" builtinId="10" customBuiltin="1"/>
    <cellStyle name="Porcentagem" xfId="35" builtinId="5"/>
    <cellStyle name="Saída" xfId="36" builtinId="21" customBuiltin="1"/>
    <cellStyle name="Separador de milhares 2" xfId="37"/>
    <cellStyle name="Texto de Aviso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ítulo 4" xfId="44" builtinId="19" customBuiltin="1"/>
    <cellStyle name="Total" xfId="45" builtinId="25" customBuiltin="1"/>
    <cellStyle name="Vírgula" xfId="46" builtinId="3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1039200</xdr:colOff>
      <xdr:row>0</xdr:row>
      <xdr:rowOff>0</xdr:rowOff>
    </xdr:from>
    <xdr:to>
      <xdr:col>5</xdr:col>
      <xdr:colOff>1043963</xdr:colOff>
      <xdr:row>197</xdr:row>
      <xdr:rowOff>9525</xdr:rowOff>
    </xdr:to>
    <xdr:sp macro="" textlink="">
      <xdr:nvSpPr>
        <xdr:cNvPr id="2" name="Retângulo 1"/>
        <xdr:cNvSpPr/>
      </xdr:nvSpPr>
      <xdr:spPr>
        <a:xfrm>
          <a:off x="7821000" y="0"/>
          <a:ext cx="1052513" cy="314166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pt-BR"/>
        </a:p>
      </xdr:txBody>
    </xdr:sp>
    <xdr:clientData/>
  </xdr:twoCellAnchor>
  <xdr:twoCellAnchor>
    <xdr:from>
      <xdr:col>2</xdr:col>
      <xdr:colOff>180975</xdr:colOff>
      <xdr:row>190</xdr:row>
      <xdr:rowOff>76200</xdr:rowOff>
    </xdr:from>
    <xdr:to>
      <xdr:col>2</xdr:col>
      <xdr:colOff>904875</xdr:colOff>
      <xdr:row>191</xdr:row>
      <xdr:rowOff>85725</xdr:rowOff>
    </xdr:to>
    <xdr:cxnSp macro="">
      <xdr:nvCxnSpPr>
        <xdr:cNvPr id="12766" name="Conector em curva 65"/>
        <xdr:cNvCxnSpPr>
          <a:cxnSpLocks noChangeShapeType="1"/>
        </xdr:cNvCxnSpPr>
      </xdr:nvCxnSpPr>
      <xdr:spPr bwMode="auto">
        <a:xfrm flipV="1">
          <a:off x="4867275" y="29727525"/>
          <a:ext cx="723900" cy="171450"/>
        </a:xfrm>
        <a:prstGeom prst="curvedConnector3">
          <a:avLst>
            <a:gd name="adj1" fmla="val 12282"/>
          </a:avLst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0</xdr:rowOff>
    </xdr:from>
    <xdr:to>
      <xdr:col>0</xdr:col>
      <xdr:colOff>457200</xdr:colOff>
      <xdr:row>4</xdr:row>
      <xdr:rowOff>85725</xdr:rowOff>
    </xdr:to>
    <xdr:pic>
      <xdr:nvPicPr>
        <xdr:cNvPr id="15477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42900"/>
          <a:ext cx="4191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457200</xdr:colOff>
      <xdr:row>2</xdr:row>
      <xdr:rowOff>85725</xdr:rowOff>
    </xdr:to>
    <xdr:pic>
      <xdr:nvPicPr>
        <xdr:cNvPr id="16500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4191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17524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14455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13432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3</xdr:row>
      <xdr:rowOff>0</xdr:rowOff>
    </xdr:to>
    <xdr:pic>
      <xdr:nvPicPr>
        <xdr:cNvPr id="11713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95250</xdr:rowOff>
    </xdr:from>
    <xdr:to>
      <xdr:col>2</xdr:col>
      <xdr:colOff>28575</xdr:colOff>
      <xdr:row>4</xdr:row>
      <xdr:rowOff>76200</xdr:rowOff>
    </xdr:to>
    <xdr:pic>
      <xdr:nvPicPr>
        <xdr:cNvPr id="11015" name="Picture -7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95250"/>
          <a:ext cx="733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P212"/>
  <sheetViews>
    <sheetView showGridLines="0" zoomScale="150" zoomScaleNormal="150" workbookViewId="0">
      <pane xSplit="2" ySplit="1" topLeftCell="E113" activePane="bottomRight" state="frozen"/>
      <selection pane="topRight" activeCell="C1" sqref="C1"/>
      <selection pane="bottomLeft" activeCell="A3" sqref="A3"/>
      <selection pane="bottomRight" activeCell="A199" sqref="A199"/>
    </sheetView>
  </sheetViews>
  <sheetFormatPr defaultRowHeight="12.75" x14ac:dyDescent="0.2"/>
  <cols>
    <col min="1" max="1" width="34" customWidth="1"/>
    <col min="2" max="2" width="36.28515625" customWidth="1"/>
    <col min="3" max="14" width="15.7109375" customWidth="1"/>
    <col min="15" max="15" width="12.28515625" bestFit="1" customWidth="1"/>
  </cols>
  <sheetData>
    <row r="1" spans="1:14" x14ac:dyDescent="0.2">
      <c r="A1" s="383" t="s">
        <v>88</v>
      </c>
      <c r="B1" s="383"/>
      <c r="C1" s="90">
        <v>43466</v>
      </c>
      <c r="D1" s="90">
        <v>43497</v>
      </c>
      <c r="E1" s="90">
        <v>43525</v>
      </c>
      <c r="F1" s="90">
        <v>43556</v>
      </c>
      <c r="G1" s="90">
        <v>43586</v>
      </c>
      <c r="H1" s="90">
        <v>43617</v>
      </c>
      <c r="I1" s="90">
        <v>43647</v>
      </c>
      <c r="J1" s="90">
        <v>43678</v>
      </c>
      <c r="K1" s="90">
        <v>43709</v>
      </c>
      <c r="L1" s="90">
        <v>43739</v>
      </c>
      <c r="M1" s="90">
        <v>43770</v>
      </c>
      <c r="N1" s="90">
        <v>43800</v>
      </c>
    </row>
    <row r="2" spans="1:14" x14ac:dyDescent="0.2">
      <c r="A2" s="378" t="s">
        <v>92</v>
      </c>
      <c r="B2" s="378"/>
    </row>
    <row r="3" spans="1:14" x14ac:dyDescent="0.2">
      <c r="A3" s="388" t="s">
        <v>104</v>
      </c>
      <c r="B3" s="389"/>
    </row>
    <row r="4" spans="1:14" x14ac:dyDescent="0.2">
      <c r="A4" s="379" t="s">
        <v>197</v>
      </c>
      <c r="B4" s="61" t="s">
        <v>93</v>
      </c>
      <c r="C4" s="146">
        <v>17476289</v>
      </c>
      <c r="D4" s="146">
        <v>17476289</v>
      </c>
      <c r="E4" s="146">
        <v>17476289</v>
      </c>
      <c r="F4" s="146">
        <v>17476289</v>
      </c>
      <c r="G4" s="146">
        <v>17476289</v>
      </c>
      <c r="H4" s="146">
        <v>17476289</v>
      </c>
      <c r="I4" s="146">
        <v>17476289</v>
      </c>
      <c r="J4" s="146">
        <v>17476289</v>
      </c>
      <c r="K4" s="146">
        <v>17476289</v>
      </c>
      <c r="L4" s="146">
        <v>17476289</v>
      </c>
      <c r="M4" s="146">
        <v>17476289</v>
      </c>
      <c r="N4" s="146">
        <v>17476289</v>
      </c>
    </row>
    <row r="5" spans="1:14" x14ac:dyDescent="0.2">
      <c r="A5" s="380"/>
      <c r="B5" s="61" t="s">
        <v>94</v>
      </c>
      <c r="C5" s="110">
        <v>1398458.01</v>
      </c>
      <c r="D5" s="73">
        <v>1248235.3400000001</v>
      </c>
      <c r="E5" s="73">
        <v>1158542.3899999999</v>
      </c>
      <c r="F5" s="73">
        <v>1218004.53</v>
      </c>
      <c r="G5" s="73"/>
      <c r="H5" s="73"/>
      <c r="I5" s="73"/>
      <c r="J5" s="73"/>
      <c r="K5" s="73"/>
      <c r="L5" s="73"/>
      <c r="M5" s="73"/>
      <c r="N5" s="73"/>
    </row>
    <row r="6" spans="1:14" x14ac:dyDescent="0.2">
      <c r="A6" s="380"/>
      <c r="B6" s="93" t="s">
        <v>102</v>
      </c>
      <c r="C6" s="94">
        <f>C63</f>
        <v>1398458.01</v>
      </c>
      <c r="D6" s="94">
        <f t="shared" ref="D6:N6" si="0">D63</f>
        <v>1248235.3400000001</v>
      </c>
      <c r="E6" s="94">
        <f t="shared" si="0"/>
        <v>1158542.3899999999</v>
      </c>
      <c r="F6" s="94">
        <f t="shared" si="0"/>
        <v>1218004.53</v>
      </c>
      <c r="G6" s="94">
        <f t="shared" si="0"/>
        <v>0</v>
      </c>
      <c r="H6" s="94">
        <f t="shared" si="0"/>
        <v>0</v>
      </c>
      <c r="I6" s="94">
        <f t="shared" si="0"/>
        <v>0</v>
      </c>
      <c r="J6" s="94">
        <f t="shared" si="0"/>
        <v>0</v>
      </c>
      <c r="K6" s="94">
        <f t="shared" si="0"/>
        <v>0</v>
      </c>
      <c r="L6" s="94">
        <f t="shared" si="0"/>
        <v>0</v>
      </c>
      <c r="M6" s="94">
        <f t="shared" si="0"/>
        <v>0</v>
      </c>
      <c r="N6" s="94">
        <f t="shared" si="0"/>
        <v>0</v>
      </c>
    </row>
    <row r="7" spans="1:14" x14ac:dyDescent="0.2">
      <c r="A7" s="380"/>
      <c r="B7" s="98" t="s">
        <v>89</v>
      </c>
      <c r="C7" s="99">
        <f>C5-C6</f>
        <v>0</v>
      </c>
      <c r="D7" s="99">
        <f t="shared" ref="D7:N7" si="1">+D6-D5</f>
        <v>0</v>
      </c>
      <c r="E7" s="99">
        <f t="shared" si="1"/>
        <v>0</v>
      </c>
      <c r="F7" s="99">
        <f t="shared" si="1"/>
        <v>0</v>
      </c>
      <c r="G7" s="99">
        <f t="shared" si="1"/>
        <v>0</v>
      </c>
      <c r="H7" s="99">
        <f t="shared" si="1"/>
        <v>0</v>
      </c>
      <c r="I7" s="99">
        <f t="shared" si="1"/>
        <v>0</v>
      </c>
      <c r="J7" s="99">
        <f t="shared" si="1"/>
        <v>0</v>
      </c>
      <c r="K7" s="99">
        <f t="shared" si="1"/>
        <v>0</v>
      </c>
      <c r="L7" s="99">
        <f t="shared" si="1"/>
        <v>0</v>
      </c>
      <c r="M7" s="99">
        <f t="shared" si="1"/>
        <v>0</v>
      </c>
      <c r="N7" s="99">
        <f t="shared" si="1"/>
        <v>0</v>
      </c>
    </row>
    <row r="8" spans="1:14" x14ac:dyDescent="0.2">
      <c r="A8" s="380"/>
      <c r="B8" s="61" t="s">
        <v>95</v>
      </c>
      <c r="C8" s="73">
        <v>1398458.01</v>
      </c>
      <c r="D8" s="73">
        <v>2646693.35</v>
      </c>
      <c r="E8" s="73">
        <v>3805235.74</v>
      </c>
      <c r="F8" s="73">
        <v>5023240.2699999996</v>
      </c>
      <c r="G8" s="73"/>
      <c r="H8" s="73"/>
      <c r="I8" s="73"/>
      <c r="J8" s="73"/>
      <c r="K8" s="73"/>
      <c r="L8" s="73"/>
      <c r="M8" s="73"/>
      <c r="N8" s="73"/>
    </row>
    <row r="9" spans="1:14" x14ac:dyDescent="0.2">
      <c r="A9" s="380"/>
      <c r="B9" s="93" t="s">
        <v>103</v>
      </c>
      <c r="C9" s="95">
        <f>C8+C7</f>
        <v>1398458.01</v>
      </c>
      <c r="D9" s="94">
        <f>C9+D6</f>
        <v>2646693.35</v>
      </c>
      <c r="E9" s="94">
        <f t="shared" ref="E9:N9" si="2">D9+E6</f>
        <v>3805235.74</v>
      </c>
      <c r="F9" s="94">
        <f t="shared" si="2"/>
        <v>5023240.2700000005</v>
      </c>
      <c r="G9" s="94">
        <f t="shared" si="2"/>
        <v>5023240.2700000005</v>
      </c>
      <c r="H9" s="94">
        <f t="shared" si="2"/>
        <v>5023240.2700000005</v>
      </c>
      <c r="I9" s="94">
        <f t="shared" si="2"/>
        <v>5023240.2700000005</v>
      </c>
      <c r="J9" s="94">
        <f t="shared" si="2"/>
        <v>5023240.2700000005</v>
      </c>
      <c r="K9" s="94">
        <f t="shared" si="2"/>
        <v>5023240.2700000005</v>
      </c>
      <c r="L9" s="94">
        <f t="shared" si="2"/>
        <v>5023240.2700000005</v>
      </c>
      <c r="M9" s="94">
        <f t="shared" si="2"/>
        <v>5023240.2700000005</v>
      </c>
      <c r="N9" s="94">
        <f t="shared" si="2"/>
        <v>5023240.2700000005</v>
      </c>
    </row>
    <row r="10" spans="1:14" ht="12.75" customHeight="1" x14ac:dyDescent="0.2">
      <c r="A10" s="381"/>
      <c r="B10" s="62" t="s">
        <v>87</v>
      </c>
      <c r="C10" s="74">
        <f>C9</f>
        <v>1398458.01</v>
      </c>
      <c r="D10" s="74">
        <f t="shared" ref="D10:N10" si="3">+C10+D6</f>
        <v>2646693.35</v>
      </c>
      <c r="E10" s="74">
        <f t="shared" si="3"/>
        <v>3805235.74</v>
      </c>
      <c r="F10" s="74">
        <f t="shared" si="3"/>
        <v>5023240.2700000005</v>
      </c>
      <c r="G10" s="74">
        <f t="shared" si="3"/>
        <v>5023240.2700000005</v>
      </c>
      <c r="H10" s="74">
        <f t="shared" si="3"/>
        <v>5023240.2700000005</v>
      </c>
      <c r="I10" s="74">
        <f t="shared" si="3"/>
        <v>5023240.2700000005</v>
      </c>
      <c r="J10" s="74">
        <f t="shared" si="3"/>
        <v>5023240.2700000005</v>
      </c>
      <c r="K10" s="74">
        <f t="shared" si="3"/>
        <v>5023240.2700000005</v>
      </c>
      <c r="L10" s="74">
        <f t="shared" si="3"/>
        <v>5023240.2700000005</v>
      </c>
      <c r="M10" s="74">
        <f t="shared" si="3"/>
        <v>5023240.2700000005</v>
      </c>
      <c r="N10" s="74">
        <f t="shared" si="3"/>
        <v>5023240.2700000005</v>
      </c>
    </row>
    <row r="11" spans="1:14" s="58" customFormat="1" ht="3.75" customHeight="1" x14ac:dyDescent="0.2">
      <c r="A11" s="64"/>
      <c r="B11" s="6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1:14" x14ac:dyDescent="0.2">
      <c r="A12" s="379" t="s">
        <v>198</v>
      </c>
      <c r="B12" s="61" t="s">
        <v>93</v>
      </c>
      <c r="C12" s="146">
        <v>114000000</v>
      </c>
      <c r="D12" s="146">
        <v>114000000</v>
      </c>
      <c r="E12" s="146">
        <v>114000000</v>
      </c>
      <c r="F12" s="146">
        <v>114000000</v>
      </c>
      <c r="G12" s="146">
        <v>114000000</v>
      </c>
      <c r="H12" s="146">
        <v>114000000</v>
      </c>
      <c r="I12" s="146">
        <v>114000000</v>
      </c>
      <c r="J12" s="146">
        <v>114000000</v>
      </c>
      <c r="K12" s="146">
        <v>114000000</v>
      </c>
      <c r="L12" s="146">
        <v>114000000</v>
      </c>
      <c r="M12" s="146">
        <v>114000000</v>
      </c>
      <c r="N12" s="146">
        <v>114000000</v>
      </c>
    </row>
    <row r="13" spans="1:14" x14ac:dyDescent="0.2">
      <c r="A13" s="380"/>
      <c r="B13" s="61" t="s">
        <v>94</v>
      </c>
      <c r="C13" s="73">
        <v>141113.37</v>
      </c>
      <c r="D13" s="73">
        <v>162806.98000000001</v>
      </c>
      <c r="E13" s="73">
        <v>495856.9</v>
      </c>
      <c r="F13" s="73">
        <v>679219.27</v>
      </c>
      <c r="G13" s="73"/>
      <c r="H13" s="73"/>
      <c r="I13" s="73"/>
      <c r="J13" s="73"/>
      <c r="K13" s="73"/>
      <c r="L13" s="73"/>
      <c r="M13" s="73"/>
      <c r="N13" s="73"/>
    </row>
    <row r="14" spans="1:14" x14ac:dyDescent="0.2">
      <c r="A14" s="380"/>
      <c r="B14" s="93" t="s">
        <v>102</v>
      </c>
      <c r="C14" s="94">
        <f>C65-C66</f>
        <v>141113.37</v>
      </c>
      <c r="D14" s="94">
        <f>D13</f>
        <v>162806.98000000001</v>
      </c>
      <c r="E14" s="94">
        <f t="shared" ref="E14:N14" si="4">E65-E66</f>
        <v>495856.9</v>
      </c>
      <c r="F14" s="94">
        <f t="shared" si="4"/>
        <v>679219.27</v>
      </c>
      <c r="G14" s="94">
        <f t="shared" si="4"/>
        <v>0</v>
      </c>
      <c r="H14" s="94">
        <f t="shared" si="4"/>
        <v>0</v>
      </c>
      <c r="I14" s="94">
        <f t="shared" si="4"/>
        <v>0</v>
      </c>
      <c r="J14" s="94">
        <f t="shared" si="4"/>
        <v>0</v>
      </c>
      <c r="K14" s="94">
        <f t="shared" si="4"/>
        <v>0</v>
      </c>
      <c r="L14" s="94">
        <f t="shared" si="4"/>
        <v>0</v>
      </c>
      <c r="M14" s="94">
        <f t="shared" si="4"/>
        <v>0</v>
      </c>
      <c r="N14" s="94">
        <f t="shared" si="4"/>
        <v>0</v>
      </c>
    </row>
    <row r="15" spans="1:14" x14ac:dyDescent="0.2">
      <c r="A15" s="380"/>
      <c r="B15" s="98" t="s">
        <v>89</v>
      </c>
      <c r="C15" s="99">
        <f t="shared" ref="C15:N15" si="5">+C14-C13</f>
        <v>0</v>
      </c>
      <c r="D15" s="99">
        <f t="shared" si="5"/>
        <v>0</v>
      </c>
      <c r="E15" s="99">
        <f>+E14-E13</f>
        <v>0</v>
      </c>
      <c r="F15" s="99">
        <f>+F14-F13</f>
        <v>0</v>
      </c>
      <c r="G15" s="99">
        <f>+G14-G13</f>
        <v>0</v>
      </c>
      <c r="H15" s="99">
        <f>+H14-H13</f>
        <v>0</v>
      </c>
      <c r="I15" s="99">
        <f>+I14-I13</f>
        <v>0</v>
      </c>
      <c r="J15" s="99">
        <f t="shared" si="5"/>
        <v>0</v>
      </c>
      <c r="K15" s="99">
        <f t="shared" si="5"/>
        <v>0</v>
      </c>
      <c r="L15" s="99">
        <f t="shared" si="5"/>
        <v>0</v>
      </c>
      <c r="M15" s="99">
        <f t="shared" si="5"/>
        <v>0</v>
      </c>
      <c r="N15" s="99">
        <f t="shared" si="5"/>
        <v>0</v>
      </c>
    </row>
    <row r="16" spans="1:14" x14ac:dyDescent="0.2">
      <c r="A16" s="380"/>
      <c r="B16" s="61" t="s">
        <v>95</v>
      </c>
      <c r="C16" s="110">
        <v>141113.37</v>
      </c>
      <c r="D16" s="73">
        <v>303920.34999999998</v>
      </c>
      <c r="E16" s="73">
        <v>799777.25</v>
      </c>
      <c r="F16" s="73">
        <v>1478996.52</v>
      </c>
      <c r="G16" s="73"/>
      <c r="H16" s="73"/>
      <c r="I16" s="73"/>
      <c r="J16" s="73"/>
      <c r="K16" s="73"/>
      <c r="L16" s="73"/>
      <c r="M16" s="73"/>
      <c r="N16" s="73"/>
    </row>
    <row r="17" spans="1:15" x14ac:dyDescent="0.2">
      <c r="A17" s="380"/>
      <c r="B17" s="93" t="s">
        <v>103</v>
      </c>
      <c r="C17" s="94">
        <f>C16</f>
        <v>141113.37</v>
      </c>
      <c r="D17" s="94">
        <f t="shared" ref="D17:N17" si="6">D16</f>
        <v>303920.34999999998</v>
      </c>
      <c r="E17" s="94">
        <f t="shared" si="6"/>
        <v>799777.25</v>
      </c>
      <c r="F17" s="94">
        <f t="shared" si="6"/>
        <v>1478996.52</v>
      </c>
      <c r="G17" s="94">
        <f t="shared" si="6"/>
        <v>0</v>
      </c>
      <c r="H17" s="94">
        <f t="shared" si="6"/>
        <v>0</v>
      </c>
      <c r="I17" s="94">
        <f t="shared" si="6"/>
        <v>0</v>
      </c>
      <c r="J17" s="94">
        <f t="shared" si="6"/>
        <v>0</v>
      </c>
      <c r="K17" s="94">
        <f t="shared" si="6"/>
        <v>0</v>
      </c>
      <c r="L17" s="94">
        <f t="shared" si="6"/>
        <v>0</v>
      </c>
      <c r="M17" s="94">
        <f t="shared" si="6"/>
        <v>0</v>
      </c>
      <c r="N17" s="94">
        <f t="shared" si="6"/>
        <v>0</v>
      </c>
    </row>
    <row r="18" spans="1:15" ht="12.75" customHeight="1" x14ac:dyDescent="0.2">
      <c r="A18" s="381"/>
      <c r="B18" s="62" t="s">
        <v>87</v>
      </c>
      <c r="C18" s="74">
        <f>C17</f>
        <v>141113.37</v>
      </c>
      <c r="D18" s="74">
        <f t="shared" ref="D18:I18" si="7">+C18+D14</f>
        <v>303920.34999999998</v>
      </c>
      <c r="E18" s="74">
        <f t="shared" si="7"/>
        <v>799777.25</v>
      </c>
      <c r="F18" s="74">
        <f t="shared" si="7"/>
        <v>1478996.52</v>
      </c>
      <c r="G18" s="74">
        <f t="shared" si="7"/>
        <v>1478996.52</v>
      </c>
      <c r="H18" s="74">
        <f t="shared" si="7"/>
        <v>1478996.52</v>
      </c>
      <c r="I18" s="74">
        <f t="shared" si="7"/>
        <v>1478996.52</v>
      </c>
      <c r="J18" s="74">
        <f>+I18+J14</f>
        <v>1478996.52</v>
      </c>
      <c r="K18" s="74">
        <f>+J18+K14</f>
        <v>1478996.52</v>
      </c>
      <c r="L18" s="74">
        <f>+K18+L14</f>
        <v>1478996.52</v>
      </c>
      <c r="M18" s="74">
        <f>+L18+M14</f>
        <v>1478996.52</v>
      </c>
      <c r="N18" s="74">
        <f>+M18+N14</f>
        <v>1478996.52</v>
      </c>
    </row>
    <row r="19" spans="1:15" s="58" customFormat="1" ht="3.75" customHeight="1" x14ac:dyDescent="0.2">
      <c r="A19" s="66"/>
      <c r="B19" s="6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</row>
    <row r="20" spans="1:15" x14ac:dyDescent="0.2">
      <c r="A20" s="386" t="s">
        <v>204</v>
      </c>
      <c r="B20" s="61" t="s">
        <v>93</v>
      </c>
      <c r="C20" s="147">
        <v>0</v>
      </c>
      <c r="D20" s="147">
        <v>0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</row>
    <row r="21" spans="1:15" x14ac:dyDescent="0.2">
      <c r="A21" s="380"/>
      <c r="B21" s="61" t="s">
        <v>94</v>
      </c>
      <c r="C21" s="73"/>
      <c r="D21" s="73"/>
      <c r="E21" s="73">
        <v>0</v>
      </c>
      <c r="F21" s="73">
        <v>0</v>
      </c>
      <c r="G21" s="73"/>
      <c r="H21" s="182"/>
      <c r="I21" s="73"/>
      <c r="J21" s="73"/>
      <c r="K21" s="73"/>
      <c r="L21" s="73"/>
      <c r="M21" s="73"/>
      <c r="N21" s="73"/>
    </row>
    <row r="22" spans="1:15" x14ac:dyDescent="0.2">
      <c r="A22" s="380"/>
      <c r="B22" s="100" t="s">
        <v>102</v>
      </c>
      <c r="C22" s="101">
        <f>C67</f>
        <v>0</v>
      </c>
      <c r="D22" s="101">
        <f t="shared" ref="D22:N22" si="8">D67</f>
        <v>0</v>
      </c>
      <c r="E22" s="101">
        <f t="shared" si="8"/>
        <v>0</v>
      </c>
      <c r="F22" s="101">
        <f t="shared" si="8"/>
        <v>0</v>
      </c>
      <c r="G22" s="101">
        <f t="shared" si="8"/>
        <v>0</v>
      </c>
      <c r="H22" s="101">
        <f t="shared" si="8"/>
        <v>0</v>
      </c>
      <c r="I22" s="101">
        <f t="shared" si="8"/>
        <v>0</v>
      </c>
      <c r="J22" s="101">
        <f t="shared" si="8"/>
        <v>0</v>
      </c>
      <c r="K22" s="101">
        <f t="shared" si="8"/>
        <v>0</v>
      </c>
      <c r="L22" s="101">
        <f t="shared" si="8"/>
        <v>0</v>
      </c>
      <c r="M22" s="101">
        <f t="shared" si="8"/>
        <v>0</v>
      </c>
      <c r="N22" s="101">
        <f t="shared" si="8"/>
        <v>0</v>
      </c>
    </row>
    <row r="23" spans="1:15" x14ac:dyDescent="0.2">
      <c r="A23" s="380"/>
      <c r="B23" s="98" t="s">
        <v>89</v>
      </c>
      <c r="C23" s="99">
        <f>+C22-C21</f>
        <v>0</v>
      </c>
      <c r="D23" s="99">
        <v>0</v>
      </c>
      <c r="E23" s="99">
        <f t="shared" ref="E23:N23" si="9">+E22-E21</f>
        <v>0</v>
      </c>
      <c r="F23" s="99">
        <f t="shared" si="9"/>
        <v>0</v>
      </c>
      <c r="G23" s="99">
        <f t="shared" si="9"/>
        <v>0</v>
      </c>
      <c r="H23" s="99">
        <f t="shared" si="9"/>
        <v>0</v>
      </c>
      <c r="I23" s="99">
        <f t="shared" si="9"/>
        <v>0</v>
      </c>
      <c r="J23" s="99">
        <f t="shared" si="9"/>
        <v>0</v>
      </c>
      <c r="K23" s="99">
        <f t="shared" si="9"/>
        <v>0</v>
      </c>
      <c r="L23" s="99">
        <f t="shared" si="9"/>
        <v>0</v>
      </c>
      <c r="M23" s="99">
        <f t="shared" si="9"/>
        <v>0</v>
      </c>
      <c r="N23" s="99">
        <f t="shared" si="9"/>
        <v>0</v>
      </c>
    </row>
    <row r="24" spans="1:15" x14ac:dyDescent="0.2">
      <c r="A24" s="380"/>
      <c r="B24" s="61" t="s">
        <v>95</v>
      </c>
      <c r="C24" s="73"/>
      <c r="D24" s="73"/>
      <c r="E24" s="73">
        <v>0</v>
      </c>
      <c r="F24" s="73">
        <v>0</v>
      </c>
      <c r="G24" s="73"/>
      <c r="H24" s="182"/>
      <c r="I24" s="73"/>
      <c r="J24" s="73"/>
      <c r="K24" s="73"/>
      <c r="L24" s="73"/>
      <c r="M24" s="73"/>
      <c r="N24" s="73"/>
    </row>
    <row r="25" spans="1:15" x14ac:dyDescent="0.2">
      <c r="A25" s="380"/>
      <c r="B25" s="62" t="s">
        <v>103</v>
      </c>
      <c r="C25" s="73"/>
      <c r="D25" s="73"/>
      <c r="E25" s="73">
        <v>0</v>
      </c>
      <c r="F25" s="73">
        <v>0</v>
      </c>
      <c r="G25" s="73"/>
      <c r="H25" s="73"/>
      <c r="I25" s="73"/>
      <c r="J25" s="73"/>
      <c r="K25" s="73"/>
      <c r="L25" s="73"/>
      <c r="M25" s="73"/>
      <c r="N25" s="73"/>
    </row>
    <row r="26" spans="1:15" x14ac:dyDescent="0.2">
      <c r="A26" s="381"/>
      <c r="B26" s="62" t="s">
        <v>87</v>
      </c>
      <c r="C26" s="74">
        <f>C25</f>
        <v>0</v>
      </c>
      <c r="D26" s="74">
        <f t="shared" ref="D26:N26" si="10">+C26+D22</f>
        <v>0</v>
      </c>
      <c r="E26" s="74">
        <f t="shared" si="10"/>
        <v>0</v>
      </c>
      <c r="F26" s="74">
        <f t="shared" si="10"/>
        <v>0</v>
      </c>
      <c r="G26" s="74">
        <f t="shared" si="10"/>
        <v>0</v>
      </c>
      <c r="H26" s="74">
        <f t="shared" si="10"/>
        <v>0</v>
      </c>
      <c r="I26" s="74">
        <f t="shared" si="10"/>
        <v>0</v>
      </c>
      <c r="J26" s="74">
        <f t="shared" si="10"/>
        <v>0</v>
      </c>
      <c r="K26" s="74">
        <f t="shared" si="10"/>
        <v>0</v>
      </c>
      <c r="L26" s="74">
        <f t="shared" si="10"/>
        <v>0</v>
      </c>
      <c r="M26" s="74">
        <f t="shared" si="10"/>
        <v>0</v>
      </c>
      <c r="N26" s="74">
        <f t="shared" si="10"/>
        <v>0</v>
      </c>
    </row>
    <row r="27" spans="1:15" s="58" customFormat="1" ht="3.75" customHeight="1" x14ac:dyDescent="0.2">
      <c r="A27" s="66"/>
      <c r="B27" s="6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</row>
    <row r="28" spans="1:15" x14ac:dyDescent="0.2">
      <c r="A28" s="379" t="s">
        <v>199</v>
      </c>
      <c r="B28" s="61" t="s">
        <v>93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</row>
    <row r="29" spans="1:15" x14ac:dyDescent="0.2">
      <c r="A29" s="380"/>
      <c r="B29" s="61" t="s">
        <v>94</v>
      </c>
      <c r="C29" s="73">
        <v>39237.839999999997</v>
      </c>
      <c r="D29" s="73">
        <v>70266.5</v>
      </c>
      <c r="E29" s="73">
        <v>39762.800000000003</v>
      </c>
      <c r="F29" s="73">
        <v>163208.81</v>
      </c>
      <c r="G29" s="73"/>
      <c r="H29" s="73"/>
      <c r="I29" s="73"/>
      <c r="J29" s="73"/>
      <c r="K29" s="73"/>
      <c r="L29" s="73"/>
      <c r="M29" s="73"/>
      <c r="N29" s="73"/>
    </row>
    <row r="30" spans="1:15" x14ac:dyDescent="0.2">
      <c r="A30" s="380"/>
      <c r="B30" s="100" t="s">
        <v>102</v>
      </c>
      <c r="C30" s="101">
        <f>C68</f>
        <v>39237.839999999997</v>
      </c>
      <c r="D30" s="101">
        <f>D68</f>
        <v>70266.5</v>
      </c>
      <c r="E30" s="101">
        <f t="shared" ref="E30:N30" si="11">E68</f>
        <v>39762.800000000003</v>
      </c>
      <c r="F30" s="101">
        <f t="shared" si="11"/>
        <v>163208.81</v>
      </c>
      <c r="G30" s="101">
        <f t="shared" si="11"/>
        <v>0</v>
      </c>
      <c r="H30" s="101">
        <f t="shared" si="11"/>
        <v>0</v>
      </c>
      <c r="I30" s="101">
        <f t="shared" si="11"/>
        <v>0</v>
      </c>
      <c r="J30" s="101">
        <f t="shared" si="11"/>
        <v>0</v>
      </c>
      <c r="K30" s="101">
        <f t="shared" si="11"/>
        <v>0</v>
      </c>
      <c r="L30" s="101">
        <f t="shared" si="11"/>
        <v>0</v>
      </c>
      <c r="M30" s="101">
        <f t="shared" si="11"/>
        <v>0</v>
      </c>
      <c r="N30" s="101">
        <f t="shared" si="11"/>
        <v>0</v>
      </c>
    </row>
    <row r="31" spans="1:15" x14ac:dyDescent="0.2">
      <c r="A31" s="380"/>
      <c r="B31" s="98" t="s">
        <v>89</v>
      </c>
      <c r="C31" s="99">
        <f>+C30-C29</f>
        <v>0</v>
      </c>
      <c r="D31" s="99">
        <v>0</v>
      </c>
      <c r="E31" s="99">
        <f t="shared" ref="E31:N31" si="12">+E30-E29</f>
        <v>0</v>
      </c>
      <c r="F31" s="99">
        <f t="shared" si="12"/>
        <v>0</v>
      </c>
      <c r="G31" s="99">
        <f t="shared" si="12"/>
        <v>0</v>
      </c>
      <c r="H31" s="99">
        <f t="shared" si="12"/>
        <v>0</v>
      </c>
      <c r="I31" s="99">
        <f t="shared" si="12"/>
        <v>0</v>
      </c>
      <c r="J31" s="99">
        <f t="shared" si="12"/>
        <v>0</v>
      </c>
      <c r="K31" s="99">
        <f t="shared" si="12"/>
        <v>0</v>
      </c>
      <c r="L31" s="99">
        <f t="shared" si="12"/>
        <v>0</v>
      </c>
      <c r="M31" s="99">
        <f t="shared" si="12"/>
        <v>0</v>
      </c>
      <c r="N31" s="99">
        <f t="shared" si="12"/>
        <v>0</v>
      </c>
      <c r="O31" s="284"/>
    </row>
    <row r="32" spans="1:15" x14ac:dyDescent="0.2">
      <c r="A32" s="380"/>
      <c r="B32" s="61" t="s">
        <v>95</v>
      </c>
      <c r="C32" s="73">
        <v>39237.839999999997</v>
      </c>
      <c r="D32" s="73">
        <v>109504.34</v>
      </c>
      <c r="E32" s="73">
        <v>149267.14000000001</v>
      </c>
      <c r="F32" s="73">
        <v>312475.95</v>
      </c>
      <c r="G32" s="73"/>
      <c r="H32" s="73"/>
      <c r="I32" s="73"/>
      <c r="J32" s="73"/>
      <c r="K32" s="73"/>
      <c r="L32" s="73"/>
      <c r="M32" s="73"/>
      <c r="N32" s="73"/>
    </row>
    <row r="33" spans="1:16" x14ac:dyDescent="0.2">
      <c r="A33" s="380"/>
      <c r="B33" s="100" t="s">
        <v>103</v>
      </c>
      <c r="C33" s="101">
        <f>C68</f>
        <v>39237.839999999997</v>
      </c>
      <c r="D33" s="101">
        <f>D68</f>
        <v>70266.5</v>
      </c>
      <c r="E33" s="101">
        <f t="shared" ref="E33:N33" si="13">E68</f>
        <v>39762.800000000003</v>
      </c>
      <c r="F33" s="101">
        <f t="shared" si="13"/>
        <v>163208.81</v>
      </c>
      <c r="G33" s="101">
        <f t="shared" si="13"/>
        <v>0</v>
      </c>
      <c r="H33" s="101">
        <f t="shared" si="13"/>
        <v>0</v>
      </c>
      <c r="I33" s="101">
        <f t="shared" si="13"/>
        <v>0</v>
      </c>
      <c r="J33" s="101">
        <f t="shared" si="13"/>
        <v>0</v>
      </c>
      <c r="K33" s="101">
        <f t="shared" si="13"/>
        <v>0</v>
      </c>
      <c r="L33" s="101">
        <f>L68</f>
        <v>0</v>
      </c>
      <c r="M33" s="101">
        <f t="shared" si="13"/>
        <v>0</v>
      </c>
      <c r="N33" s="101">
        <f t="shared" si="13"/>
        <v>0</v>
      </c>
    </row>
    <row r="34" spans="1:16" x14ac:dyDescent="0.2">
      <c r="A34" s="381"/>
      <c r="B34" s="62" t="s">
        <v>87</v>
      </c>
      <c r="C34" s="74">
        <f>C33</f>
        <v>39237.839999999997</v>
      </c>
      <c r="D34" s="74">
        <f>+C34+D30</f>
        <v>109504.34</v>
      </c>
      <c r="E34" s="74">
        <f t="shared" ref="E34:N34" si="14">+D34+E30</f>
        <v>149267.14000000001</v>
      </c>
      <c r="F34" s="74">
        <f t="shared" si="14"/>
        <v>312475.95</v>
      </c>
      <c r="G34" s="74">
        <f t="shared" si="14"/>
        <v>312475.95</v>
      </c>
      <c r="H34" s="74">
        <f t="shared" si="14"/>
        <v>312475.95</v>
      </c>
      <c r="I34" s="74">
        <f t="shared" si="14"/>
        <v>312475.95</v>
      </c>
      <c r="J34" s="74">
        <f t="shared" si="14"/>
        <v>312475.95</v>
      </c>
      <c r="K34" s="74">
        <f t="shared" si="14"/>
        <v>312475.95</v>
      </c>
      <c r="L34" s="74">
        <f t="shared" si="14"/>
        <v>312475.95</v>
      </c>
      <c r="M34" s="74">
        <f t="shared" si="14"/>
        <v>312475.95</v>
      </c>
      <c r="N34" s="74">
        <f t="shared" si="14"/>
        <v>312475.95</v>
      </c>
    </row>
    <row r="35" spans="1:16" s="106" customFormat="1" x14ac:dyDescent="0.2">
      <c r="A35" s="111"/>
      <c r="B35" s="107" t="s">
        <v>128</v>
      </c>
      <c r="C35" s="108">
        <f>C26+C18+C10+C34</f>
        <v>1578809.22</v>
      </c>
      <c r="D35" s="108">
        <f>D26+D18+D10+D34</f>
        <v>3060118.04</v>
      </c>
      <c r="E35" s="108">
        <f t="shared" ref="E35:N35" si="15">E26+E18+E10+E34</f>
        <v>4754280.13</v>
      </c>
      <c r="F35" s="108">
        <f>F26+F18+F10+F34</f>
        <v>6814712.7400000012</v>
      </c>
      <c r="G35" s="108">
        <f>G26+G18+G10+G34</f>
        <v>6814712.7400000012</v>
      </c>
      <c r="H35" s="126">
        <f>H26+H18+H10+H34</f>
        <v>6814712.7400000012</v>
      </c>
      <c r="I35" s="108">
        <f>I26+I18+I10+I34</f>
        <v>6814712.7400000012</v>
      </c>
      <c r="J35" s="108">
        <f t="shared" si="15"/>
        <v>6814712.7400000012</v>
      </c>
      <c r="K35" s="108">
        <f t="shared" si="15"/>
        <v>6814712.7400000012</v>
      </c>
      <c r="L35" s="108">
        <f t="shared" si="15"/>
        <v>6814712.7400000012</v>
      </c>
      <c r="M35" s="108">
        <f t="shared" si="15"/>
        <v>6814712.7400000012</v>
      </c>
      <c r="N35" s="108">
        <f t="shared" si="15"/>
        <v>6814712.7400000012</v>
      </c>
    </row>
    <row r="36" spans="1:16" s="58" customFormat="1" ht="3.75" customHeight="1" x14ac:dyDescent="0.2">
      <c r="A36" s="66"/>
      <c r="B36" s="67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</row>
    <row r="37" spans="1:16" ht="12.75" customHeight="1" x14ac:dyDescent="0.2">
      <c r="A37" s="374" t="s">
        <v>101</v>
      </c>
      <c r="B37" s="374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6" x14ac:dyDescent="0.2">
      <c r="A38" s="387" t="s">
        <v>260</v>
      </c>
      <c r="B38" s="61" t="s">
        <v>93</v>
      </c>
      <c r="C38" s="147">
        <v>0</v>
      </c>
      <c r="D38" s="147">
        <v>0</v>
      </c>
      <c r="E38" s="147">
        <v>0</v>
      </c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</row>
    <row r="39" spans="1:16" x14ac:dyDescent="0.2">
      <c r="A39" s="387"/>
      <c r="B39" s="61" t="s">
        <v>94</v>
      </c>
      <c r="C39" s="73">
        <v>0</v>
      </c>
      <c r="D39" s="73"/>
      <c r="E39" s="73"/>
      <c r="F39" s="73"/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</row>
    <row r="40" spans="1:16" x14ac:dyDescent="0.2">
      <c r="A40" s="387"/>
      <c r="B40" s="93" t="s">
        <v>102</v>
      </c>
      <c r="C40" s="94">
        <f>C69</f>
        <v>0</v>
      </c>
      <c r="D40" s="94">
        <f>D39</f>
        <v>0</v>
      </c>
      <c r="E40" s="94">
        <f t="shared" ref="E40:N40" si="16">E39</f>
        <v>0</v>
      </c>
      <c r="F40" s="94">
        <f t="shared" si="16"/>
        <v>0</v>
      </c>
      <c r="G40" s="94">
        <f t="shared" si="16"/>
        <v>0</v>
      </c>
      <c r="H40" s="94">
        <f t="shared" si="16"/>
        <v>0</v>
      </c>
      <c r="I40" s="94">
        <f t="shared" si="16"/>
        <v>0</v>
      </c>
      <c r="J40" s="94">
        <f t="shared" si="16"/>
        <v>0</v>
      </c>
      <c r="K40" s="94">
        <f t="shared" si="16"/>
        <v>0</v>
      </c>
      <c r="L40" s="94">
        <f t="shared" si="16"/>
        <v>0</v>
      </c>
      <c r="M40" s="94">
        <f t="shared" si="16"/>
        <v>0</v>
      </c>
      <c r="N40" s="94">
        <f t="shared" si="16"/>
        <v>0</v>
      </c>
    </row>
    <row r="41" spans="1:16" x14ac:dyDescent="0.2">
      <c r="A41" s="387"/>
      <c r="B41" s="98" t="s">
        <v>89</v>
      </c>
      <c r="C41" s="99">
        <f>+C40-C39</f>
        <v>0</v>
      </c>
      <c r="D41" s="99">
        <v>0</v>
      </c>
      <c r="E41" s="99">
        <f t="shared" ref="E41:N41" si="17">+E40-E39</f>
        <v>0</v>
      </c>
      <c r="F41" s="99">
        <f t="shared" si="17"/>
        <v>0</v>
      </c>
      <c r="G41" s="99">
        <f t="shared" si="17"/>
        <v>0</v>
      </c>
      <c r="H41" s="99">
        <f t="shared" si="17"/>
        <v>0</v>
      </c>
      <c r="I41" s="99">
        <f t="shared" si="17"/>
        <v>0</v>
      </c>
      <c r="J41" s="99">
        <f t="shared" si="17"/>
        <v>0</v>
      </c>
      <c r="K41" s="99">
        <f t="shared" si="17"/>
        <v>0</v>
      </c>
      <c r="L41" s="99">
        <f t="shared" si="17"/>
        <v>0</v>
      </c>
      <c r="M41" s="99">
        <f t="shared" si="17"/>
        <v>0</v>
      </c>
      <c r="N41" s="99">
        <f t="shared" si="17"/>
        <v>0</v>
      </c>
    </row>
    <row r="42" spans="1:16" x14ac:dyDescent="0.2">
      <c r="A42" s="387"/>
      <c r="B42" s="61" t="s">
        <v>95</v>
      </c>
      <c r="C42" s="73">
        <v>0</v>
      </c>
      <c r="D42" s="73"/>
      <c r="E42" s="73"/>
      <c r="F42" s="73"/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</row>
    <row r="43" spans="1:16" x14ac:dyDescent="0.2">
      <c r="A43" s="387"/>
      <c r="B43" s="93" t="s">
        <v>103</v>
      </c>
      <c r="C43" s="94">
        <f>C42</f>
        <v>0</v>
      </c>
      <c r="D43" s="94">
        <f>C43+D40</f>
        <v>0</v>
      </c>
      <c r="E43" s="94">
        <f t="shared" ref="E43:N43" si="18">D43+E40</f>
        <v>0</v>
      </c>
      <c r="F43" s="94">
        <f t="shared" si="18"/>
        <v>0</v>
      </c>
      <c r="G43" s="94">
        <f t="shared" si="18"/>
        <v>0</v>
      </c>
      <c r="H43" s="94">
        <f t="shared" si="18"/>
        <v>0</v>
      </c>
      <c r="I43" s="94">
        <f t="shared" si="18"/>
        <v>0</v>
      </c>
      <c r="J43" s="94">
        <f t="shared" si="18"/>
        <v>0</v>
      </c>
      <c r="K43" s="94">
        <f t="shared" si="18"/>
        <v>0</v>
      </c>
      <c r="L43" s="94">
        <f t="shared" si="18"/>
        <v>0</v>
      </c>
      <c r="M43" s="94">
        <f t="shared" si="18"/>
        <v>0</v>
      </c>
      <c r="N43" s="94">
        <f t="shared" si="18"/>
        <v>0</v>
      </c>
    </row>
    <row r="44" spans="1:16" x14ac:dyDescent="0.2">
      <c r="A44" s="387"/>
      <c r="B44" s="107" t="s">
        <v>87</v>
      </c>
      <c r="C44" s="108">
        <f>C43</f>
        <v>0</v>
      </c>
      <c r="D44" s="108">
        <f t="shared" ref="D44:N44" si="19">+C44+D40</f>
        <v>0</v>
      </c>
      <c r="E44" s="108">
        <f t="shared" si="19"/>
        <v>0</v>
      </c>
      <c r="F44" s="108">
        <f t="shared" si="19"/>
        <v>0</v>
      </c>
      <c r="G44" s="108">
        <f t="shared" si="19"/>
        <v>0</v>
      </c>
      <c r="H44" s="108">
        <f t="shared" si="19"/>
        <v>0</v>
      </c>
      <c r="I44" s="108">
        <f t="shared" si="19"/>
        <v>0</v>
      </c>
      <c r="J44" s="108">
        <f t="shared" si="19"/>
        <v>0</v>
      </c>
      <c r="K44" s="108">
        <f t="shared" si="19"/>
        <v>0</v>
      </c>
      <c r="L44" s="108">
        <f t="shared" si="19"/>
        <v>0</v>
      </c>
      <c r="M44" s="108">
        <f t="shared" si="19"/>
        <v>0</v>
      </c>
      <c r="N44" s="108">
        <f t="shared" si="19"/>
        <v>0</v>
      </c>
    </row>
    <row r="45" spans="1:16" s="58" customFormat="1" ht="3.75" customHeight="1" x14ac:dyDescent="0.2">
      <c r="A45" s="66"/>
      <c r="B45" s="67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</row>
    <row r="46" spans="1:16" ht="12.75" customHeight="1" x14ac:dyDescent="0.2">
      <c r="A46" s="374" t="s">
        <v>101</v>
      </c>
      <c r="B46" s="374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</row>
    <row r="47" spans="1:16" x14ac:dyDescent="0.2">
      <c r="A47" s="382" t="s">
        <v>262</v>
      </c>
      <c r="B47" s="61" t="s">
        <v>93</v>
      </c>
      <c r="C47" s="147">
        <v>0</v>
      </c>
      <c r="D47" s="147">
        <v>0</v>
      </c>
      <c r="E47" s="147">
        <v>0</v>
      </c>
      <c r="F47" s="147">
        <v>0</v>
      </c>
      <c r="G47" s="147">
        <v>0</v>
      </c>
      <c r="H47" s="147">
        <v>0</v>
      </c>
      <c r="I47" s="147">
        <v>0</v>
      </c>
      <c r="J47" s="147">
        <v>0</v>
      </c>
      <c r="K47" s="147">
        <v>0</v>
      </c>
      <c r="L47" s="147">
        <v>0</v>
      </c>
      <c r="M47" s="147">
        <v>0</v>
      </c>
      <c r="N47" s="147">
        <v>0</v>
      </c>
    </row>
    <row r="48" spans="1:16" x14ac:dyDescent="0.2">
      <c r="A48" s="382"/>
      <c r="B48" s="61" t="s">
        <v>94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>
        <v>0</v>
      </c>
      <c r="N48" s="73">
        <v>0</v>
      </c>
      <c r="O48" s="280"/>
      <c r="P48" s="283"/>
    </row>
    <row r="49" spans="1:15" x14ac:dyDescent="0.2">
      <c r="A49" s="382"/>
      <c r="B49" s="93" t="s">
        <v>102</v>
      </c>
      <c r="C49" s="94">
        <f>C80</f>
        <v>0</v>
      </c>
      <c r="D49" s="94">
        <f>D48</f>
        <v>0</v>
      </c>
      <c r="E49" s="94">
        <f t="shared" ref="E49:N49" si="20">E48</f>
        <v>0</v>
      </c>
      <c r="F49" s="94">
        <f t="shared" si="20"/>
        <v>0</v>
      </c>
      <c r="G49" s="94">
        <f t="shared" si="20"/>
        <v>0</v>
      </c>
      <c r="H49" s="94">
        <f t="shared" si="20"/>
        <v>0</v>
      </c>
      <c r="I49" s="94">
        <f t="shared" si="20"/>
        <v>0</v>
      </c>
      <c r="J49" s="94">
        <f t="shared" si="20"/>
        <v>0</v>
      </c>
      <c r="K49" s="94">
        <f t="shared" si="20"/>
        <v>0</v>
      </c>
      <c r="L49" s="94">
        <f t="shared" si="20"/>
        <v>0</v>
      </c>
      <c r="M49" s="94">
        <f t="shared" si="20"/>
        <v>0</v>
      </c>
      <c r="N49" s="94">
        <f t="shared" si="20"/>
        <v>0</v>
      </c>
    </row>
    <row r="50" spans="1:15" x14ac:dyDescent="0.2">
      <c r="A50" s="382"/>
      <c r="B50" s="98" t="s">
        <v>89</v>
      </c>
      <c r="C50" s="99">
        <f>+C49-C48</f>
        <v>0</v>
      </c>
      <c r="D50" s="99">
        <v>0</v>
      </c>
      <c r="E50" s="99">
        <f t="shared" ref="E50:N50" si="21">+E49-E48</f>
        <v>0</v>
      </c>
      <c r="F50" s="99">
        <f t="shared" si="21"/>
        <v>0</v>
      </c>
      <c r="G50" s="99">
        <f t="shared" si="21"/>
        <v>0</v>
      </c>
      <c r="H50" s="99">
        <f t="shared" si="21"/>
        <v>0</v>
      </c>
      <c r="I50" s="99">
        <f t="shared" si="21"/>
        <v>0</v>
      </c>
      <c r="J50" s="99">
        <f t="shared" si="21"/>
        <v>0</v>
      </c>
      <c r="K50" s="99">
        <f t="shared" si="21"/>
        <v>0</v>
      </c>
      <c r="L50" s="99">
        <f t="shared" si="21"/>
        <v>0</v>
      </c>
      <c r="M50" s="99">
        <f t="shared" si="21"/>
        <v>0</v>
      </c>
      <c r="N50" s="99">
        <f t="shared" si="21"/>
        <v>0</v>
      </c>
    </row>
    <row r="51" spans="1:15" x14ac:dyDescent="0.2">
      <c r="A51" s="382"/>
      <c r="B51" s="61" t="s">
        <v>95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>
        <v>0</v>
      </c>
      <c r="N51" s="73">
        <v>0</v>
      </c>
    </row>
    <row r="52" spans="1:15" x14ac:dyDescent="0.2">
      <c r="A52" s="382"/>
      <c r="B52" s="93" t="s">
        <v>103</v>
      </c>
      <c r="C52" s="94">
        <f>C51</f>
        <v>0</v>
      </c>
      <c r="D52" s="94">
        <f t="shared" ref="D52:N52" si="22">C52+D49</f>
        <v>0</v>
      </c>
      <c r="E52" s="94">
        <f t="shared" si="22"/>
        <v>0</v>
      </c>
      <c r="F52" s="94">
        <f t="shared" si="22"/>
        <v>0</v>
      </c>
      <c r="G52" s="94">
        <f t="shared" si="22"/>
        <v>0</v>
      </c>
      <c r="H52" s="94">
        <f t="shared" si="22"/>
        <v>0</v>
      </c>
      <c r="I52" s="94">
        <f t="shared" si="22"/>
        <v>0</v>
      </c>
      <c r="J52" s="94">
        <f t="shared" si="22"/>
        <v>0</v>
      </c>
      <c r="K52" s="94">
        <f t="shared" si="22"/>
        <v>0</v>
      </c>
      <c r="L52" s="94">
        <f t="shared" si="22"/>
        <v>0</v>
      </c>
      <c r="M52" s="94">
        <f t="shared" si="22"/>
        <v>0</v>
      </c>
      <c r="N52" s="94">
        <f t="shared" si="22"/>
        <v>0</v>
      </c>
    </row>
    <row r="53" spans="1:15" x14ac:dyDescent="0.2">
      <c r="A53" s="382"/>
      <c r="B53" s="107" t="s">
        <v>87</v>
      </c>
      <c r="C53" s="108">
        <f>C52</f>
        <v>0</v>
      </c>
      <c r="D53" s="108">
        <f t="shared" ref="D53:N53" si="23">+C53+D49</f>
        <v>0</v>
      </c>
      <c r="E53" s="108">
        <f t="shared" si="23"/>
        <v>0</v>
      </c>
      <c r="F53" s="108">
        <f t="shared" si="23"/>
        <v>0</v>
      </c>
      <c r="G53" s="108">
        <f t="shared" si="23"/>
        <v>0</v>
      </c>
      <c r="H53" s="108">
        <f t="shared" si="23"/>
        <v>0</v>
      </c>
      <c r="I53" s="108">
        <f t="shared" si="23"/>
        <v>0</v>
      </c>
      <c r="J53" s="108">
        <f t="shared" si="23"/>
        <v>0</v>
      </c>
      <c r="K53" s="108">
        <f t="shared" si="23"/>
        <v>0</v>
      </c>
      <c r="L53" s="108">
        <f t="shared" si="23"/>
        <v>0</v>
      </c>
      <c r="M53" s="108">
        <f t="shared" si="23"/>
        <v>0</v>
      </c>
      <c r="N53" s="108">
        <f t="shared" si="23"/>
        <v>0</v>
      </c>
    </row>
    <row r="54" spans="1:15" x14ac:dyDescent="0.2">
      <c r="A54" s="382" t="s">
        <v>264</v>
      </c>
      <c r="B54" s="61" t="s">
        <v>93</v>
      </c>
      <c r="C54" s="147">
        <v>0</v>
      </c>
      <c r="D54" s="147">
        <v>0</v>
      </c>
      <c r="E54" s="147">
        <v>0</v>
      </c>
      <c r="F54" s="147">
        <v>0</v>
      </c>
      <c r="G54" s="147">
        <v>0</v>
      </c>
      <c r="H54" s="147">
        <v>0</v>
      </c>
      <c r="I54" s="147">
        <v>0</v>
      </c>
      <c r="J54" s="147">
        <v>0</v>
      </c>
      <c r="K54" s="147">
        <v>0</v>
      </c>
      <c r="L54" s="147">
        <v>0</v>
      </c>
      <c r="M54" s="147">
        <v>0</v>
      </c>
      <c r="N54" s="147">
        <v>0</v>
      </c>
    </row>
    <row r="55" spans="1:15" x14ac:dyDescent="0.2">
      <c r="A55" s="382"/>
      <c r="B55" s="61" t="s">
        <v>94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>
        <v>0</v>
      </c>
      <c r="N55" s="73">
        <v>0</v>
      </c>
    </row>
    <row r="56" spans="1:15" x14ac:dyDescent="0.2">
      <c r="A56" s="382"/>
      <c r="B56" s="93" t="s">
        <v>102</v>
      </c>
      <c r="C56" s="94">
        <v>0</v>
      </c>
      <c r="D56" s="94">
        <f>D55</f>
        <v>0</v>
      </c>
      <c r="E56" s="94">
        <f t="shared" ref="E56:N56" si="24">E55</f>
        <v>0</v>
      </c>
      <c r="F56" s="94">
        <f t="shared" si="24"/>
        <v>0</v>
      </c>
      <c r="G56" s="94">
        <f t="shared" si="24"/>
        <v>0</v>
      </c>
      <c r="H56" s="94">
        <f t="shared" si="24"/>
        <v>0</v>
      </c>
      <c r="I56" s="94">
        <f t="shared" si="24"/>
        <v>0</v>
      </c>
      <c r="J56" s="94">
        <f t="shared" si="24"/>
        <v>0</v>
      </c>
      <c r="K56" s="94">
        <f t="shared" si="24"/>
        <v>0</v>
      </c>
      <c r="L56" s="94">
        <f t="shared" si="24"/>
        <v>0</v>
      </c>
      <c r="M56" s="94">
        <f t="shared" si="24"/>
        <v>0</v>
      </c>
      <c r="N56" s="94">
        <f t="shared" si="24"/>
        <v>0</v>
      </c>
    </row>
    <row r="57" spans="1:15" x14ac:dyDescent="0.2">
      <c r="A57" s="382"/>
      <c r="B57" s="98" t="s">
        <v>89</v>
      </c>
      <c r="C57" s="99">
        <f>+C56-C55</f>
        <v>0</v>
      </c>
      <c r="D57" s="99">
        <v>0</v>
      </c>
      <c r="E57" s="99">
        <f t="shared" ref="E57:N57" si="25">+E56-E55</f>
        <v>0</v>
      </c>
      <c r="F57" s="99">
        <f t="shared" si="25"/>
        <v>0</v>
      </c>
      <c r="G57" s="99">
        <f t="shared" si="25"/>
        <v>0</v>
      </c>
      <c r="H57" s="99">
        <f t="shared" si="25"/>
        <v>0</v>
      </c>
      <c r="I57" s="99">
        <f t="shared" si="25"/>
        <v>0</v>
      </c>
      <c r="J57" s="99">
        <f t="shared" si="25"/>
        <v>0</v>
      </c>
      <c r="K57" s="99">
        <f t="shared" si="25"/>
        <v>0</v>
      </c>
      <c r="L57" s="99">
        <f t="shared" si="25"/>
        <v>0</v>
      </c>
      <c r="M57" s="99">
        <f t="shared" si="25"/>
        <v>0</v>
      </c>
      <c r="N57" s="99">
        <f t="shared" si="25"/>
        <v>0</v>
      </c>
    </row>
    <row r="58" spans="1:15" x14ac:dyDescent="0.2">
      <c r="A58" s="382"/>
      <c r="B58" s="61" t="s">
        <v>95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>
        <v>0</v>
      </c>
      <c r="N58" s="73">
        <v>0</v>
      </c>
    </row>
    <row r="59" spans="1:15" x14ac:dyDescent="0.2">
      <c r="A59" s="382"/>
      <c r="B59" s="93" t="s">
        <v>103</v>
      </c>
      <c r="C59" s="94">
        <f>C58</f>
        <v>0</v>
      </c>
      <c r="D59" s="94">
        <f t="shared" ref="D59:N59" si="26">C59+D56</f>
        <v>0</v>
      </c>
      <c r="E59" s="94">
        <f t="shared" si="26"/>
        <v>0</v>
      </c>
      <c r="F59" s="94">
        <f t="shared" si="26"/>
        <v>0</v>
      </c>
      <c r="G59" s="94">
        <f t="shared" si="26"/>
        <v>0</v>
      </c>
      <c r="H59" s="94">
        <f t="shared" si="26"/>
        <v>0</v>
      </c>
      <c r="I59" s="94">
        <f t="shared" si="26"/>
        <v>0</v>
      </c>
      <c r="J59" s="94">
        <f t="shared" si="26"/>
        <v>0</v>
      </c>
      <c r="K59" s="94">
        <f t="shared" si="26"/>
        <v>0</v>
      </c>
      <c r="L59" s="94">
        <f t="shared" si="26"/>
        <v>0</v>
      </c>
      <c r="M59" s="94">
        <f t="shared" si="26"/>
        <v>0</v>
      </c>
      <c r="N59" s="94">
        <f t="shared" si="26"/>
        <v>0</v>
      </c>
    </row>
    <row r="60" spans="1:15" x14ac:dyDescent="0.2">
      <c r="A60" s="382"/>
      <c r="B60" s="107" t="s">
        <v>87</v>
      </c>
      <c r="C60" s="108">
        <f>C59</f>
        <v>0</v>
      </c>
      <c r="D60" s="108">
        <f t="shared" ref="D60:N60" si="27">+C60+D56</f>
        <v>0</v>
      </c>
      <c r="E60" s="108">
        <f t="shared" si="27"/>
        <v>0</v>
      </c>
      <c r="F60" s="108">
        <f t="shared" si="27"/>
        <v>0</v>
      </c>
      <c r="G60" s="108">
        <f t="shared" si="27"/>
        <v>0</v>
      </c>
      <c r="H60" s="108">
        <f t="shared" si="27"/>
        <v>0</v>
      </c>
      <c r="I60" s="108">
        <f t="shared" si="27"/>
        <v>0</v>
      </c>
      <c r="J60" s="108">
        <f t="shared" si="27"/>
        <v>0</v>
      </c>
      <c r="K60" s="108">
        <f t="shared" si="27"/>
        <v>0</v>
      </c>
      <c r="L60" s="108">
        <f t="shared" si="27"/>
        <v>0</v>
      </c>
      <c r="M60" s="108">
        <f t="shared" si="27"/>
        <v>0</v>
      </c>
      <c r="N60" s="108">
        <f t="shared" si="27"/>
        <v>0</v>
      </c>
    </row>
    <row r="61" spans="1:15" x14ac:dyDescent="0.2"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</row>
    <row r="62" spans="1:15" x14ac:dyDescent="0.2">
      <c r="A62" s="378" t="s">
        <v>106</v>
      </c>
      <c r="B62" s="378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</row>
    <row r="63" spans="1:15" x14ac:dyDescent="0.2">
      <c r="A63" s="384" t="s">
        <v>200</v>
      </c>
      <c r="B63" s="96" t="s">
        <v>205</v>
      </c>
      <c r="C63" s="94">
        <f t="shared" ref="C63:N63" si="28">C5</f>
        <v>1398458.01</v>
      </c>
      <c r="D63" s="94">
        <f t="shared" si="28"/>
        <v>1248235.3400000001</v>
      </c>
      <c r="E63" s="94">
        <f t="shared" si="28"/>
        <v>1158542.3899999999</v>
      </c>
      <c r="F63" s="94">
        <f t="shared" si="28"/>
        <v>1218004.53</v>
      </c>
      <c r="G63" s="94">
        <f t="shared" si="28"/>
        <v>0</v>
      </c>
      <c r="H63" s="94">
        <f t="shared" si="28"/>
        <v>0</v>
      </c>
      <c r="I63" s="94">
        <f t="shared" si="28"/>
        <v>0</v>
      </c>
      <c r="J63" s="94">
        <f t="shared" si="28"/>
        <v>0</v>
      </c>
      <c r="K63" s="94">
        <f t="shared" si="28"/>
        <v>0</v>
      </c>
      <c r="L63" s="94">
        <f t="shared" si="28"/>
        <v>0</v>
      </c>
      <c r="M63" s="94">
        <f t="shared" si="28"/>
        <v>0</v>
      </c>
      <c r="N63" s="94">
        <f t="shared" si="28"/>
        <v>0</v>
      </c>
    </row>
    <row r="64" spans="1:15" x14ac:dyDescent="0.2">
      <c r="A64" s="385"/>
      <c r="B64" s="69" t="s">
        <v>215</v>
      </c>
      <c r="C64" s="73">
        <v>100070.48</v>
      </c>
      <c r="D64" s="73">
        <v>85110.17</v>
      </c>
      <c r="E64" s="73">
        <v>75164.160000000003</v>
      </c>
      <c r="F64" s="73">
        <v>82720.19</v>
      </c>
      <c r="G64" s="73">
        <v>0</v>
      </c>
      <c r="H64" s="73"/>
      <c r="I64" s="73"/>
      <c r="J64" s="73"/>
      <c r="K64" s="73"/>
      <c r="L64" s="73"/>
      <c r="M64" s="73"/>
      <c r="N64" s="73"/>
      <c r="O64" s="76">
        <f>SUM(C64:N64)</f>
        <v>343065</v>
      </c>
    </row>
    <row r="65" spans="1:14" ht="12.75" customHeight="1" x14ac:dyDescent="0.2">
      <c r="A65" s="384" t="s">
        <v>201</v>
      </c>
      <c r="B65" s="97" t="s">
        <v>206</v>
      </c>
      <c r="C65" s="94">
        <f t="shared" ref="C65:N65" si="29">C13</f>
        <v>141113.37</v>
      </c>
      <c r="D65" s="94">
        <f t="shared" si="29"/>
        <v>162806.98000000001</v>
      </c>
      <c r="E65" s="94">
        <f t="shared" si="29"/>
        <v>495856.9</v>
      </c>
      <c r="F65" s="94">
        <f t="shared" si="29"/>
        <v>679219.27</v>
      </c>
      <c r="G65" s="94">
        <f t="shared" si="29"/>
        <v>0</v>
      </c>
      <c r="H65" s="94">
        <f t="shared" si="29"/>
        <v>0</v>
      </c>
      <c r="I65" s="94">
        <f t="shared" si="29"/>
        <v>0</v>
      </c>
      <c r="J65" s="94">
        <f t="shared" si="29"/>
        <v>0</v>
      </c>
      <c r="K65" s="94">
        <f t="shared" si="29"/>
        <v>0</v>
      </c>
      <c r="L65" s="94">
        <f t="shared" si="29"/>
        <v>0</v>
      </c>
      <c r="M65" s="94">
        <f t="shared" si="29"/>
        <v>0</v>
      </c>
      <c r="N65" s="94">
        <f t="shared" si="29"/>
        <v>0</v>
      </c>
    </row>
    <row r="66" spans="1:14" ht="12.75" customHeight="1" x14ac:dyDescent="0.2">
      <c r="A66" s="385"/>
      <c r="B66" s="69" t="s">
        <v>107</v>
      </c>
      <c r="C66" s="73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/>
      <c r="K66" s="73"/>
      <c r="L66" s="73"/>
      <c r="M66" s="73"/>
      <c r="N66" s="73"/>
    </row>
    <row r="67" spans="1:14" x14ac:dyDescent="0.2">
      <c r="A67" s="59" t="s">
        <v>203</v>
      </c>
      <c r="B67" s="92" t="s">
        <v>207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</row>
    <row r="68" spans="1:14" x14ac:dyDescent="0.2">
      <c r="A68" s="91" t="s">
        <v>202</v>
      </c>
      <c r="B68" s="92" t="s">
        <v>208</v>
      </c>
      <c r="C68" s="73">
        <v>39237.839999999997</v>
      </c>
      <c r="D68" s="73">
        <v>70266.5</v>
      </c>
      <c r="E68" s="73">
        <v>39762.800000000003</v>
      </c>
      <c r="F68" s="73">
        <v>163208.81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</row>
    <row r="69" spans="1:14" x14ac:dyDescent="0.2">
      <c r="A69" s="281" t="s">
        <v>263</v>
      </c>
      <c r="B69" s="166" t="s">
        <v>268</v>
      </c>
      <c r="C69" s="73">
        <v>0</v>
      </c>
      <c r="D69" s="73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</row>
    <row r="70" spans="1:14" x14ac:dyDescent="0.2">
      <c r="A70" s="288" t="s">
        <v>261</v>
      </c>
      <c r="B70" s="282" t="s">
        <v>266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>
        <v>0</v>
      </c>
    </row>
    <row r="71" spans="1:14" ht="15" customHeight="1" x14ac:dyDescent="0.2">
      <c r="A71" s="288" t="s">
        <v>267</v>
      </c>
      <c r="B71" s="282" t="s">
        <v>296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>
        <v>0</v>
      </c>
    </row>
    <row r="72" spans="1:14" s="106" customFormat="1" x14ac:dyDescent="0.2">
      <c r="B72" s="107" t="s">
        <v>87</v>
      </c>
      <c r="C72" s="108">
        <f>C63+C65+C67+C68+C69+C70</f>
        <v>1578809.22</v>
      </c>
      <c r="D72" s="108">
        <f t="shared" ref="D72:M72" si="30">D63+D65+D67+D68+D69+D70</f>
        <v>1481308.82</v>
      </c>
      <c r="E72" s="108">
        <f t="shared" si="30"/>
        <v>1694162.09</v>
      </c>
      <c r="F72" s="108">
        <f t="shared" si="30"/>
        <v>2060432.61</v>
      </c>
      <c r="G72" s="108">
        <f t="shared" si="30"/>
        <v>0</v>
      </c>
      <c r="H72" s="126">
        <f t="shared" si="30"/>
        <v>0</v>
      </c>
      <c r="I72" s="108">
        <f t="shared" si="30"/>
        <v>0</v>
      </c>
      <c r="J72" s="108">
        <f t="shared" si="30"/>
        <v>0</v>
      </c>
      <c r="K72" s="108">
        <f t="shared" si="30"/>
        <v>0</v>
      </c>
      <c r="L72" s="108">
        <f t="shared" si="30"/>
        <v>0</v>
      </c>
      <c r="M72" s="108">
        <f t="shared" si="30"/>
        <v>0</v>
      </c>
      <c r="N72" s="108">
        <f>N63+N65+N67+N68+N69+N70+N71</f>
        <v>0</v>
      </c>
    </row>
    <row r="73" spans="1:14" x14ac:dyDescent="0.2"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</row>
    <row r="74" spans="1:14" x14ac:dyDescent="0.2">
      <c r="A74" s="378" t="s">
        <v>105</v>
      </c>
      <c r="B74" s="378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</row>
    <row r="75" spans="1:14" x14ac:dyDescent="0.2">
      <c r="A75" s="68" t="s">
        <v>96</v>
      </c>
      <c r="B75" s="63" t="s">
        <v>100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</row>
    <row r="76" spans="1:14" x14ac:dyDescent="0.2">
      <c r="A76" s="60" t="s">
        <v>97</v>
      </c>
      <c r="B76" s="78">
        <v>1470</v>
      </c>
      <c r="C76" s="78">
        <v>1470</v>
      </c>
      <c r="D76" s="78">
        <v>1470</v>
      </c>
      <c r="E76" s="78">
        <v>1470</v>
      </c>
      <c r="F76" s="202">
        <v>1470</v>
      </c>
      <c r="G76" s="78"/>
      <c r="H76" s="183"/>
      <c r="I76" s="78"/>
      <c r="J76" s="78"/>
      <c r="K76" s="78"/>
      <c r="L76" s="78"/>
      <c r="M76" s="78"/>
      <c r="N76" s="78"/>
    </row>
    <row r="77" spans="1:14" x14ac:dyDescent="0.2">
      <c r="A77" s="60" t="s">
        <v>98</v>
      </c>
      <c r="B77" s="78">
        <v>231025516.06</v>
      </c>
      <c r="C77" s="78">
        <v>240538721.11000001</v>
      </c>
      <c r="D77" s="78">
        <v>237983182.55000001</v>
      </c>
      <c r="E77" s="78">
        <v>225709845.19999999</v>
      </c>
      <c r="F77" s="202">
        <v>222296664.22</v>
      </c>
      <c r="G77" s="78"/>
      <c r="H77" s="183"/>
      <c r="I77" s="78"/>
      <c r="J77" s="78"/>
      <c r="K77" s="78"/>
      <c r="L77" s="78"/>
      <c r="M77" s="78"/>
      <c r="N77" s="78"/>
    </row>
    <row r="78" spans="1:14" x14ac:dyDescent="0.2">
      <c r="A78" s="60" t="s">
        <v>99</v>
      </c>
      <c r="B78" s="78">
        <v>32</v>
      </c>
      <c r="C78" s="78">
        <v>32</v>
      </c>
      <c r="D78" s="78">
        <v>32</v>
      </c>
      <c r="E78" s="78">
        <v>32</v>
      </c>
      <c r="F78" s="202">
        <v>32</v>
      </c>
      <c r="G78" s="78"/>
      <c r="H78" s="183"/>
      <c r="I78" s="78"/>
      <c r="J78" s="78"/>
      <c r="K78" s="78"/>
      <c r="L78" s="78"/>
      <c r="M78" s="78"/>
      <c r="N78" s="78"/>
    </row>
    <row r="79" spans="1:14" x14ac:dyDescent="0.2">
      <c r="A79" s="60" t="s">
        <v>151</v>
      </c>
      <c r="B79" s="78"/>
      <c r="C79" s="78">
        <v>0</v>
      </c>
      <c r="D79" s="78"/>
      <c r="E79" s="78"/>
      <c r="F79" s="78"/>
      <c r="G79" s="78"/>
      <c r="H79" s="183"/>
      <c r="I79" s="78"/>
      <c r="J79" s="78"/>
      <c r="K79" s="78"/>
      <c r="L79" s="78"/>
      <c r="M79" s="78"/>
      <c r="N79" s="78"/>
    </row>
    <row r="80" spans="1:14" x14ac:dyDescent="0.2">
      <c r="A80" s="60" t="s">
        <v>138</v>
      </c>
      <c r="B80" s="78"/>
      <c r="C80" s="78">
        <v>0</v>
      </c>
      <c r="D80" s="78"/>
      <c r="E80" s="78"/>
      <c r="F80" s="78"/>
      <c r="G80" s="78"/>
      <c r="H80" s="183"/>
      <c r="I80" s="112"/>
      <c r="J80" s="78"/>
      <c r="K80" s="78"/>
      <c r="L80" s="78"/>
      <c r="M80" s="78"/>
      <c r="N80" s="78"/>
    </row>
    <row r="81" spans="1:14" x14ac:dyDescent="0.2">
      <c r="A81" s="138" t="s">
        <v>271</v>
      </c>
      <c r="B81" s="289">
        <v>-3782776.56</v>
      </c>
      <c r="C81" s="139">
        <v>0</v>
      </c>
      <c r="D81" s="78"/>
      <c r="E81" s="78"/>
      <c r="F81" s="341"/>
      <c r="G81" s="78"/>
      <c r="H81" s="170"/>
      <c r="I81" s="188"/>
      <c r="J81" s="188"/>
      <c r="K81" s="202"/>
      <c r="L81" s="78"/>
      <c r="M81" s="78"/>
      <c r="N81" s="289"/>
    </row>
    <row r="82" spans="1:14" x14ac:dyDescent="0.2">
      <c r="A82" s="60" t="s">
        <v>174</v>
      </c>
      <c r="B82" s="78">
        <v>2814306.72</v>
      </c>
      <c r="C82" s="78">
        <v>0</v>
      </c>
      <c r="D82" s="78">
        <v>50</v>
      </c>
      <c r="E82" s="78">
        <v>0</v>
      </c>
      <c r="F82" s="202">
        <v>0</v>
      </c>
      <c r="G82" s="78"/>
      <c r="H82" s="183"/>
      <c r="I82" s="78"/>
      <c r="J82" s="78"/>
      <c r="K82" s="78"/>
      <c r="L82" s="78"/>
      <c r="M82" s="78"/>
      <c r="N82" s="78"/>
    </row>
    <row r="83" spans="1:14" s="106" customFormat="1" x14ac:dyDescent="0.2">
      <c r="A83" s="144" t="s">
        <v>87</v>
      </c>
      <c r="B83" s="144">
        <f>SUM(B76:B82)</f>
        <v>230058548.22</v>
      </c>
      <c r="C83" s="145">
        <f>SUM(C76:C82)</f>
        <v>240540223.11000001</v>
      </c>
      <c r="D83" s="145">
        <f>SUM(D76:D82)</f>
        <v>237984734.55000001</v>
      </c>
      <c r="E83" s="145">
        <f t="shared" ref="E83:N83" si="31">SUM(E76:E82)</f>
        <v>225711347.19999999</v>
      </c>
      <c r="F83" s="145">
        <f t="shared" si="31"/>
        <v>222298166.22</v>
      </c>
      <c r="G83" s="145">
        <f t="shared" si="31"/>
        <v>0</v>
      </c>
      <c r="H83" s="145">
        <f>SUM(H76:H82)</f>
        <v>0</v>
      </c>
      <c r="I83" s="145">
        <f>SUM(I76:I82)</f>
        <v>0</v>
      </c>
      <c r="J83" s="145">
        <f t="shared" si="31"/>
        <v>0</v>
      </c>
      <c r="K83" s="145">
        <f t="shared" si="31"/>
        <v>0</v>
      </c>
      <c r="L83" s="145">
        <f>SUM(L76:L82)</f>
        <v>0</v>
      </c>
      <c r="M83" s="145">
        <f t="shared" si="31"/>
        <v>0</v>
      </c>
      <c r="N83" s="145">
        <f t="shared" si="31"/>
        <v>0</v>
      </c>
    </row>
    <row r="84" spans="1:14" x14ac:dyDescent="0.2">
      <c r="B84" s="109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</row>
    <row r="85" spans="1:14" x14ac:dyDescent="0.2">
      <c r="A85" s="378" t="s">
        <v>108</v>
      </c>
      <c r="B85" s="378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</row>
    <row r="86" spans="1:14" x14ac:dyDescent="0.2">
      <c r="A86" s="376" t="s">
        <v>114</v>
      </c>
      <c r="B86" s="3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</row>
    <row r="87" spans="1:14" x14ac:dyDescent="0.2">
      <c r="A87" s="390" t="s">
        <v>90</v>
      </c>
      <c r="B87" s="70" t="s">
        <v>109</v>
      </c>
      <c r="C87" s="73">
        <v>124545.48</v>
      </c>
      <c r="D87" s="73">
        <v>34756828.549999997</v>
      </c>
      <c r="E87" s="73">
        <v>38754028.719999999</v>
      </c>
      <c r="F87" s="189">
        <v>40919767.469999999</v>
      </c>
      <c r="G87" s="73"/>
      <c r="H87" s="73"/>
      <c r="I87" s="73"/>
      <c r="J87" s="73"/>
      <c r="K87" s="73"/>
      <c r="L87" s="73"/>
      <c r="M87" s="73"/>
      <c r="N87" s="73"/>
    </row>
    <row r="88" spans="1:14" x14ac:dyDescent="0.2">
      <c r="A88" s="391"/>
      <c r="B88" s="70" t="s">
        <v>110</v>
      </c>
      <c r="C88" s="73">
        <v>0</v>
      </c>
      <c r="D88" s="73">
        <v>2478299.7799999998</v>
      </c>
      <c r="E88" s="73">
        <v>16387155.039999999</v>
      </c>
      <c r="F88" s="189">
        <v>21972837.32</v>
      </c>
      <c r="G88" s="73"/>
      <c r="H88" s="73"/>
      <c r="I88" s="73"/>
      <c r="J88" s="73"/>
      <c r="K88" s="73"/>
      <c r="L88" s="73"/>
      <c r="M88" s="73"/>
      <c r="N88" s="73"/>
    </row>
    <row r="89" spans="1:14" x14ac:dyDescent="0.2">
      <c r="A89" s="391"/>
      <c r="B89" s="70" t="s">
        <v>112</v>
      </c>
      <c r="C89" s="73">
        <v>0</v>
      </c>
      <c r="D89" s="73">
        <v>682794.83</v>
      </c>
      <c r="E89" s="73">
        <v>1628261.37</v>
      </c>
      <c r="F89" s="189">
        <v>430777.52</v>
      </c>
      <c r="G89" s="73"/>
      <c r="H89" s="73"/>
      <c r="I89" s="73"/>
      <c r="J89" s="73"/>
      <c r="K89" s="73"/>
      <c r="L89" s="73"/>
      <c r="M89" s="73"/>
      <c r="N89" s="73"/>
    </row>
    <row r="90" spans="1:14" x14ac:dyDescent="0.2">
      <c r="A90" s="391"/>
      <c r="B90" s="70" t="s">
        <v>136</v>
      </c>
      <c r="C90" s="73">
        <v>0</v>
      </c>
      <c r="D90" s="73">
        <v>0</v>
      </c>
      <c r="E90" s="73">
        <v>0</v>
      </c>
      <c r="F90" s="189">
        <v>0</v>
      </c>
      <c r="G90" s="73"/>
      <c r="H90" s="73"/>
      <c r="I90" s="73"/>
      <c r="J90" s="73"/>
      <c r="K90" s="73"/>
      <c r="L90" s="73"/>
      <c r="M90" s="73"/>
      <c r="N90" s="73"/>
    </row>
    <row r="91" spans="1:14" x14ac:dyDescent="0.2">
      <c r="A91" s="392"/>
      <c r="B91" s="70" t="s">
        <v>113</v>
      </c>
      <c r="C91" s="73">
        <v>124545.48</v>
      </c>
      <c r="D91" s="73">
        <v>31595733.940000001</v>
      </c>
      <c r="E91" s="73">
        <v>20738612.309999999</v>
      </c>
      <c r="F91" s="189">
        <v>18516152.629999999</v>
      </c>
      <c r="G91" s="73"/>
      <c r="H91" s="73"/>
      <c r="I91" s="73"/>
      <c r="J91" s="73"/>
      <c r="K91" s="73"/>
      <c r="L91" s="73"/>
      <c r="M91" s="73"/>
      <c r="N91" s="73"/>
    </row>
    <row r="92" spans="1:14" s="58" customFormat="1" ht="3.75" customHeight="1" x14ac:dyDescent="0.2">
      <c r="A92" s="71"/>
      <c r="B92" s="72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</row>
    <row r="93" spans="1:14" x14ac:dyDescent="0.2">
      <c r="A93" s="390" t="s">
        <v>91</v>
      </c>
      <c r="B93" s="70" t="s">
        <v>109</v>
      </c>
      <c r="C93" s="73">
        <v>0</v>
      </c>
      <c r="D93" s="73">
        <v>242603.75</v>
      </c>
      <c r="E93" s="73">
        <v>248348.98</v>
      </c>
      <c r="F93" s="189">
        <v>236647.45</v>
      </c>
      <c r="G93" s="73"/>
      <c r="H93" s="73"/>
      <c r="I93" s="73"/>
      <c r="J93" s="73"/>
      <c r="K93" s="73"/>
      <c r="L93" s="73"/>
      <c r="M93" s="73"/>
      <c r="N93" s="73"/>
    </row>
    <row r="94" spans="1:14" x14ac:dyDescent="0.2">
      <c r="A94" s="391"/>
      <c r="B94" s="70" t="s">
        <v>110</v>
      </c>
      <c r="C94" s="73">
        <v>0</v>
      </c>
      <c r="D94" s="73">
        <v>0</v>
      </c>
      <c r="E94" s="73">
        <v>712.58</v>
      </c>
      <c r="F94" s="189">
        <v>1610.75</v>
      </c>
      <c r="G94" s="73"/>
      <c r="H94" s="73"/>
      <c r="I94" s="73"/>
      <c r="J94" s="73"/>
      <c r="K94" s="73"/>
      <c r="L94" s="73"/>
      <c r="M94" s="73"/>
      <c r="N94" s="73"/>
    </row>
    <row r="95" spans="1:14" x14ac:dyDescent="0.2">
      <c r="A95" s="391"/>
      <c r="B95" s="70" t="s">
        <v>112</v>
      </c>
      <c r="C95" s="73">
        <v>0</v>
      </c>
      <c r="D95" s="73">
        <v>0</v>
      </c>
      <c r="E95" s="73">
        <v>443.47</v>
      </c>
      <c r="F95" s="189">
        <v>145</v>
      </c>
      <c r="G95" s="73"/>
      <c r="H95" s="73"/>
      <c r="I95" s="73"/>
      <c r="J95" s="73"/>
      <c r="K95" s="73"/>
      <c r="L95" s="73"/>
      <c r="M95" s="73"/>
      <c r="N95" s="73"/>
    </row>
    <row r="96" spans="1:14" x14ac:dyDescent="0.2">
      <c r="A96" s="391"/>
      <c r="B96" s="70" t="s">
        <v>136</v>
      </c>
      <c r="C96" s="73">
        <v>0</v>
      </c>
      <c r="D96" s="73">
        <v>0</v>
      </c>
      <c r="E96" s="73">
        <v>0</v>
      </c>
      <c r="F96" s="73">
        <v>0</v>
      </c>
      <c r="G96" s="73"/>
      <c r="H96" s="73"/>
      <c r="I96" s="73"/>
      <c r="J96" s="73"/>
      <c r="K96" s="73"/>
      <c r="L96" s="73"/>
      <c r="M96" s="73"/>
      <c r="N96" s="73"/>
    </row>
    <row r="97" spans="1:14" x14ac:dyDescent="0.2">
      <c r="A97" s="392"/>
      <c r="B97" s="70" t="s">
        <v>113</v>
      </c>
      <c r="C97" s="73">
        <v>0</v>
      </c>
      <c r="D97" s="73">
        <v>242603.75</v>
      </c>
      <c r="E97" s="73">
        <v>247192.93</v>
      </c>
      <c r="F97" s="189">
        <v>234891.7</v>
      </c>
      <c r="G97" s="73"/>
      <c r="H97" s="73"/>
      <c r="I97" s="73"/>
      <c r="J97" s="73"/>
      <c r="K97" s="73"/>
      <c r="L97" s="73"/>
      <c r="M97" s="73"/>
      <c r="N97" s="73"/>
    </row>
    <row r="98" spans="1:14" s="58" customFormat="1" ht="3.75" customHeight="1" x14ac:dyDescent="0.2">
      <c r="A98" s="66"/>
      <c r="B98" s="67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</row>
    <row r="99" spans="1:14" x14ac:dyDescent="0.2">
      <c r="A99" s="374" t="s">
        <v>115</v>
      </c>
      <c r="B99" s="374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</row>
    <row r="100" spans="1:14" x14ac:dyDescent="0.2">
      <c r="A100" s="393" t="s">
        <v>118</v>
      </c>
      <c r="B100" s="70" t="s">
        <v>116</v>
      </c>
      <c r="C100" s="73">
        <v>111921421</v>
      </c>
      <c r="D100" s="73">
        <v>111921421</v>
      </c>
      <c r="E100" s="73">
        <v>111921421</v>
      </c>
      <c r="F100" s="73">
        <v>111921421</v>
      </c>
      <c r="G100" s="73"/>
      <c r="H100" s="73"/>
      <c r="I100" s="73"/>
      <c r="J100" s="73"/>
      <c r="K100" s="73"/>
      <c r="L100" s="73"/>
      <c r="M100" s="73"/>
      <c r="N100" s="73"/>
    </row>
    <row r="101" spans="1:14" x14ac:dyDescent="0.2">
      <c r="A101" s="393"/>
      <c r="B101" s="70" t="s">
        <v>117</v>
      </c>
      <c r="C101" s="73">
        <v>111921421</v>
      </c>
      <c r="D101" s="73">
        <v>111921421</v>
      </c>
      <c r="E101" s="73">
        <v>107013414.36</v>
      </c>
      <c r="F101" s="73">
        <v>107128032.56999999</v>
      </c>
      <c r="G101" s="73"/>
      <c r="H101" s="73"/>
      <c r="I101" s="73"/>
      <c r="J101" s="73"/>
      <c r="K101" s="73"/>
      <c r="L101" s="73"/>
      <c r="M101" s="73"/>
      <c r="N101" s="73"/>
    </row>
    <row r="102" spans="1:14" x14ac:dyDescent="0.2">
      <c r="A102" s="393"/>
      <c r="B102" s="70" t="s">
        <v>109</v>
      </c>
      <c r="C102" s="73">
        <v>124545.48</v>
      </c>
      <c r="D102" s="73">
        <v>34999432.299999997</v>
      </c>
      <c r="E102" s="73">
        <v>39002377.700000003</v>
      </c>
      <c r="F102" s="189">
        <v>41156414.920000002</v>
      </c>
      <c r="G102" s="73"/>
      <c r="H102" s="73"/>
      <c r="I102" s="73"/>
      <c r="J102" s="73"/>
      <c r="K102" s="73"/>
      <c r="L102" s="73"/>
      <c r="M102" s="73"/>
      <c r="N102" s="73"/>
    </row>
    <row r="103" spans="1:14" x14ac:dyDescent="0.2">
      <c r="A103" s="393"/>
      <c r="B103" s="70" t="s">
        <v>111</v>
      </c>
      <c r="C103" s="73">
        <v>0</v>
      </c>
      <c r="D103" s="73">
        <v>3161094.61</v>
      </c>
      <c r="E103" s="73">
        <v>18016572.460000001</v>
      </c>
      <c r="F103" s="189">
        <v>22405370.59</v>
      </c>
      <c r="G103" s="73"/>
      <c r="H103" s="73"/>
      <c r="I103" s="73"/>
      <c r="J103" s="73"/>
      <c r="K103" s="73"/>
      <c r="L103" s="73"/>
      <c r="M103" s="73"/>
      <c r="N103" s="73"/>
    </row>
    <row r="104" spans="1:14" x14ac:dyDescent="0.2">
      <c r="A104" s="393"/>
      <c r="B104" s="70" t="s">
        <v>110</v>
      </c>
      <c r="C104" s="73">
        <v>0</v>
      </c>
      <c r="D104" s="73">
        <v>2478299.7799999998</v>
      </c>
      <c r="E104" s="73">
        <v>16387867.619999999</v>
      </c>
      <c r="F104" s="189">
        <v>21974448.07</v>
      </c>
      <c r="G104" s="73"/>
      <c r="H104" s="73"/>
      <c r="I104" s="73"/>
      <c r="J104" s="73"/>
      <c r="K104" s="73"/>
      <c r="L104" s="73"/>
      <c r="M104" s="73"/>
      <c r="N104" s="73"/>
    </row>
    <row r="105" spans="1:14" s="58" customFormat="1" ht="3.75" customHeight="1" x14ac:dyDescent="0.2">
      <c r="A105" s="71"/>
      <c r="B105" s="72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x14ac:dyDescent="0.2">
      <c r="A106" s="393" t="s">
        <v>119</v>
      </c>
      <c r="B106" s="70" t="s">
        <v>116</v>
      </c>
      <c r="C106" s="73">
        <v>16412981</v>
      </c>
      <c r="D106" s="73">
        <v>16412981</v>
      </c>
      <c r="E106" s="73">
        <v>16412981</v>
      </c>
      <c r="F106" s="73">
        <v>16412981</v>
      </c>
      <c r="G106" s="73"/>
      <c r="H106" s="73"/>
      <c r="I106" s="73"/>
      <c r="J106" s="73"/>
      <c r="K106" s="73"/>
      <c r="L106" s="73"/>
      <c r="M106" s="73"/>
      <c r="N106" s="73"/>
    </row>
    <row r="107" spans="1:14" x14ac:dyDescent="0.2">
      <c r="A107" s="393"/>
      <c r="B107" s="70" t="s">
        <v>117</v>
      </c>
      <c r="C107" s="73">
        <v>16412981</v>
      </c>
      <c r="D107" s="73">
        <v>16412981</v>
      </c>
      <c r="E107" s="73">
        <v>16390076.16</v>
      </c>
      <c r="F107" s="73">
        <v>16175457.949999999</v>
      </c>
      <c r="G107" s="73"/>
      <c r="H107" s="73"/>
      <c r="I107" s="73"/>
      <c r="J107" s="73"/>
      <c r="K107" s="73"/>
      <c r="L107" s="73"/>
      <c r="M107" s="73"/>
      <c r="N107" s="73"/>
    </row>
    <row r="108" spans="1:14" x14ac:dyDescent="0.2">
      <c r="A108" s="393"/>
      <c r="B108" s="70" t="s">
        <v>109</v>
      </c>
      <c r="C108" s="73">
        <v>0</v>
      </c>
      <c r="D108" s="73">
        <v>0</v>
      </c>
      <c r="E108" s="73">
        <v>0</v>
      </c>
      <c r="F108" s="189">
        <v>0</v>
      </c>
      <c r="G108" s="73"/>
      <c r="H108" s="73"/>
      <c r="I108" s="73"/>
      <c r="J108" s="73"/>
      <c r="K108" s="73"/>
      <c r="L108" s="73"/>
      <c r="M108" s="73"/>
      <c r="N108" s="73"/>
    </row>
    <row r="109" spans="1:14" x14ac:dyDescent="0.2">
      <c r="A109" s="393"/>
      <c r="B109" s="70" t="s">
        <v>111</v>
      </c>
      <c r="C109" s="73">
        <v>0</v>
      </c>
      <c r="D109" s="73">
        <v>0</v>
      </c>
      <c r="E109" s="73">
        <v>0</v>
      </c>
      <c r="F109" s="189">
        <v>0</v>
      </c>
      <c r="G109" s="73"/>
      <c r="H109" s="73"/>
      <c r="I109" s="73"/>
      <c r="J109" s="73"/>
      <c r="K109" s="73"/>
      <c r="L109" s="73"/>
      <c r="M109" s="73"/>
      <c r="N109" s="73"/>
    </row>
    <row r="110" spans="1:14" x14ac:dyDescent="0.2">
      <c r="A110" s="393"/>
      <c r="B110" s="70" t="s">
        <v>110</v>
      </c>
      <c r="C110" s="73">
        <v>0</v>
      </c>
      <c r="D110" s="73">
        <v>0</v>
      </c>
      <c r="E110" s="73">
        <v>0</v>
      </c>
      <c r="F110" s="189">
        <v>0</v>
      </c>
      <c r="G110" s="73"/>
      <c r="H110" s="73"/>
      <c r="I110" s="73"/>
      <c r="J110" s="73"/>
      <c r="K110" s="73"/>
      <c r="L110" s="73"/>
      <c r="M110" s="73"/>
      <c r="N110" s="73"/>
    </row>
    <row r="111" spans="1:14" x14ac:dyDescent="0.2"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</row>
    <row r="112" spans="1:14" x14ac:dyDescent="0.2"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</row>
    <row r="113" spans="1:14" x14ac:dyDescent="0.2">
      <c r="A113" s="378" t="s">
        <v>120</v>
      </c>
      <c r="B113" s="378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</row>
    <row r="114" spans="1:14" x14ac:dyDescent="0.2">
      <c r="A114" s="374" t="s">
        <v>114</v>
      </c>
      <c r="B114" s="374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</row>
    <row r="115" spans="1:14" x14ac:dyDescent="0.2">
      <c r="A115" s="377" t="s">
        <v>123</v>
      </c>
      <c r="B115" s="59" t="s">
        <v>142</v>
      </c>
      <c r="C115" s="73">
        <v>49889.35</v>
      </c>
      <c r="D115" s="73">
        <v>1024717.41</v>
      </c>
      <c r="E115" s="73">
        <v>1075558.0900000001</v>
      </c>
      <c r="F115" s="73">
        <v>1075558.0900000001</v>
      </c>
      <c r="G115" s="73"/>
      <c r="H115" s="73"/>
      <c r="I115" s="73"/>
      <c r="J115" s="73"/>
      <c r="K115" s="73"/>
      <c r="L115" s="73"/>
      <c r="M115" s="73"/>
      <c r="N115" s="73"/>
    </row>
    <row r="116" spans="1:14" x14ac:dyDescent="0.2">
      <c r="A116" s="377"/>
      <c r="B116" s="59" t="s">
        <v>145</v>
      </c>
      <c r="C116" s="73">
        <v>0</v>
      </c>
      <c r="D116" s="73">
        <v>48000</v>
      </c>
      <c r="E116" s="73">
        <v>48000</v>
      </c>
      <c r="F116" s="73">
        <v>79878.149999999994</v>
      </c>
      <c r="G116" s="73"/>
      <c r="H116" s="73"/>
      <c r="I116" s="73"/>
      <c r="J116" s="73"/>
      <c r="K116" s="73"/>
      <c r="L116" s="73"/>
      <c r="M116" s="73"/>
      <c r="N116" s="73"/>
    </row>
    <row r="117" spans="1:14" x14ac:dyDescent="0.2">
      <c r="A117" s="87"/>
      <c r="B117" s="62" t="s">
        <v>87</v>
      </c>
      <c r="C117" s="74">
        <f>SUM(C115:C116)</f>
        <v>49889.35</v>
      </c>
      <c r="D117" s="74">
        <f t="shared" ref="D117:N117" si="32">SUM(D115:D116)</f>
        <v>1072717.4100000001</v>
      </c>
      <c r="E117" s="74">
        <f t="shared" si="32"/>
        <v>1123558.0900000001</v>
      </c>
      <c r="F117" s="74">
        <f t="shared" si="32"/>
        <v>1155436.24</v>
      </c>
      <c r="G117" s="74">
        <f t="shared" si="32"/>
        <v>0</v>
      </c>
      <c r="H117" s="74">
        <f t="shared" si="32"/>
        <v>0</v>
      </c>
      <c r="I117" s="74">
        <f t="shared" si="32"/>
        <v>0</v>
      </c>
      <c r="J117" s="74">
        <f t="shared" si="32"/>
        <v>0</v>
      </c>
      <c r="K117" s="74">
        <f t="shared" si="32"/>
        <v>0</v>
      </c>
      <c r="L117" s="74">
        <f t="shared" si="32"/>
        <v>0</v>
      </c>
      <c r="M117" s="74">
        <f t="shared" si="32"/>
        <v>0</v>
      </c>
      <c r="N117" s="74">
        <f t="shared" si="32"/>
        <v>0</v>
      </c>
    </row>
    <row r="118" spans="1:14" s="58" customFormat="1" ht="3.75" customHeight="1" x14ac:dyDescent="0.2">
      <c r="A118" s="66"/>
      <c r="B118" s="67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</row>
    <row r="119" spans="1:14" x14ac:dyDescent="0.2">
      <c r="A119" s="377" t="s">
        <v>123</v>
      </c>
      <c r="B119" s="59" t="s">
        <v>144</v>
      </c>
      <c r="C119" s="73">
        <v>1543.73</v>
      </c>
      <c r="D119" s="73">
        <v>1700.95</v>
      </c>
      <c r="E119" s="73">
        <v>314505.18</v>
      </c>
      <c r="F119" s="73">
        <v>314505.18</v>
      </c>
      <c r="G119" s="73"/>
      <c r="H119" s="73"/>
      <c r="I119" s="73"/>
      <c r="J119" s="73"/>
      <c r="K119" s="73"/>
      <c r="L119" s="73"/>
      <c r="M119" s="73"/>
      <c r="N119" s="73"/>
    </row>
    <row r="120" spans="1:14" x14ac:dyDescent="0.2">
      <c r="A120" s="377"/>
      <c r="B120" s="59" t="s">
        <v>143</v>
      </c>
      <c r="C120" s="73">
        <v>0</v>
      </c>
      <c r="D120" s="73">
        <v>0</v>
      </c>
      <c r="E120" s="73">
        <v>0</v>
      </c>
      <c r="F120" s="73">
        <v>0</v>
      </c>
      <c r="G120" s="73"/>
      <c r="H120" s="73"/>
      <c r="I120" s="73"/>
      <c r="J120" s="73"/>
      <c r="K120" s="73"/>
      <c r="L120" s="73"/>
      <c r="M120" s="73"/>
      <c r="N120" s="73"/>
    </row>
    <row r="121" spans="1:14" x14ac:dyDescent="0.2">
      <c r="A121" s="87"/>
      <c r="B121" s="62" t="s">
        <v>87</v>
      </c>
      <c r="C121" s="74">
        <f>SUM(C119:C120)</f>
        <v>1543.73</v>
      </c>
      <c r="D121" s="74">
        <f t="shared" ref="D121:N121" si="33">SUM(D119:D120)</f>
        <v>1700.95</v>
      </c>
      <c r="E121" s="74">
        <f t="shared" si="33"/>
        <v>314505.18</v>
      </c>
      <c r="F121" s="74">
        <f t="shared" si="33"/>
        <v>314505.18</v>
      </c>
      <c r="G121" s="74">
        <f t="shared" si="33"/>
        <v>0</v>
      </c>
      <c r="H121" s="74">
        <f t="shared" si="33"/>
        <v>0</v>
      </c>
      <c r="I121" s="74">
        <f t="shared" si="33"/>
        <v>0</v>
      </c>
      <c r="J121" s="74">
        <f t="shared" si="33"/>
        <v>0</v>
      </c>
      <c r="K121" s="74">
        <f t="shared" si="33"/>
        <v>0</v>
      </c>
      <c r="L121" s="74">
        <f t="shared" si="33"/>
        <v>0</v>
      </c>
      <c r="M121" s="74">
        <f t="shared" si="33"/>
        <v>0</v>
      </c>
      <c r="N121" s="74">
        <f t="shared" si="33"/>
        <v>0</v>
      </c>
    </row>
    <row r="122" spans="1:14" s="58" customFormat="1" ht="3.75" customHeight="1" x14ac:dyDescent="0.2">
      <c r="A122" s="66"/>
      <c r="B122" s="67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</row>
    <row r="123" spans="1:14" x14ac:dyDescent="0.2">
      <c r="A123" s="374" t="s">
        <v>124</v>
      </c>
      <c r="B123" s="374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</row>
    <row r="124" spans="1:14" x14ac:dyDescent="0.2">
      <c r="A124" s="377" t="s">
        <v>125</v>
      </c>
      <c r="B124" s="59" t="s">
        <v>121</v>
      </c>
      <c r="C124" s="73">
        <v>5878360.29</v>
      </c>
      <c r="D124" s="73">
        <v>5878360.29</v>
      </c>
      <c r="E124" s="73">
        <v>5878360.29</v>
      </c>
      <c r="F124" s="73">
        <v>5878360.29</v>
      </c>
      <c r="G124" s="73"/>
      <c r="H124" s="73"/>
      <c r="I124" s="73"/>
      <c r="J124" s="73"/>
      <c r="K124" s="73"/>
      <c r="L124" s="73"/>
      <c r="M124" s="73"/>
      <c r="N124" s="73"/>
    </row>
    <row r="125" spans="1:14" x14ac:dyDescent="0.2">
      <c r="A125" s="377"/>
      <c r="B125" s="59" t="s">
        <v>122</v>
      </c>
      <c r="C125" s="73">
        <v>152288.07</v>
      </c>
      <c r="D125" s="73">
        <v>152288.07</v>
      </c>
      <c r="E125" s="73">
        <v>152288.07</v>
      </c>
      <c r="F125" s="73">
        <v>152288.07</v>
      </c>
      <c r="G125" s="73"/>
      <c r="H125" s="73"/>
      <c r="I125" s="73"/>
      <c r="J125" s="73"/>
      <c r="K125" s="73"/>
      <c r="L125" s="73"/>
      <c r="M125" s="73"/>
      <c r="N125" s="73"/>
    </row>
    <row r="126" spans="1:14" x14ac:dyDescent="0.2">
      <c r="A126" s="377" t="s">
        <v>123</v>
      </c>
      <c r="B126" s="59" t="s">
        <v>121</v>
      </c>
      <c r="C126" s="73">
        <v>51433.08</v>
      </c>
      <c r="D126" s="73">
        <v>1026418.36</v>
      </c>
      <c r="E126" s="73">
        <v>1390063.27</v>
      </c>
      <c r="F126" s="73">
        <v>1390063.27</v>
      </c>
      <c r="G126" s="73"/>
      <c r="H126" s="73"/>
      <c r="I126" s="73"/>
      <c r="J126" s="73"/>
      <c r="K126" s="73"/>
      <c r="L126" s="73"/>
      <c r="M126" s="73"/>
      <c r="N126" s="73"/>
    </row>
    <row r="127" spans="1:14" x14ac:dyDescent="0.2">
      <c r="A127" s="377"/>
      <c r="B127" s="59" t="s">
        <v>122</v>
      </c>
      <c r="C127" s="73">
        <v>0</v>
      </c>
      <c r="D127" s="73">
        <v>48000</v>
      </c>
      <c r="E127" s="73">
        <v>48000</v>
      </c>
      <c r="F127" s="73">
        <v>79878.149999999994</v>
      </c>
      <c r="G127" s="73"/>
      <c r="H127" s="73"/>
      <c r="I127" s="73"/>
      <c r="J127" s="73"/>
      <c r="K127" s="73"/>
      <c r="L127" s="73"/>
      <c r="M127" s="73"/>
      <c r="N127" s="73"/>
    </row>
    <row r="128" spans="1:14" x14ac:dyDescent="0.2">
      <c r="A128" s="377" t="s">
        <v>126</v>
      </c>
      <c r="B128" s="59" t="s">
        <v>121</v>
      </c>
      <c r="C128" s="73">
        <v>0</v>
      </c>
      <c r="D128" s="73">
        <v>1933324.65</v>
      </c>
      <c r="E128" s="73">
        <v>4488297.0199999996</v>
      </c>
      <c r="F128" s="73">
        <v>4488297.0199999996</v>
      </c>
      <c r="G128" s="73"/>
      <c r="H128" s="73"/>
      <c r="I128" s="73"/>
      <c r="J128" s="73"/>
      <c r="K128" s="73"/>
      <c r="L128" s="73"/>
      <c r="M128" s="73"/>
      <c r="N128" s="73"/>
    </row>
    <row r="129" spans="1:14" x14ac:dyDescent="0.2">
      <c r="A129" s="377"/>
      <c r="B129" s="59" t="s">
        <v>122</v>
      </c>
      <c r="C129" s="73">
        <v>0</v>
      </c>
      <c r="D129" s="73">
        <v>0</v>
      </c>
      <c r="E129" s="73">
        <v>0</v>
      </c>
      <c r="F129" s="73">
        <v>0</v>
      </c>
      <c r="G129" s="73">
        <v>0</v>
      </c>
      <c r="H129" s="73">
        <v>0</v>
      </c>
      <c r="I129" s="73"/>
      <c r="J129" s="73"/>
      <c r="K129" s="73"/>
      <c r="L129" s="73"/>
      <c r="M129" s="73"/>
      <c r="N129" s="73"/>
    </row>
    <row r="130" spans="1:14" x14ac:dyDescent="0.2">
      <c r="A130" s="374" t="s">
        <v>127</v>
      </c>
      <c r="B130" s="374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</row>
    <row r="131" spans="1:14" x14ac:dyDescent="0.2">
      <c r="A131" s="377" t="s">
        <v>125</v>
      </c>
      <c r="B131" s="59" t="s">
        <v>121</v>
      </c>
      <c r="C131" s="73">
        <v>31770.02</v>
      </c>
      <c r="D131" s="73">
        <v>31770.02</v>
      </c>
      <c r="E131" s="73">
        <v>31770.02</v>
      </c>
      <c r="F131" s="73">
        <v>31770.02</v>
      </c>
      <c r="G131" s="73"/>
      <c r="H131" s="73"/>
      <c r="I131" s="73"/>
      <c r="J131" s="73"/>
      <c r="K131" s="73"/>
      <c r="L131" s="73"/>
      <c r="M131" s="73"/>
      <c r="N131" s="73"/>
    </row>
    <row r="132" spans="1:14" x14ac:dyDescent="0.2">
      <c r="A132" s="377"/>
      <c r="B132" s="59" t="s">
        <v>122</v>
      </c>
      <c r="C132" s="73">
        <v>0</v>
      </c>
      <c r="D132" s="73">
        <v>0</v>
      </c>
      <c r="E132" s="73">
        <v>0</v>
      </c>
      <c r="F132" s="73">
        <v>0</v>
      </c>
      <c r="G132" s="73">
        <v>0</v>
      </c>
      <c r="H132" s="73">
        <v>0</v>
      </c>
      <c r="I132" s="73">
        <v>0</v>
      </c>
      <c r="J132" s="73">
        <v>0</v>
      </c>
      <c r="K132" s="73">
        <v>0</v>
      </c>
      <c r="L132" s="73">
        <v>0</v>
      </c>
      <c r="M132" s="73">
        <v>0</v>
      </c>
      <c r="N132" s="73">
        <v>0</v>
      </c>
    </row>
    <row r="133" spans="1:14" x14ac:dyDescent="0.2">
      <c r="A133" s="377" t="s">
        <v>123</v>
      </c>
      <c r="B133" s="59" t="s">
        <v>121</v>
      </c>
      <c r="C133" s="73">
        <v>0</v>
      </c>
      <c r="D133" s="73">
        <v>0</v>
      </c>
      <c r="E133" s="73">
        <v>0</v>
      </c>
      <c r="F133" s="73">
        <v>0</v>
      </c>
      <c r="G133" s="73"/>
      <c r="H133" s="73"/>
      <c r="I133" s="73"/>
      <c r="J133" s="73"/>
      <c r="K133" s="73"/>
      <c r="L133" s="73"/>
      <c r="M133" s="73"/>
      <c r="N133" s="73"/>
    </row>
    <row r="134" spans="1:14" x14ac:dyDescent="0.2">
      <c r="A134" s="377"/>
      <c r="B134" s="59" t="s">
        <v>122</v>
      </c>
      <c r="C134" s="73">
        <v>0</v>
      </c>
      <c r="D134" s="73">
        <v>0</v>
      </c>
      <c r="E134" s="73">
        <v>0</v>
      </c>
      <c r="F134" s="73">
        <v>0</v>
      </c>
      <c r="G134" s="73">
        <v>0</v>
      </c>
      <c r="H134" s="73">
        <v>0</v>
      </c>
      <c r="I134" s="73">
        <v>0</v>
      </c>
      <c r="J134" s="73">
        <v>0</v>
      </c>
      <c r="K134" s="73">
        <v>0</v>
      </c>
      <c r="L134" s="73">
        <v>0</v>
      </c>
      <c r="M134" s="73">
        <v>0</v>
      </c>
      <c r="N134" s="73">
        <v>0</v>
      </c>
    </row>
    <row r="135" spans="1:14" x14ac:dyDescent="0.2">
      <c r="A135" s="377" t="s">
        <v>126</v>
      </c>
      <c r="B135" s="59" t="s">
        <v>121</v>
      </c>
      <c r="C135" s="73">
        <v>0</v>
      </c>
      <c r="D135" s="73">
        <v>0.33</v>
      </c>
      <c r="E135" s="73">
        <v>31770.02</v>
      </c>
      <c r="F135" s="73">
        <v>31770.02</v>
      </c>
      <c r="G135" s="73"/>
      <c r="H135" s="73"/>
      <c r="I135" s="73"/>
      <c r="J135" s="73"/>
      <c r="K135" s="73"/>
      <c r="L135" s="73"/>
      <c r="M135" s="73"/>
      <c r="N135" s="73"/>
    </row>
    <row r="136" spans="1:14" x14ac:dyDescent="0.2">
      <c r="A136" s="377"/>
      <c r="B136" s="59" t="s">
        <v>122</v>
      </c>
      <c r="C136" s="73">
        <v>0</v>
      </c>
      <c r="D136" s="73">
        <v>0</v>
      </c>
      <c r="E136" s="73">
        <v>0</v>
      </c>
      <c r="F136" s="73">
        <v>0</v>
      </c>
      <c r="G136" s="73">
        <v>0</v>
      </c>
      <c r="H136" s="73">
        <v>0</v>
      </c>
      <c r="I136" s="73">
        <v>0</v>
      </c>
      <c r="J136" s="73">
        <v>0</v>
      </c>
      <c r="K136" s="73">
        <v>0</v>
      </c>
      <c r="L136" s="73">
        <v>0</v>
      </c>
      <c r="M136" s="73">
        <v>0</v>
      </c>
      <c r="N136" s="73">
        <v>0</v>
      </c>
    </row>
    <row r="138" spans="1:14" x14ac:dyDescent="0.2">
      <c r="A138" s="378" t="s">
        <v>139</v>
      </c>
      <c r="B138" s="378"/>
    </row>
    <row r="139" spans="1:14" x14ac:dyDescent="0.2">
      <c r="A139" s="374" t="s">
        <v>124</v>
      </c>
      <c r="B139" s="374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</row>
    <row r="140" spans="1:14" x14ac:dyDescent="0.2">
      <c r="A140" s="377" t="s">
        <v>125</v>
      </c>
      <c r="B140" s="59" t="s">
        <v>121</v>
      </c>
      <c r="C140" s="73">
        <v>0</v>
      </c>
      <c r="D140" s="73">
        <v>0</v>
      </c>
      <c r="E140" s="73">
        <v>0</v>
      </c>
      <c r="F140" s="73">
        <v>0</v>
      </c>
      <c r="G140" s="73"/>
      <c r="H140" s="73"/>
      <c r="I140" s="73"/>
      <c r="J140" s="73"/>
      <c r="K140" s="73"/>
      <c r="L140" s="73"/>
      <c r="M140" s="73"/>
      <c r="N140" s="73"/>
    </row>
    <row r="141" spans="1:14" x14ac:dyDescent="0.2">
      <c r="A141" s="377"/>
      <c r="B141" s="59" t="s">
        <v>122</v>
      </c>
      <c r="C141" s="73">
        <f>1786.76+31878.15</f>
        <v>33664.910000000003</v>
      </c>
      <c r="D141" s="73">
        <v>33664.910000000003</v>
      </c>
      <c r="E141" s="73">
        <v>33664.910000000003</v>
      </c>
      <c r="F141" s="73">
        <v>33664.910000000003</v>
      </c>
      <c r="G141" s="73"/>
      <c r="H141" s="73"/>
      <c r="I141" s="73"/>
      <c r="J141" s="73"/>
      <c r="K141" s="73"/>
      <c r="L141" s="73"/>
      <c r="M141" s="73"/>
      <c r="N141" s="73"/>
    </row>
    <row r="142" spans="1:14" x14ac:dyDescent="0.2">
      <c r="A142" s="377" t="s">
        <v>123</v>
      </c>
      <c r="B142" s="59" t="s">
        <v>121</v>
      </c>
      <c r="C142" s="73">
        <v>0</v>
      </c>
      <c r="D142" s="73">
        <v>0</v>
      </c>
      <c r="E142" s="73">
        <v>0</v>
      </c>
      <c r="F142" s="73"/>
      <c r="G142" s="73"/>
      <c r="H142" s="73"/>
      <c r="I142" s="73"/>
      <c r="J142" s="73"/>
      <c r="K142" s="73"/>
      <c r="L142" s="73"/>
      <c r="M142" s="73"/>
      <c r="N142" s="73"/>
    </row>
    <row r="143" spans="1:14" x14ac:dyDescent="0.2">
      <c r="A143" s="377"/>
      <c r="B143" s="59" t="s">
        <v>122</v>
      </c>
      <c r="C143" s="73">
        <v>0</v>
      </c>
      <c r="D143" s="73">
        <v>0</v>
      </c>
      <c r="E143" s="73">
        <v>0</v>
      </c>
      <c r="F143" s="73"/>
      <c r="G143" s="73"/>
      <c r="H143" s="73"/>
      <c r="I143" s="73"/>
      <c r="J143" s="73"/>
      <c r="K143" s="73"/>
      <c r="L143" s="73"/>
      <c r="M143" s="73"/>
      <c r="N143" s="73"/>
    </row>
    <row r="144" spans="1:14" x14ac:dyDescent="0.2">
      <c r="A144" s="377" t="s">
        <v>126</v>
      </c>
      <c r="B144" s="59" t="s">
        <v>121</v>
      </c>
      <c r="C144" s="73">
        <v>0</v>
      </c>
      <c r="D144" s="73">
        <v>0</v>
      </c>
      <c r="E144" s="73">
        <v>0</v>
      </c>
      <c r="F144" s="73"/>
      <c r="G144" s="73"/>
      <c r="H144" s="73"/>
      <c r="I144" s="73"/>
      <c r="J144" s="73"/>
      <c r="K144" s="73"/>
      <c r="L144" s="73"/>
      <c r="M144" s="73"/>
      <c r="N144" s="73">
        <v>0</v>
      </c>
    </row>
    <row r="145" spans="1:14" x14ac:dyDescent="0.2">
      <c r="A145" s="377"/>
      <c r="B145" s="59" t="s">
        <v>122</v>
      </c>
      <c r="C145" s="73">
        <v>0</v>
      </c>
      <c r="D145" s="73">
        <v>0</v>
      </c>
      <c r="E145" s="73">
        <v>0</v>
      </c>
      <c r="F145" s="73"/>
      <c r="G145" s="73"/>
      <c r="H145" s="73"/>
      <c r="I145" s="73"/>
      <c r="J145" s="73"/>
      <c r="K145" s="73"/>
      <c r="L145" s="73"/>
      <c r="M145" s="73"/>
      <c r="N145" s="73"/>
    </row>
    <row r="146" spans="1:14" x14ac:dyDescent="0.2">
      <c r="A146" s="374" t="s">
        <v>127</v>
      </c>
      <c r="B146" s="374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</row>
    <row r="147" spans="1:14" x14ac:dyDescent="0.2">
      <c r="A147" s="377" t="s">
        <v>125</v>
      </c>
      <c r="B147" s="59" t="s">
        <v>121</v>
      </c>
      <c r="C147" s="73">
        <v>0</v>
      </c>
      <c r="D147" s="73">
        <v>0</v>
      </c>
      <c r="E147" s="73">
        <v>0</v>
      </c>
      <c r="F147" s="73"/>
      <c r="G147" s="73"/>
      <c r="H147" s="73"/>
      <c r="I147" s="73"/>
      <c r="J147" s="73"/>
      <c r="K147" s="73"/>
      <c r="L147" s="73"/>
      <c r="M147" s="73"/>
      <c r="N147" s="73"/>
    </row>
    <row r="148" spans="1:14" x14ac:dyDescent="0.2">
      <c r="A148" s="377"/>
      <c r="B148" s="59" t="s">
        <v>122</v>
      </c>
      <c r="C148" s="73">
        <v>0</v>
      </c>
      <c r="D148" s="73">
        <v>0</v>
      </c>
      <c r="E148" s="73">
        <v>0</v>
      </c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 x14ac:dyDescent="0.2">
      <c r="A149" s="377" t="s">
        <v>123</v>
      </c>
      <c r="B149" s="59" t="s">
        <v>121</v>
      </c>
      <c r="C149" s="73">
        <v>0</v>
      </c>
      <c r="D149" s="73">
        <v>0</v>
      </c>
      <c r="E149" s="73">
        <v>0</v>
      </c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 x14ac:dyDescent="0.2">
      <c r="A150" s="377"/>
      <c r="B150" s="59" t="s">
        <v>122</v>
      </c>
      <c r="C150" s="73">
        <v>0</v>
      </c>
      <c r="D150" s="73">
        <v>0</v>
      </c>
      <c r="E150" s="73">
        <v>0</v>
      </c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 x14ac:dyDescent="0.2">
      <c r="A151" s="377" t="s">
        <v>126</v>
      </c>
      <c r="B151" s="59" t="s">
        <v>121</v>
      </c>
      <c r="C151" s="73">
        <v>0</v>
      </c>
      <c r="D151" s="73">
        <v>0</v>
      </c>
      <c r="E151" s="73">
        <v>0</v>
      </c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 x14ac:dyDescent="0.2">
      <c r="A152" s="377"/>
      <c r="B152" s="59" t="s">
        <v>122</v>
      </c>
      <c r="C152" s="73">
        <v>0</v>
      </c>
      <c r="D152" s="73">
        <v>0</v>
      </c>
      <c r="E152" s="73">
        <v>0</v>
      </c>
      <c r="F152" s="73"/>
      <c r="G152" s="73"/>
      <c r="H152" s="73"/>
      <c r="I152" s="73"/>
      <c r="J152" s="73"/>
      <c r="K152" s="73"/>
      <c r="L152" s="73"/>
      <c r="M152" s="73"/>
      <c r="N152" s="73"/>
    </row>
    <row r="155" spans="1:14" x14ac:dyDescent="0.2">
      <c r="A155" s="375" t="s">
        <v>140</v>
      </c>
      <c r="B155" s="375"/>
    </row>
    <row r="156" spans="1:14" x14ac:dyDescent="0.2">
      <c r="A156" s="374" t="s">
        <v>23</v>
      </c>
      <c r="B156" s="374"/>
    </row>
    <row r="157" spans="1:14" x14ac:dyDescent="0.2">
      <c r="A157" s="370"/>
      <c r="B157" s="371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</row>
    <row r="158" spans="1:14" x14ac:dyDescent="0.2">
      <c r="A158" s="370"/>
      <c r="B158" s="371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</row>
    <row r="159" spans="1:14" x14ac:dyDescent="0.2">
      <c r="A159" s="370"/>
      <c r="B159" s="371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</row>
    <row r="160" spans="1:14" x14ac:dyDescent="0.2">
      <c r="A160" s="370"/>
      <c r="B160" s="371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</row>
    <row r="161" spans="1:16" x14ac:dyDescent="0.2">
      <c r="A161" s="370"/>
      <c r="B161" s="371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</row>
    <row r="162" spans="1:16" x14ac:dyDescent="0.2">
      <c r="A162" s="370"/>
      <c r="B162" s="371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</row>
    <row r="163" spans="1:16" x14ac:dyDescent="0.2">
      <c r="B163" s="62" t="s">
        <v>87</v>
      </c>
      <c r="C163" s="74">
        <f t="shared" ref="C163:N163" si="34">SUM(C157:C162)</f>
        <v>0</v>
      </c>
      <c r="D163" s="74">
        <f t="shared" si="34"/>
        <v>0</v>
      </c>
      <c r="E163" s="74">
        <f t="shared" si="34"/>
        <v>0</v>
      </c>
      <c r="F163" s="74">
        <f t="shared" si="34"/>
        <v>0</v>
      </c>
      <c r="G163" s="74">
        <f t="shared" si="34"/>
        <v>0</v>
      </c>
      <c r="H163" s="74">
        <f t="shared" si="34"/>
        <v>0</v>
      </c>
      <c r="I163" s="74">
        <f t="shared" si="34"/>
        <v>0</v>
      </c>
      <c r="J163" s="74">
        <f t="shared" si="34"/>
        <v>0</v>
      </c>
      <c r="K163" s="74">
        <f t="shared" si="34"/>
        <v>0</v>
      </c>
      <c r="L163" s="74">
        <f t="shared" si="34"/>
        <v>0</v>
      </c>
      <c r="M163" s="74">
        <f t="shared" si="34"/>
        <v>0</v>
      </c>
      <c r="N163" s="74">
        <f t="shared" si="34"/>
        <v>0</v>
      </c>
    </row>
    <row r="166" spans="1:16" x14ac:dyDescent="0.2">
      <c r="A166" s="375" t="s">
        <v>141</v>
      </c>
      <c r="B166" s="375"/>
    </row>
    <row r="167" spans="1:16" x14ac:dyDescent="0.2">
      <c r="A167" s="374" t="s">
        <v>23</v>
      </c>
      <c r="B167" s="374"/>
    </row>
    <row r="168" spans="1:16" x14ac:dyDescent="0.2">
      <c r="A168" s="394" t="s">
        <v>176</v>
      </c>
      <c r="B168" s="395"/>
      <c r="C168" s="168">
        <f>C64</f>
        <v>100070.48</v>
      </c>
      <c r="D168" s="168">
        <f t="shared" ref="D168:N168" si="35">D64</f>
        <v>85110.17</v>
      </c>
      <c r="E168" s="168">
        <f t="shared" si="35"/>
        <v>75164.160000000003</v>
      </c>
      <c r="F168" s="168">
        <f t="shared" si="35"/>
        <v>82720.19</v>
      </c>
      <c r="G168" s="168">
        <f t="shared" si="35"/>
        <v>0</v>
      </c>
      <c r="H168" s="168">
        <f t="shared" si="35"/>
        <v>0</v>
      </c>
      <c r="I168" s="168">
        <f t="shared" si="35"/>
        <v>0</v>
      </c>
      <c r="J168" s="168">
        <f t="shared" si="35"/>
        <v>0</v>
      </c>
      <c r="K168" s="168">
        <f t="shared" si="35"/>
        <v>0</v>
      </c>
      <c r="L168" s="168">
        <f t="shared" si="35"/>
        <v>0</v>
      </c>
      <c r="M168" s="168">
        <f t="shared" si="35"/>
        <v>0</v>
      </c>
      <c r="N168" s="168">
        <f t="shared" si="35"/>
        <v>0</v>
      </c>
      <c r="O168" s="76">
        <f>SUM(C168:N168)</f>
        <v>343065</v>
      </c>
      <c r="P168" t="s">
        <v>294</v>
      </c>
    </row>
    <row r="169" spans="1:16" x14ac:dyDescent="0.2">
      <c r="A169" s="370" t="s">
        <v>189</v>
      </c>
      <c r="B169" s="371"/>
      <c r="C169" s="73"/>
      <c r="D169" s="73"/>
      <c r="E169" s="73"/>
      <c r="F169" s="73"/>
      <c r="G169" s="73"/>
      <c r="H169" s="73"/>
      <c r="I169" s="172">
        <v>0</v>
      </c>
      <c r="J169" s="73"/>
      <c r="K169" s="73"/>
      <c r="L169" s="73"/>
      <c r="M169" s="73"/>
      <c r="N169" s="172">
        <v>0</v>
      </c>
    </row>
    <row r="170" spans="1:16" x14ac:dyDescent="0.2">
      <c r="A170" s="370" t="s">
        <v>192</v>
      </c>
      <c r="B170" s="371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</row>
    <row r="171" spans="1:16" x14ac:dyDescent="0.2">
      <c r="A171" s="370" t="s">
        <v>194</v>
      </c>
      <c r="B171" s="371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</row>
    <row r="172" spans="1:16" x14ac:dyDescent="0.2">
      <c r="A172" s="396" t="s">
        <v>225</v>
      </c>
      <c r="B172" s="397"/>
      <c r="C172" s="73"/>
      <c r="D172" s="73"/>
      <c r="E172" s="73"/>
      <c r="F172" s="189">
        <v>0</v>
      </c>
      <c r="G172" s="73"/>
      <c r="H172" s="73"/>
      <c r="I172" s="189"/>
      <c r="J172" s="73"/>
      <c r="K172" s="73"/>
      <c r="L172" s="73"/>
      <c r="M172" s="73"/>
      <c r="N172" s="73"/>
    </row>
    <row r="173" spans="1:16" x14ac:dyDescent="0.2">
      <c r="A173" s="370"/>
      <c r="B173" s="371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</row>
    <row r="174" spans="1:16" x14ac:dyDescent="0.2">
      <c r="B174" s="62" t="s">
        <v>87</v>
      </c>
      <c r="C174" s="74">
        <f>SUM(C168:C173)</f>
        <v>100070.48</v>
      </c>
      <c r="D174" s="74">
        <f>SUM(D168:D173)+C174</f>
        <v>185180.65</v>
      </c>
      <c r="E174" s="74">
        <f t="shared" ref="E174:N174" si="36">SUM(E168:E173)+D174</f>
        <v>260344.81</v>
      </c>
      <c r="F174" s="74">
        <f t="shared" si="36"/>
        <v>343065</v>
      </c>
      <c r="G174" s="74">
        <f t="shared" si="36"/>
        <v>343065</v>
      </c>
      <c r="H174" s="74">
        <f t="shared" si="36"/>
        <v>343065</v>
      </c>
      <c r="I174" s="74">
        <f t="shared" si="36"/>
        <v>343065</v>
      </c>
      <c r="J174" s="74">
        <f t="shared" si="36"/>
        <v>343065</v>
      </c>
      <c r="K174" s="74">
        <f t="shared" si="36"/>
        <v>343065</v>
      </c>
      <c r="L174" s="74">
        <f t="shared" si="36"/>
        <v>343065</v>
      </c>
      <c r="M174" s="74">
        <f t="shared" si="36"/>
        <v>343065</v>
      </c>
      <c r="N174" s="74">
        <f t="shared" si="36"/>
        <v>343065</v>
      </c>
    </row>
    <row r="176" spans="1:16" x14ac:dyDescent="0.2">
      <c r="A176" s="375" t="s">
        <v>146</v>
      </c>
      <c r="B176" s="375"/>
    </row>
    <row r="177" spans="1:14" x14ac:dyDescent="0.2">
      <c r="A177" s="374" t="s">
        <v>38</v>
      </c>
      <c r="B177" s="374"/>
    </row>
    <row r="178" spans="1:14" x14ac:dyDescent="0.2">
      <c r="A178" s="394" t="s">
        <v>148</v>
      </c>
      <c r="B178" s="395"/>
      <c r="C178" s="73"/>
      <c r="D178" s="164">
        <f t="shared" ref="D178:N178" si="37">C196</f>
        <v>4210.08</v>
      </c>
      <c r="E178" s="258">
        <f>D196-100</f>
        <v>454669.45</v>
      </c>
      <c r="F178" s="339">
        <f>E196-6670</f>
        <v>380688.79</v>
      </c>
      <c r="G178" s="164">
        <f t="shared" si="37"/>
        <v>154144.26</v>
      </c>
      <c r="H178" s="164">
        <f t="shared" si="37"/>
        <v>0</v>
      </c>
      <c r="I178" s="190">
        <f t="shared" si="37"/>
        <v>0</v>
      </c>
      <c r="J178" s="164">
        <f t="shared" si="37"/>
        <v>0</v>
      </c>
      <c r="K178" s="164">
        <f t="shared" si="37"/>
        <v>0</v>
      </c>
      <c r="L178" s="258">
        <f t="shared" si="37"/>
        <v>0</v>
      </c>
      <c r="M178" s="190">
        <f t="shared" si="37"/>
        <v>0</v>
      </c>
      <c r="N178" s="164">
        <f t="shared" si="37"/>
        <v>0</v>
      </c>
    </row>
    <row r="179" spans="1:14" x14ac:dyDescent="0.2">
      <c r="A179" s="370" t="s">
        <v>181</v>
      </c>
      <c r="B179" s="371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</row>
    <row r="180" spans="1:14" x14ac:dyDescent="0.2">
      <c r="A180" s="370" t="s">
        <v>182</v>
      </c>
      <c r="B180" s="371"/>
      <c r="C180" s="73"/>
      <c r="D180" s="73"/>
      <c r="F180" s="73"/>
      <c r="G180" s="73"/>
      <c r="H180" s="73"/>
      <c r="I180" s="73"/>
      <c r="J180" s="73"/>
      <c r="K180" s="73"/>
      <c r="L180" s="73"/>
      <c r="M180" s="73"/>
      <c r="N180" s="73"/>
    </row>
    <row r="181" spans="1:14" x14ac:dyDescent="0.2">
      <c r="A181" s="370" t="s">
        <v>209</v>
      </c>
      <c r="B181" s="371"/>
      <c r="C181" s="172">
        <v>8954782.5099999998</v>
      </c>
      <c r="D181" s="73"/>
      <c r="E181" s="73"/>
      <c r="F181" s="189">
        <v>0</v>
      </c>
      <c r="G181" s="73">
        <v>0</v>
      </c>
      <c r="H181" s="73"/>
      <c r="I181" s="172">
        <v>0</v>
      </c>
      <c r="J181" s="172">
        <v>0</v>
      </c>
      <c r="K181" s="73">
        <v>0</v>
      </c>
      <c r="L181" s="73"/>
      <c r="M181" s="172">
        <v>0</v>
      </c>
      <c r="N181" s="73"/>
    </row>
    <row r="182" spans="1:14" x14ac:dyDescent="0.2">
      <c r="A182" s="370" t="s">
        <v>210</v>
      </c>
      <c r="B182" s="371"/>
      <c r="C182" s="73"/>
      <c r="D182" s="73"/>
      <c r="E182" s="73"/>
      <c r="F182" s="73">
        <v>0</v>
      </c>
      <c r="H182" s="73"/>
      <c r="I182" s="73">
        <v>0</v>
      </c>
      <c r="J182" s="172">
        <v>0</v>
      </c>
      <c r="K182" s="172">
        <v>0</v>
      </c>
      <c r="L182" s="73"/>
      <c r="M182" s="172">
        <v>0</v>
      </c>
      <c r="N182" s="73"/>
    </row>
    <row r="183" spans="1:14" x14ac:dyDescent="0.2">
      <c r="A183" s="370" t="s">
        <v>190</v>
      </c>
      <c r="B183" s="371"/>
      <c r="C183" s="73"/>
      <c r="D183" s="73"/>
      <c r="E183" s="73"/>
      <c r="F183" s="172">
        <v>122.5</v>
      </c>
      <c r="G183" s="189">
        <v>0</v>
      </c>
      <c r="H183" s="73"/>
      <c r="I183" s="73"/>
      <c r="J183" s="73"/>
      <c r="K183" s="73"/>
      <c r="L183" s="73"/>
      <c r="M183" s="73"/>
      <c r="N183" s="73"/>
    </row>
    <row r="184" spans="1:14" x14ac:dyDescent="0.2">
      <c r="A184" s="370" t="s">
        <v>278</v>
      </c>
      <c r="B184" s="371"/>
      <c r="C184" s="172">
        <v>102253.07</v>
      </c>
      <c r="D184" s="73"/>
      <c r="E184" s="73"/>
      <c r="F184" s="189">
        <v>0</v>
      </c>
      <c r="G184" s="73"/>
      <c r="H184" s="186">
        <v>0</v>
      </c>
      <c r="I184" s="172">
        <v>0</v>
      </c>
      <c r="J184" s="73"/>
      <c r="K184" s="73"/>
      <c r="L184" s="73"/>
      <c r="M184" s="73"/>
      <c r="N184" s="73"/>
    </row>
    <row r="185" spans="1:14" x14ac:dyDescent="0.2">
      <c r="B185" s="62" t="s">
        <v>87</v>
      </c>
      <c r="C185" s="74">
        <f>SUM(C179:C184)</f>
        <v>9057035.5800000001</v>
      </c>
      <c r="D185" s="74">
        <f>SUM(D178:D184)</f>
        <v>4210.08</v>
      </c>
      <c r="E185" s="74">
        <f t="shared" ref="E185:N185" si="38">SUM(E178:E184)</f>
        <v>454669.45</v>
      </c>
      <c r="F185" s="74">
        <f t="shared" si="38"/>
        <v>380811.29</v>
      </c>
      <c r="G185" s="74">
        <f t="shared" si="38"/>
        <v>154144.26</v>
      </c>
      <c r="H185" s="74">
        <f t="shared" si="38"/>
        <v>0</v>
      </c>
      <c r="I185" s="74">
        <f t="shared" si="38"/>
        <v>0</v>
      </c>
      <c r="J185" s="74">
        <f t="shared" si="38"/>
        <v>0</v>
      </c>
      <c r="K185" s="74">
        <f t="shared" si="38"/>
        <v>0</v>
      </c>
      <c r="L185" s="74">
        <f t="shared" si="38"/>
        <v>0</v>
      </c>
      <c r="M185" s="74">
        <f t="shared" si="38"/>
        <v>0</v>
      </c>
      <c r="N185" s="74">
        <f t="shared" si="38"/>
        <v>0</v>
      </c>
    </row>
    <row r="186" spans="1:14" s="106" customFormat="1" x14ac:dyDescent="0.2">
      <c r="B186" s="107" t="s">
        <v>149</v>
      </c>
      <c r="C186" s="108">
        <f>C185</f>
        <v>9057035.5800000001</v>
      </c>
      <c r="D186" s="108">
        <f t="shared" ref="D186:I186" si="39">+C186+D185</f>
        <v>9061245.6600000001</v>
      </c>
      <c r="E186" s="108">
        <f t="shared" si="39"/>
        <v>9515915.1099999994</v>
      </c>
      <c r="F186" s="108">
        <f t="shared" si="39"/>
        <v>9896726.3999999985</v>
      </c>
      <c r="G186" s="108">
        <f t="shared" si="39"/>
        <v>10050870.659999998</v>
      </c>
      <c r="H186" s="108">
        <f t="shared" si="39"/>
        <v>10050870.659999998</v>
      </c>
      <c r="I186" s="108">
        <f t="shared" si="39"/>
        <v>10050870.659999998</v>
      </c>
      <c r="J186" s="108">
        <f>+I186+J185</f>
        <v>10050870.659999998</v>
      </c>
      <c r="K186" s="108">
        <f>+J186+K185</f>
        <v>10050870.659999998</v>
      </c>
      <c r="L186" s="108">
        <f>+K186+L185</f>
        <v>10050870.659999998</v>
      </c>
      <c r="M186" s="108">
        <f>+L186+M185</f>
        <v>10050870.659999998</v>
      </c>
      <c r="N186" s="108">
        <f>+M186+N185</f>
        <v>10050870.659999998</v>
      </c>
    </row>
    <row r="188" spans="1:14" x14ac:dyDescent="0.2">
      <c r="A188" s="375" t="s">
        <v>147</v>
      </c>
      <c r="B188" s="375"/>
    </row>
    <row r="189" spans="1:14" x14ac:dyDescent="0.2">
      <c r="A189" s="374" t="s">
        <v>39</v>
      </c>
      <c r="B189" s="374"/>
      <c r="N189" s="127"/>
    </row>
    <row r="190" spans="1:14" x14ac:dyDescent="0.2">
      <c r="A190" s="370" t="s">
        <v>180</v>
      </c>
      <c r="B190" s="371"/>
      <c r="C190" s="142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</row>
    <row r="191" spans="1:14" x14ac:dyDescent="0.2">
      <c r="A191" s="370" t="s">
        <v>214</v>
      </c>
      <c r="B191" s="371"/>
      <c r="C191" s="73"/>
      <c r="D191" s="329"/>
      <c r="E191" s="73"/>
      <c r="F191" s="73"/>
      <c r="G191" s="73"/>
      <c r="H191" s="73"/>
      <c r="I191" s="73"/>
      <c r="J191" s="73"/>
      <c r="K191" s="73"/>
      <c r="L191" s="73"/>
      <c r="M191" s="73"/>
      <c r="N191" s="73"/>
    </row>
    <row r="192" spans="1:14" s="165" customFormat="1" x14ac:dyDescent="0.2">
      <c r="A192" s="372" t="s">
        <v>179</v>
      </c>
      <c r="B192" s="373"/>
      <c r="C192" s="167">
        <v>4210.08</v>
      </c>
      <c r="D192" s="167">
        <v>454669.45</v>
      </c>
      <c r="E192" s="167">
        <v>380688.79</v>
      </c>
      <c r="F192" s="172">
        <v>152694.56</v>
      </c>
      <c r="G192" s="189"/>
      <c r="H192" s="163"/>
      <c r="I192" s="167"/>
      <c r="J192" s="189"/>
      <c r="K192" s="167"/>
      <c r="L192" s="172"/>
      <c r="M192" s="142"/>
      <c r="N192" s="163"/>
    </row>
    <row r="193" spans="1:14" x14ac:dyDescent="0.2">
      <c r="A193" s="372" t="s">
        <v>265</v>
      </c>
      <c r="B193" s="373"/>
      <c r="C193" s="73"/>
      <c r="D193" s="73"/>
      <c r="E193" s="73"/>
      <c r="F193" s="143"/>
      <c r="G193" s="73"/>
      <c r="H193" s="73"/>
      <c r="I193" s="73"/>
      <c r="J193" s="73"/>
      <c r="K193" s="73"/>
      <c r="L193" s="259">
        <v>0</v>
      </c>
      <c r="M193" s="73"/>
      <c r="N193" s="172">
        <v>0</v>
      </c>
    </row>
    <row r="194" spans="1:14" x14ac:dyDescent="0.2">
      <c r="A194" s="370" t="s">
        <v>216</v>
      </c>
      <c r="B194" s="371"/>
      <c r="C194" s="73"/>
      <c r="D194" s="171">
        <v>100</v>
      </c>
      <c r="E194" s="340">
        <v>6670</v>
      </c>
      <c r="F194" s="340">
        <v>1449.7</v>
      </c>
      <c r="G194" s="73"/>
      <c r="H194" s="171"/>
      <c r="I194" s="73"/>
      <c r="J194" s="73"/>
      <c r="K194" s="257"/>
      <c r="L194" s="257"/>
      <c r="M194" s="73"/>
      <c r="N194" s="172"/>
    </row>
    <row r="195" spans="1:14" x14ac:dyDescent="0.2">
      <c r="A195" s="85"/>
      <c r="B195" s="86"/>
      <c r="C195" s="73"/>
      <c r="D195" s="73"/>
      <c r="E195" s="73"/>
      <c r="F195" s="73"/>
      <c r="G195" s="73"/>
      <c r="H195" s="148"/>
      <c r="I195" s="73"/>
      <c r="J195" s="73"/>
      <c r="K195" s="73"/>
      <c r="L195" s="73"/>
      <c r="M195" s="73"/>
      <c r="N195" s="73"/>
    </row>
    <row r="196" spans="1:14" x14ac:dyDescent="0.2">
      <c r="B196" s="62" t="s">
        <v>87</v>
      </c>
      <c r="C196" s="74">
        <f t="shared" ref="C196:N196" si="40">SUM(C190:C195)</f>
        <v>4210.08</v>
      </c>
      <c r="D196" s="74">
        <f t="shared" si="40"/>
        <v>454769.45</v>
      </c>
      <c r="E196" s="74">
        <f t="shared" si="40"/>
        <v>387358.79</v>
      </c>
      <c r="F196" s="74">
        <f t="shared" si="40"/>
        <v>154144.26</v>
      </c>
      <c r="G196" s="74">
        <f t="shared" si="40"/>
        <v>0</v>
      </c>
      <c r="H196" s="74">
        <f t="shared" si="40"/>
        <v>0</v>
      </c>
      <c r="I196" s="74">
        <f t="shared" si="40"/>
        <v>0</v>
      </c>
      <c r="J196" s="74">
        <f t="shared" si="40"/>
        <v>0</v>
      </c>
      <c r="K196" s="74">
        <f t="shared" si="40"/>
        <v>0</v>
      </c>
      <c r="L196" s="74">
        <f t="shared" si="40"/>
        <v>0</v>
      </c>
      <c r="M196" s="74">
        <f t="shared" si="40"/>
        <v>0</v>
      </c>
      <c r="N196" s="74">
        <f t="shared" si="40"/>
        <v>0</v>
      </c>
    </row>
    <row r="197" spans="1:14" s="106" customFormat="1" x14ac:dyDescent="0.2">
      <c r="B197" s="107" t="s">
        <v>150</v>
      </c>
      <c r="C197" s="108">
        <f>C196</f>
        <v>4210.08</v>
      </c>
      <c r="D197" s="108">
        <f t="shared" ref="D197:N197" si="41">+C197+D196</f>
        <v>458979.53</v>
      </c>
      <c r="E197" s="108">
        <f t="shared" si="41"/>
        <v>846338.32000000007</v>
      </c>
      <c r="F197" s="108">
        <f t="shared" si="41"/>
        <v>1000482.5800000001</v>
      </c>
      <c r="G197" s="108">
        <f t="shared" si="41"/>
        <v>1000482.5800000001</v>
      </c>
      <c r="H197" s="108">
        <f t="shared" si="41"/>
        <v>1000482.5800000001</v>
      </c>
      <c r="I197" s="108">
        <f t="shared" si="41"/>
        <v>1000482.5800000001</v>
      </c>
      <c r="J197" s="108">
        <f t="shared" si="41"/>
        <v>1000482.5800000001</v>
      </c>
      <c r="K197" s="108">
        <f t="shared" si="41"/>
        <v>1000482.5800000001</v>
      </c>
      <c r="L197" s="108">
        <f t="shared" si="41"/>
        <v>1000482.5800000001</v>
      </c>
      <c r="M197" s="108">
        <f t="shared" si="41"/>
        <v>1000482.5800000001</v>
      </c>
      <c r="N197" s="108">
        <f t="shared" si="41"/>
        <v>1000482.5800000001</v>
      </c>
    </row>
    <row r="199" spans="1:14" x14ac:dyDescent="0.2">
      <c r="F199" s="76"/>
    </row>
    <row r="202" spans="1:14" x14ac:dyDescent="0.2">
      <c r="K202" t="s">
        <v>240</v>
      </c>
    </row>
    <row r="210" spans="4:4" x14ac:dyDescent="0.2">
      <c r="D210" s="127">
        <v>1786.76</v>
      </c>
    </row>
    <row r="211" spans="4:4" x14ac:dyDescent="0.2">
      <c r="D211" s="127">
        <v>31878.15</v>
      </c>
    </row>
    <row r="212" spans="4:4" x14ac:dyDescent="0.2">
      <c r="D212" s="127">
        <f>SUM(D210:D211)</f>
        <v>33664.910000000003</v>
      </c>
    </row>
  </sheetData>
  <mergeCells count="76">
    <mergeCell ref="A193:B193"/>
    <mergeCell ref="A179:B179"/>
    <mergeCell ref="A178:B178"/>
    <mergeCell ref="A173:B173"/>
    <mergeCell ref="A157:B157"/>
    <mergeCell ref="A158:B158"/>
    <mergeCell ref="A159:B159"/>
    <mergeCell ref="A160:B160"/>
    <mergeCell ref="A161:B161"/>
    <mergeCell ref="A162:B162"/>
    <mergeCell ref="A168:B168"/>
    <mergeCell ref="A169:B169"/>
    <mergeCell ref="A170:B170"/>
    <mergeCell ref="A171:B171"/>
    <mergeCell ref="A172:B172"/>
    <mergeCell ref="A106:A110"/>
    <mergeCell ref="A113:B113"/>
    <mergeCell ref="A114:B114"/>
    <mergeCell ref="A99:B99"/>
    <mergeCell ref="A194:B194"/>
    <mergeCell ref="A176:B176"/>
    <mergeCell ref="A135:A136"/>
    <mergeCell ref="A166:B166"/>
    <mergeCell ref="A167:B167"/>
    <mergeCell ref="A139:B139"/>
    <mergeCell ref="A146:B146"/>
    <mergeCell ref="A147:A148"/>
    <mergeCell ref="A149:A150"/>
    <mergeCell ref="A151:A152"/>
    <mergeCell ref="A182:B182"/>
    <mergeCell ref="A183:B183"/>
    <mergeCell ref="A2:B2"/>
    <mergeCell ref="A1:B1"/>
    <mergeCell ref="A177:B177"/>
    <mergeCell ref="A74:B74"/>
    <mergeCell ref="A62:B62"/>
    <mergeCell ref="A63:A64"/>
    <mergeCell ref="A20:A26"/>
    <mergeCell ref="A38:A44"/>
    <mergeCell ref="A123:B123"/>
    <mergeCell ref="A85:B85"/>
    <mergeCell ref="A3:B3"/>
    <mergeCell ref="A65:A66"/>
    <mergeCell ref="A4:A10"/>
    <mergeCell ref="A12:A18"/>
    <mergeCell ref="A130:B130"/>
    <mergeCell ref="A131:A132"/>
    <mergeCell ref="A37:B37"/>
    <mergeCell ref="A28:A34"/>
    <mergeCell ref="A46:B46"/>
    <mergeCell ref="A47:A53"/>
    <mergeCell ref="A54:A60"/>
    <mergeCell ref="A86:B86"/>
    <mergeCell ref="A156:B156"/>
    <mergeCell ref="A124:A125"/>
    <mergeCell ref="A126:A127"/>
    <mergeCell ref="A128:A129"/>
    <mergeCell ref="A155:B155"/>
    <mergeCell ref="A138:B138"/>
    <mergeCell ref="A119:A120"/>
    <mergeCell ref="A140:A141"/>
    <mergeCell ref="A133:A134"/>
    <mergeCell ref="A142:A143"/>
    <mergeCell ref="A144:A145"/>
    <mergeCell ref="A87:A91"/>
    <mergeCell ref="A93:A97"/>
    <mergeCell ref="A115:A116"/>
    <mergeCell ref="A100:A104"/>
    <mergeCell ref="A180:B180"/>
    <mergeCell ref="A181:B181"/>
    <mergeCell ref="A192:B192"/>
    <mergeCell ref="A191:B191"/>
    <mergeCell ref="A190:B190"/>
    <mergeCell ref="A189:B189"/>
    <mergeCell ref="A188:B188"/>
    <mergeCell ref="A184:B184"/>
  </mergeCells>
  <phoneticPr fontId="33" type="noConversion"/>
  <pageMargins left="7.874015748031496E-2" right="7.874015748031496E-2" top="0.11811023622047245" bottom="7.874015748031496E-2" header="0.11811023622047245" footer="0.11811023622047245"/>
  <pageSetup paperSize="9" orientation="landscape" verticalDpi="597" r:id="rId1"/>
  <headerFooter alignWithMargins="0"/>
  <ignoredErrors>
    <ignoredError sqref="D14" formula="1"/>
    <ignoredError sqref="E196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N47"/>
  <sheetViews>
    <sheetView showGridLines="0" zoomScale="120" zoomScaleNormal="120" workbookViewId="0">
      <selection activeCell="D22" sqref="D22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3" width="35.42578125" style="1" bestFit="1" customWidth="1"/>
    <col min="4" max="4" width="17" style="1" customWidth="1"/>
    <col min="5" max="9" width="9.85546875" style="1" customWidth="1"/>
    <col min="10" max="10" width="7.28515625" style="1" customWidth="1"/>
    <col min="11" max="11" width="15.5703125" style="24" customWidth="1"/>
    <col min="12" max="12" width="10.5703125" style="1" bestFit="1" customWidth="1"/>
    <col min="13" max="13" width="6.85546875" style="1"/>
    <col min="14" max="14" width="12" style="1" bestFit="1" customWidth="1"/>
    <col min="15" max="16384" width="6.85546875" style="1"/>
  </cols>
  <sheetData>
    <row r="1" spans="1:14" ht="13.5" customHeight="1" x14ac:dyDescent="0.2">
      <c r="C1" s="149"/>
    </row>
    <row r="3" spans="1:14" ht="13.5" customHeight="1" x14ac:dyDescent="0.2">
      <c r="A3" s="401" t="s">
        <v>0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</row>
    <row r="4" spans="1:14" ht="15" customHeight="1" x14ac:dyDescent="0.2">
      <c r="A4" s="401" t="s">
        <v>134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</row>
    <row r="5" spans="1:14" ht="15" customHeight="1" x14ac:dyDescent="0.2">
      <c r="A5" s="402">
        <v>43556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N5" s="2"/>
    </row>
    <row r="6" spans="1:14" ht="19.5" customHeight="1" x14ac:dyDescent="0.2">
      <c r="A6" s="404" t="s">
        <v>3</v>
      </c>
      <c r="B6" s="405"/>
      <c r="C6" s="405"/>
      <c r="D6" s="405"/>
      <c r="E6" s="404" t="s">
        <v>4</v>
      </c>
      <c r="F6" s="405"/>
      <c r="G6" s="405"/>
      <c r="H6" s="405"/>
      <c r="I6" s="405"/>
      <c r="J6" s="405"/>
      <c r="K6" s="406"/>
    </row>
    <row r="7" spans="1:14" ht="19.5" customHeight="1" x14ac:dyDescent="0.2">
      <c r="A7" s="398" t="s">
        <v>5</v>
      </c>
      <c r="B7" s="399"/>
      <c r="C7" s="399"/>
      <c r="D7" s="5" t="s">
        <v>6</v>
      </c>
      <c r="E7" s="398" t="s">
        <v>5</v>
      </c>
      <c r="F7" s="399"/>
      <c r="G7" s="399"/>
      <c r="H7" s="399"/>
      <c r="I7" s="399"/>
      <c r="J7" s="400"/>
      <c r="K7" s="5" t="s">
        <v>6</v>
      </c>
    </row>
    <row r="8" spans="1:14" ht="13.5" customHeight="1" x14ac:dyDescent="0.2">
      <c r="A8" s="407" t="s">
        <v>7</v>
      </c>
      <c r="B8" s="408"/>
      <c r="C8" s="408"/>
      <c r="D8" s="102">
        <f>+$D$9+$D$13</f>
        <v>6814712.7400000012</v>
      </c>
      <c r="E8" s="407" t="s">
        <v>8</v>
      </c>
      <c r="F8" s="408"/>
      <c r="G8" s="408"/>
      <c r="H8" s="408"/>
      <c r="I8" s="408"/>
      <c r="J8" s="409"/>
      <c r="K8" s="102">
        <f>+$K$13+$K$9</f>
        <v>40919767.469999999</v>
      </c>
    </row>
    <row r="9" spans="1:14" ht="13.5" customHeight="1" x14ac:dyDescent="0.2">
      <c r="A9" s="410" t="s">
        <v>9</v>
      </c>
      <c r="B9" s="411"/>
      <c r="C9" s="411"/>
      <c r="D9" s="11">
        <f>SUM(D10:D12)</f>
        <v>0</v>
      </c>
      <c r="E9" s="410" t="s">
        <v>9</v>
      </c>
      <c r="F9" s="411"/>
      <c r="G9" s="411"/>
      <c r="H9" s="411"/>
      <c r="I9" s="411"/>
      <c r="J9" s="412"/>
      <c r="K9" s="11">
        <f>SUM(K10:K12)</f>
        <v>0</v>
      </c>
    </row>
    <row r="10" spans="1:14" ht="13.5" customHeight="1" x14ac:dyDescent="0.2">
      <c r="A10" s="413" t="s">
        <v>10</v>
      </c>
      <c r="B10" s="414"/>
      <c r="C10" s="414"/>
      <c r="D10" s="150">
        <v>0</v>
      </c>
      <c r="E10" s="413" t="s">
        <v>10</v>
      </c>
      <c r="F10" s="414"/>
      <c r="G10" s="414"/>
      <c r="H10" s="414"/>
      <c r="I10" s="414"/>
      <c r="J10" s="415"/>
      <c r="K10" s="11"/>
    </row>
    <row r="11" spans="1:14" ht="13.5" customHeight="1" x14ac:dyDescent="0.2">
      <c r="A11" s="413" t="s">
        <v>11</v>
      </c>
      <c r="B11" s="416"/>
      <c r="C11" s="416"/>
      <c r="D11" s="11"/>
      <c r="E11" s="413" t="s">
        <v>11</v>
      </c>
      <c r="F11" s="416"/>
      <c r="G11" s="416"/>
      <c r="H11" s="416"/>
      <c r="I11" s="416"/>
      <c r="J11" s="415"/>
      <c r="K11" s="11"/>
    </row>
    <row r="12" spans="1:14" ht="13.5" customHeight="1" x14ac:dyDescent="0.2">
      <c r="A12" s="413" t="s">
        <v>12</v>
      </c>
      <c r="B12" s="416"/>
      <c r="C12" s="416"/>
      <c r="D12" s="11"/>
      <c r="E12" s="413" t="s">
        <v>12</v>
      </c>
      <c r="F12" s="416"/>
      <c r="G12" s="416"/>
      <c r="H12" s="416"/>
      <c r="I12" s="416"/>
      <c r="J12" s="415"/>
      <c r="K12" s="11"/>
    </row>
    <row r="13" spans="1:14" ht="13.5" customHeight="1" x14ac:dyDescent="0.2">
      <c r="A13" s="417" t="s">
        <v>13</v>
      </c>
      <c r="B13" s="418"/>
      <c r="C13" s="418"/>
      <c r="D13" s="105">
        <f>SUM($D$14:$D$20)</f>
        <v>6814712.7400000012</v>
      </c>
      <c r="E13" s="417" t="s">
        <v>13</v>
      </c>
      <c r="F13" s="418"/>
      <c r="G13" s="418"/>
      <c r="H13" s="418"/>
      <c r="I13" s="418"/>
      <c r="J13" s="419"/>
      <c r="K13" s="105">
        <f>SUM(K14:K20)</f>
        <v>40919767.469999999</v>
      </c>
    </row>
    <row r="14" spans="1:14" ht="13.5" customHeight="1" x14ac:dyDescent="0.2">
      <c r="A14" s="413" t="s">
        <v>14</v>
      </c>
      <c r="B14" s="414"/>
      <c r="C14" s="414"/>
      <c r="D14" s="11"/>
      <c r="E14" s="413" t="s">
        <v>14</v>
      </c>
      <c r="F14" s="414"/>
      <c r="G14" s="414"/>
      <c r="H14" s="414"/>
      <c r="I14" s="414"/>
      <c r="J14" s="415"/>
      <c r="K14" s="11"/>
    </row>
    <row r="15" spans="1:14" ht="13.5" customHeight="1" x14ac:dyDescent="0.2">
      <c r="A15" s="413" t="s">
        <v>15</v>
      </c>
      <c r="B15" s="416"/>
      <c r="C15" s="416"/>
      <c r="D15" s="11"/>
      <c r="E15" s="413" t="s">
        <v>15</v>
      </c>
      <c r="F15" s="416"/>
      <c r="G15" s="416"/>
      <c r="H15" s="416"/>
      <c r="I15" s="416"/>
      <c r="J15" s="415"/>
      <c r="K15" s="11"/>
    </row>
    <row r="16" spans="1:14" ht="13.5" customHeight="1" x14ac:dyDescent="0.2">
      <c r="A16" s="413" t="s">
        <v>16</v>
      </c>
      <c r="B16" s="416"/>
      <c r="C16" s="416"/>
      <c r="D16" s="11"/>
      <c r="E16" s="413" t="s">
        <v>16</v>
      </c>
      <c r="F16" s="416"/>
      <c r="G16" s="416"/>
      <c r="H16" s="416"/>
      <c r="I16" s="416"/>
      <c r="J16" s="415"/>
      <c r="K16" s="11"/>
    </row>
    <row r="17" spans="1:12" ht="13.5" customHeight="1" x14ac:dyDescent="0.2">
      <c r="A17" s="413" t="s">
        <v>17</v>
      </c>
      <c r="B17" s="416"/>
      <c r="C17" s="416"/>
      <c r="D17" s="11"/>
      <c r="E17" s="413" t="s">
        <v>17</v>
      </c>
      <c r="F17" s="416"/>
      <c r="G17" s="416"/>
      <c r="H17" s="416"/>
      <c r="I17" s="416"/>
      <c r="J17" s="415"/>
      <c r="K17" s="11"/>
    </row>
    <row r="18" spans="1:12" ht="13.5" customHeight="1" x14ac:dyDescent="0.2">
      <c r="A18" s="413" t="s">
        <v>18</v>
      </c>
      <c r="B18" s="416"/>
      <c r="C18" s="416"/>
      <c r="D18" s="151">
        <f>HLOOKUP($A$5,DADOS!1:174,35,0)</f>
        <v>6814712.7400000012</v>
      </c>
      <c r="E18" s="413" t="s">
        <v>18</v>
      </c>
      <c r="F18" s="416"/>
      <c r="G18" s="416"/>
      <c r="H18" s="416"/>
      <c r="I18" s="416"/>
      <c r="J18" s="415"/>
      <c r="K18" s="103">
        <f>HLOOKUP($A$5,DADOS!1:174,87,0)</f>
        <v>40919767.469999999</v>
      </c>
    </row>
    <row r="19" spans="1:12" ht="13.5" customHeight="1" x14ac:dyDescent="0.2">
      <c r="A19" s="413" t="s">
        <v>19</v>
      </c>
      <c r="B19" s="416"/>
      <c r="C19" s="416"/>
      <c r="D19" s="11"/>
      <c r="E19" s="413" t="s">
        <v>19</v>
      </c>
      <c r="F19" s="416"/>
      <c r="G19" s="416"/>
      <c r="H19" s="416"/>
      <c r="I19" s="416"/>
      <c r="J19" s="415"/>
      <c r="K19" s="11"/>
    </row>
    <row r="20" spans="1:12" ht="13.5" customHeight="1" x14ac:dyDescent="0.2">
      <c r="A20" s="420" t="s">
        <v>20</v>
      </c>
      <c r="B20" s="421"/>
      <c r="C20" s="421"/>
      <c r="D20" s="151">
        <f>HLOOKUP($A$5,DADOS!1:174,44,0)+HLOOKUP($A$5,DADOS!1:174,53,0)+HLOOKUP($A$5,DADOS!1:174,60,0)</f>
        <v>0</v>
      </c>
      <c r="E20" s="420" t="s">
        <v>20</v>
      </c>
      <c r="F20" s="421"/>
      <c r="G20" s="421"/>
      <c r="H20" s="421"/>
      <c r="I20" s="421"/>
      <c r="J20" s="422"/>
      <c r="K20" s="11"/>
    </row>
    <row r="21" spans="1:12" ht="13.5" customHeight="1" x14ac:dyDescent="0.2">
      <c r="A21" s="407" t="s">
        <v>21</v>
      </c>
      <c r="B21" s="408"/>
      <c r="C21" s="408"/>
      <c r="D21" s="14">
        <f>SUBTOTAL(9,$D$22:$D$25)</f>
        <v>0</v>
      </c>
      <c r="E21" s="407" t="s">
        <v>22</v>
      </c>
      <c r="F21" s="408"/>
      <c r="G21" s="408"/>
      <c r="H21" s="408"/>
      <c r="I21" s="408"/>
      <c r="J21" s="409"/>
      <c r="K21" s="14">
        <f>SUBTOTAL(9,$K$22:$K$25)</f>
        <v>343065</v>
      </c>
    </row>
    <row r="22" spans="1:12" ht="13.5" customHeight="1" x14ac:dyDescent="0.2">
      <c r="A22" s="410" t="s">
        <v>23</v>
      </c>
      <c r="B22" s="423"/>
      <c r="C22" s="423"/>
      <c r="D22" s="88">
        <f>HLOOKUP($A$5,DADOS!1:174,163,0)</f>
        <v>0</v>
      </c>
      <c r="E22" s="410" t="s">
        <v>23</v>
      </c>
      <c r="F22" s="411"/>
      <c r="G22" s="411"/>
      <c r="H22" s="411"/>
      <c r="I22" s="411"/>
      <c r="J22" s="412"/>
      <c r="K22" s="88">
        <f>HLOOKUP($A$5,DADOS!1:174,174,0)</f>
        <v>343065</v>
      </c>
    </row>
    <row r="23" spans="1:12" ht="13.5" customHeight="1" x14ac:dyDescent="0.2">
      <c r="A23" s="417" t="s">
        <v>24</v>
      </c>
      <c r="B23" s="418"/>
      <c r="C23" s="418"/>
      <c r="D23" s="11"/>
      <c r="E23" s="417" t="s">
        <v>24</v>
      </c>
      <c r="F23" s="418"/>
      <c r="G23" s="418"/>
      <c r="H23" s="418"/>
      <c r="I23" s="418"/>
      <c r="J23" s="419"/>
      <c r="K23" s="11"/>
    </row>
    <row r="24" spans="1:12" ht="13.5" customHeight="1" x14ac:dyDescent="0.2">
      <c r="A24" s="417" t="s">
        <v>25</v>
      </c>
      <c r="B24" s="418"/>
      <c r="C24" s="418"/>
      <c r="D24" s="11"/>
      <c r="E24" s="417" t="s">
        <v>25</v>
      </c>
      <c r="F24" s="418"/>
      <c r="G24" s="418"/>
      <c r="H24" s="418"/>
      <c r="I24" s="418"/>
      <c r="J24" s="419"/>
      <c r="K24" s="11"/>
    </row>
    <row r="25" spans="1:12" ht="13.5" customHeight="1" x14ac:dyDescent="0.2">
      <c r="A25" s="424" t="s">
        <v>26</v>
      </c>
      <c r="B25" s="425"/>
      <c r="C25" s="425"/>
      <c r="D25" s="11"/>
      <c r="E25" s="424" t="s">
        <v>26</v>
      </c>
      <c r="F25" s="426"/>
      <c r="G25" s="426"/>
      <c r="H25" s="426"/>
      <c r="I25" s="426"/>
      <c r="J25" s="427"/>
      <c r="K25" s="11"/>
    </row>
    <row r="26" spans="1:12" ht="13.5" customHeight="1" x14ac:dyDescent="0.2">
      <c r="A26" s="407" t="s">
        <v>27</v>
      </c>
      <c r="B26" s="408"/>
      <c r="C26" s="408"/>
      <c r="D26" s="14">
        <f>SUBTOTAL(9,$D$27:$D$32)</f>
        <v>28843656.549999997</v>
      </c>
      <c r="E26" s="407" t="s">
        <v>28</v>
      </c>
      <c r="F26" s="408"/>
      <c r="G26" s="408"/>
      <c r="H26" s="408"/>
      <c r="I26" s="408"/>
      <c r="J26" s="409"/>
      <c r="K26" s="14">
        <f>SUBTOTAL(9,$K$27:$K$32)</f>
        <v>2155918.8200000003</v>
      </c>
    </row>
    <row r="27" spans="1:12" ht="13.5" customHeight="1" x14ac:dyDescent="0.2">
      <c r="A27" s="410" t="s">
        <v>29</v>
      </c>
      <c r="B27" s="423"/>
      <c r="C27" s="423"/>
      <c r="D27" s="11"/>
      <c r="E27" s="410" t="s">
        <v>30</v>
      </c>
      <c r="F27" s="423"/>
      <c r="G27" s="423"/>
      <c r="H27" s="423"/>
      <c r="I27" s="423"/>
      <c r="J27" s="412"/>
      <c r="K27" s="11"/>
    </row>
    <row r="28" spans="1:12" ht="13.5" customHeight="1" x14ac:dyDescent="0.2">
      <c r="A28" s="417" t="s">
        <v>31</v>
      </c>
      <c r="B28" s="428"/>
      <c r="C28" s="428"/>
      <c r="D28" s="103">
        <f>HLOOKUP($A$5,DADOS!1:174,91,0)</f>
        <v>18516152.629999999</v>
      </c>
      <c r="E28" s="417" t="s">
        <v>32</v>
      </c>
      <c r="F28" s="428"/>
      <c r="G28" s="428"/>
      <c r="H28" s="428"/>
      <c r="I28" s="428"/>
      <c r="J28" s="419"/>
      <c r="K28" s="103">
        <f>HLOOKUP($A$5,DADOS!1:174,115,0)</f>
        <v>1075558.0900000001</v>
      </c>
    </row>
    <row r="29" spans="1:12" ht="13.5" customHeight="1" x14ac:dyDescent="0.2">
      <c r="A29" s="417" t="s">
        <v>33</v>
      </c>
      <c r="B29" s="418"/>
      <c r="C29" s="418"/>
      <c r="D29" s="11"/>
      <c r="E29" s="417" t="s">
        <v>137</v>
      </c>
      <c r="F29" s="418"/>
      <c r="G29" s="418"/>
      <c r="H29" s="418"/>
      <c r="I29" s="418"/>
      <c r="J29" s="419"/>
      <c r="K29" s="11"/>
    </row>
    <row r="30" spans="1:12" ht="13.5" customHeight="1" x14ac:dyDescent="0.2">
      <c r="A30" s="417" t="s">
        <v>35</v>
      </c>
      <c r="B30" s="418"/>
      <c r="C30" s="418"/>
      <c r="D30" s="103">
        <f>HLOOKUP($A$5,DADOS!1:174,89,0)-HLOOKUP($A$5,DADOS!1:174,90,0)</f>
        <v>430777.52</v>
      </c>
      <c r="E30" s="417" t="s">
        <v>36</v>
      </c>
      <c r="F30" s="418"/>
      <c r="G30" s="418"/>
      <c r="H30" s="418"/>
      <c r="I30" s="418"/>
      <c r="J30" s="419"/>
      <c r="K30" s="103">
        <f>HLOOKUP($A$5,DADOS!1:176,116,0)</f>
        <v>79878.149999999994</v>
      </c>
    </row>
    <row r="31" spans="1:12" ht="13.5" customHeight="1" x14ac:dyDescent="0.2">
      <c r="A31" s="417" t="s">
        <v>37</v>
      </c>
      <c r="B31" s="418"/>
      <c r="C31" s="418"/>
      <c r="D31" s="11"/>
      <c r="E31" s="417" t="s">
        <v>37</v>
      </c>
      <c r="F31" s="418"/>
      <c r="G31" s="418"/>
      <c r="H31" s="418"/>
      <c r="I31" s="418"/>
      <c r="J31" s="419"/>
      <c r="K31" s="11"/>
    </row>
    <row r="32" spans="1:12" ht="13.5" customHeight="1" x14ac:dyDescent="0.2">
      <c r="A32" s="424" t="s">
        <v>38</v>
      </c>
      <c r="B32" s="426"/>
      <c r="C32" s="426"/>
      <c r="D32" s="88">
        <f>HLOOKUP($A$5,DADOS!1:197,186,0)</f>
        <v>9896726.3999999985</v>
      </c>
      <c r="E32" s="424" t="s">
        <v>39</v>
      </c>
      <c r="F32" s="426"/>
      <c r="G32" s="426"/>
      <c r="H32" s="426"/>
      <c r="I32" s="426"/>
      <c r="J32" s="427"/>
      <c r="K32" s="88">
        <f>HLOOKUP($A$5,DADOS!1:197,197,0)</f>
        <v>1000482.5800000001</v>
      </c>
      <c r="L32" s="32"/>
    </row>
    <row r="33" spans="1:11" ht="13.5" customHeight="1" x14ac:dyDescent="0.2">
      <c r="A33" s="407" t="s">
        <v>40</v>
      </c>
      <c r="B33" s="408"/>
      <c r="C33" s="408"/>
      <c r="D33" s="102">
        <f>SUBTOTAL(9,$D$35:$D$36)</f>
        <v>230058548.22</v>
      </c>
      <c r="E33" s="407" t="s">
        <v>41</v>
      </c>
      <c r="F33" s="408"/>
      <c r="G33" s="408"/>
      <c r="H33" s="408"/>
      <c r="I33" s="408"/>
      <c r="J33" s="409"/>
      <c r="K33" s="102">
        <f>SUBTOTAL(9,$K$35:$K$36)</f>
        <v>222298166.22</v>
      </c>
    </row>
    <row r="34" spans="1:11" ht="13.5" customHeight="1" x14ac:dyDescent="0.2">
      <c r="A34" s="410" t="s">
        <v>42</v>
      </c>
      <c r="B34" s="423"/>
      <c r="C34" s="423"/>
      <c r="D34" s="11"/>
      <c r="E34" s="410" t="s">
        <v>42</v>
      </c>
      <c r="F34" s="423"/>
      <c r="G34" s="423"/>
      <c r="H34" s="423"/>
      <c r="I34" s="423"/>
      <c r="J34" s="412"/>
      <c r="K34" s="12"/>
    </row>
    <row r="35" spans="1:11" ht="13.5" customHeight="1" x14ac:dyDescent="0.2">
      <c r="A35" s="417" t="s">
        <v>43</v>
      </c>
      <c r="B35" s="428"/>
      <c r="C35" s="428"/>
      <c r="D35" s="104">
        <f>DADOS!B83</f>
        <v>230058548.22</v>
      </c>
      <c r="E35" s="417" t="s">
        <v>43</v>
      </c>
      <c r="F35" s="428"/>
      <c r="G35" s="428"/>
      <c r="H35" s="428"/>
      <c r="I35" s="428"/>
      <c r="J35" s="419"/>
      <c r="K35" s="103">
        <f>HLOOKUP($A$5,DADOS!1:182,83,0)</f>
        <v>222298166.22</v>
      </c>
    </row>
    <row r="36" spans="1:11" ht="13.5" customHeight="1" x14ac:dyDescent="0.2">
      <c r="A36" s="424" t="s">
        <v>37</v>
      </c>
      <c r="B36" s="426"/>
      <c r="C36" s="426"/>
      <c r="D36" s="11"/>
      <c r="E36" s="424" t="s">
        <v>37</v>
      </c>
      <c r="F36" s="426"/>
      <c r="G36" s="426"/>
      <c r="H36" s="426"/>
      <c r="I36" s="426"/>
      <c r="J36" s="431"/>
      <c r="K36" s="11"/>
    </row>
    <row r="37" spans="1:11" ht="13.5" customHeight="1" x14ac:dyDescent="0.2">
      <c r="A37" s="407" t="s">
        <v>44</v>
      </c>
      <c r="B37" s="432"/>
      <c r="C37" s="432"/>
      <c r="D37" s="16">
        <f>+$D$33+$D$26+$D$21+$D$8</f>
        <v>265716917.50999999</v>
      </c>
      <c r="E37" s="407" t="s">
        <v>45</v>
      </c>
      <c r="F37" s="432"/>
      <c r="G37" s="432"/>
      <c r="H37" s="432"/>
      <c r="I37" s="432"/>
      <c r="J37" s="409"/>
      <c r="K37" s="16">
        <f>+$K$33+$K$26+$K$21+$K$8</f>
        <v>265716917.50999999</v>
      </c>
    </row>
    <row r="38" spans="1:11" ht="13.5" customHeight="1" x14ac:dyDescent="0.2">
      <c r="A38" s="18" t="s">
        <v>129</v>
      </c>
      <c r="B38" s="19"/>
      <c r="C38" s="113"/>
      <c r="D38" s="20">
        <f>D37-K37</f>
        <v>0</v>
      </c>
      <c r="E38" s="113"/>
      <c r="F38" s="19"/>
      <c r="G38" s="19"/>
      <c r="H38" s="20"/>
      <c r="I38" s="20"/>
      <c r="J38" s="20"/>
      <c r="K38" s="21">
        <f>K37-D37</f>
        <v>0</v>
      </c>
    </row>
    <row r="39" spans="1:11" ht="13.5" customHeight="1" x14ac:dyDescent="0.2">
      <c r="A39" s="22"/>
      <c r="B39" s="22"/>
      <c r="C39" s="141"/>
      <c r="D39" s="113"/>
      <c r="E39" s="22"/>
      <c r="F39" s="22"/>
      <c r="G39" s="22"/>
      <c r="H39" s="22"/>
      <c r="I39" s="22"/>
      <c r="J39" s="22"/>
      <c r="K39" s="23"/>
    </row>
    <row r="40" spans="1:11" ht="13.5" customHeight="1" x14ac:dyDescent="0.2">
      <c r="A40" s="18" t="s">
        <v>130</v>
      </c>
      <c r="B40" s="22"/>
      <c r="C40" s="113"/>
      <c r="D40" s="113"/>
      <c r="E40" s="22"/>
      <c r="F40" s="22"/>
      <c r="G40" s="22"/>
      <c r="H40" s="22"/>
      <c r="I40" s="22"/>
      <c r="J40" s="22"/>
      <c r="K40" s="169"/>
    </row>
    <row r="41" spans="1:11" ht="13.5" customHeight="1" x14ac:dyDescent="0.2">
      <c r="A41" s="18"/>
      <c r="B41" s="22"/>
      <c r="D41" s="113"/>
      <c r="E41" s="22"/>
      <c r="F41" s="22"/>
      <c r="G41" s="22"/>
      <c r="H41" s="22"/>
      <c r="I41" s="22"/>
      <c r="J41" s="22"/>
    </row>
    <row r="42" spans="1:11" ht="13.5" customHeight="1" x14ac:dyDescent="0.2">
      <c r="A42" s="18"/>
      <c r="B42" s="22"/>
      <c r="C42" s="113"/>
      <c r="D42" s="140"/>
      <c r="E42" s="22"/>
      <c r="F42" s="22"/>
      <c r="G42" s="22"/>
      <c r="H42" s="22"/>
      <c r="I42" s="22"/>
      <c r="J42" s="22"/>
    </row>
    <row r="43" spans="1:11" ht="13.5" customHeight="1" x14ac:dyDescent="0.2">
      <c r="A43" s="18"/>
      <c r="B43" s="22"/>
      <c r="C43" s="22"/>
      <c r="D43" s="140"/>
      <c r="E43" s="22"/>
      <c r="F43" s="22"/>
      <c r="G43" s="22"/>
      <c r="H43" s="22"/>
      <c r="I43" s="22"/>
      <c r="J43" s="22"/>
    </row>
    <row r="45" spans="1:11" ht="13.5" customHeight="1" x14ac:dyDescent="0.2">
      <c r="C45" s="80" t="s">
        <v>131</v>
      </c>
      <c r="D45" s="429" t="s">
        <v>131</v>
      </c>
      <c r="E45" s="429"/>
      <c r="F45" s="429"/>
      <c r="G45" s="430" t="s">
        <v>131</v>
      </c>
      <c r="H45" s="430"/>
      <c r="I45" s="430"/>
      <c r="J45" s="430"/>
    </row>
    <row r="46" spans="1:11" ht="13.5" customHeight="1" x14ac:dyDescent="0.2">
      <c r="B46" s="81"/>
      <c r="C46" s="82"/>
      <c r="D46" s="83"/>
      <c r="E46" s="83" t="s">
        <v>132</v>
      </c>
      <c r="F46" s="83"/>
      <c r="G46" s="83"/>
      <c r="H46" s="83" t="s">
        <v>132</v>
      </c>
      <c r="I46" s="83"/>
      <c r="J46" s="83"/>
    </row>
    <row r="47" spans="1:11" ht="13.5" customHeight="1" x14ac:dyDescent="0.2">
      <c r="D47" s="84"/>
      <c r="E47" s="84" t="s">
        <v>133</v>
      </c>
      <c r="F47" s="84"/>
      <c r="G47" s="84"/>
      <c r="H47" s="84" t="s">
        <v>133</v>
      </c>
      <c r="I47" s="84"/>
      <c r="J47" s="84"/>
    </row>
  </sheetData>
  <mergeCells count="69">
    <mergeCell ref="D45:F45"/>
    <mergeCell ref="G45:J45"/>
    <mergeCell ref="A35:C35"/>
    <mergeCell ref="E35:J35"/>
    <mergeCell ref="A36:C36"/>
    <mergeCell ref="E36:J36"/>
    <mergeCell ref="A37:C37"/>
    <mergeCell ref="E37:J37"/>
    <mergeCell ref="A32:C32"/>
    <mergeCell ref="E32:J32"/>
    <mergeCell ref="A33:C33"/>
    <mergeCell ref="E33:J33"/>
    <mergeCell ref="A34:C34"/>
    <mergeCell ref="E34:J34"/>
    <mergeCell ref="A29:C29"/>
    <mergeCell ref="E29:J29"/>
    <mergeCell ref="A30:C30"/>
    <mergeCell ref="E30:J30"/>
    <mergeCell ref="A31:C31"/>
    <mergeCell ref="E31:J31"/>
    <mergeCell ref="A26:C26"/>
    <mergeCell ref="E26:J26"/>
    <mergeCell ref="A27:C27"/>
    <mergeCell ref="E27:J27"/>
    <mergeCell ref="A28:C28"/>
    <mergeCell ref="E28:J28"/>
    <mergeCell ref="A23:C23"/>
    <mergeCell ref="E23:J23"/>
    <mergeCell ref="A24:C24"/>
    <mergeCell ref="E24:J24"/>
    <mergeCell ref="A25:C25"/>
    <mergeCell ref="E25:J25"/>
    <mergeCell ref="A20:C20"/>
    <mergeCell ref="E20:J20"/>
    <mergeCell ref="A21:C21"/>
    <mergeCell ref="E21:J21"/>
    <mergeCell ref="A22:C22"/>
    <mergeCell ref="E22:J22"/>
    <mergeCell ref="A17:C17"/>
    <mergeCell ref="E17:J17"/>
    <mergeCell ref="A18:C18"/>
    <mergeCell ref="E18:J18"/>
    <mergeCell ref="A19:C19"/>
    <mergeCell ref="E19:J19"/>
    <mergeCell ref="A14:C14"/>
    <mergeCell ref="E14:J14"/>
    <mergeCell ref="A15:C15"/>
    <mergeCell ref="E15:J15"/>
    <mergeCell ref="A16:C16"/>
    <mergeCell ref="E16:J16"/>
    <mergeCell ref="A11:C11"/>
    <mergeCell ref="E11:J11"/>
    <mergeCell ref="A12:C12"/>
    <mergeCell ref="E12:J12"/>
    <mergeCell ref="A13:C13"/>
    <mergeCell ref="E13:J13"/>
    <mergeCell ref="A8:C8"/>
    <mergeCell ref="E8:J8"/>
    <mergeCell ref="A9:C9"/>
    <mergeCell ref="E9:J9"/>
    <mergeCell ref="A10:C10"/>
    <mergeCell ref="E10:J10"/>
    <mergeCell ref="A7:C7"/>
    <mergeCell ref="E7:J7"/>
    <mergeCell ref="A3:K3"/>
    <mergeCell ref="A4:K4"/>
    <mergeCell ref="A5:K5"/>
    <mergeCell ref="A6:D6"/>
    <mergeCell ref="E6:K6"/>
  </mergeCells>
  <phoneticPr fontId="33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K45"/>
  <sheetViews>
    <sheetView showGridLines="0" topLeftCell="A16" zoomScale="140" zoomScaleNormal="140" workbookViewId="0">
      <selection activeCell="D20" sqref="D20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3" width="35.42578125" style="1" bestFit="1" customWidth="1"/>
    <col min="4" max="4" width="15.140625" style="1" customWidth="1"/>
    <col min="5" max="9" width="9.85546875" style="1" customWidth="1"/>
    <col min="10" max="10" width="7.28515625" style="1" customWidth="1"/>
    <col min="11" max="11" width="15.5703125" style="24" customWidth="1"/>
    <col min="12" max="16384" width="6.85546875" style="1"/>
  </cols>
  <sheetData>
    <row r="1" spans="1:11" ht="13.5" customHeight="1" x14ac:dyDescent="0.2">
      <c r="A1" s="401" t="s">
        <v>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</row>
    <row r="2" spans="1:11" ht="15" customHeight="1" x14ac:dyDescent="0.2">
      <c r="A2" s="401" t="s">
        <v>135</v>
      </c>
      <c r="B2" s="401"/>
      <c r="C2" s="401"/>
      <c r="D2" s="401"/>
      <c r="E2" s="401"/>
      <c r="F2" s="401"/>
      <c r="G2" s="401"/>
      <c r="H2" s="401"/>
      <c r="I2" s="401"/>
      <c r="J2" s="401"/>
      <c r="K2" s="401"/>
    </row>
    <row r="3" spans="1:11" ht="15" customHeight="1" x14ac:dyDescent="0.2">
      <c r="A3" s="433">
        <f>'B.F. 05'!A5:K5</f>
        <v>43556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</row>
    <row r="4" spans="1:11" ht="19.5" customHeight="1" x14ac:dyDescent="0.2">
      <c r="A4" s="404" t="s">
        <v>3</v>
      </c>
      <c r="B4" s="405"/>
      <c r="C4" s="405"/>
      <c r="D4" s="405"/>
      <c r="E4" s="404" t="s">
        <v>4</v>
      </c>
      <c r="F4" s="405"/>
      <c r="G4" s="405"/>
      <c r="H4" s="405"/>
      <c r="I4" s="405"/>
      <c r="J4" s="405"/>
      <c r="K4" s="406"/>
    </row>
    <row r="5" spans="1:11" ht="19.5" customHeight="1" x14ac:dyDescent="0.2">
      <c r="A5" s="398" t="s">
        <v>5</v>
      </c>
      <c r="B5" s="432"/>
      <c r="C5" s="432"/>
      <c r="D5" s="5" t="s">
        <v>6</v>
      </c>
      <c r="E5" s="398" t="s">
        <v>5</v>
      </c>
      <c r="F5" s="432"/>
      <c r="G5" s="432"/>
      <c r="H5" s="432"/>
      <c r="I5" s="432"/>
      <c r="J5" s="409"/>
      <c r="K5" s="5" t="s">
        <v>6</v>
      </c>
    </row>
    <row r="6" spans="1:11" ht="13.5" customHeight="1" x14ac:dyDescent="0.2">
      <c r="A6" s="407" t="s">
        <v>7</v>
      </c>
      <c r="B6" s="408"/>
      <c r="C6" s="408"/>
      <c r="D6" s="14">
        <f>SUBTOTAL(9,D7:D18)</f>
        <v>0</v>
      </c>
      <c r="E6" s="407" t="s">
        <v>8</v>
      </c>
      <c r="F6" s="408"/>
      <c r="G6" s="408"/>
      <c r="H6" s="408"/>
      <c r="I6" s="408"/>
      <c r="J6" s="409"/>
      <c r="K6" s="14">
        <f>SUBTOTAL(9,K7:K18)</f>
        <v>236647.45</v>
      </c>
    </row>
    <row r="7" spans="1:11" ht="13.5" customHeight="1" x14ac:dyDescent="0.2">
      <c r="A7" s="410" t="s">
        <v>9</v>
      </c>
      <c r="B7" s="411"/>
      <c r="C7" s="411"/>
      <c r="D7" s="11">
        <f>SUBTOTAL(9,D8:D10)</f>
        <v>0</v>
      </c>
      <c r="E7" s="410" t="s">
        <v>9</v>
      </c>
      <c r="F7" s="411"/>
      <c r="G7" s="411"/>
      <c r="H7" s="411"/>
      <c r="I7" s="411"/>
      <c r="J7" s="412"/>
      <c r="K7" s="12">
        <f>SUBTOTAL(9,K8:K10)</f>
        <v>236647.45</v>
      </c>
    </row>
    <row r="8" spans="1:11" ht="13.5" customHeight="1" x14ac:dyDescent="0.2">
      <c r="A8" s="413" t="s">
        <v>10</v>
      </c>
      <c r="B8" s="414"/>
      <c r="C8" s="414"/>
      <c r="D8" s="11"/>
      <c r="E8" s="413" t="s">
        <v>10</v>
      </c>
      <c r="F8" s="414"/>
      <c r="G8" s="414"/>
      <c r="H8" s="414"/>
      <c r="I8" s="414"/>
      <c r="J8" s="415"/>
      <c r="K8" s="154">
        <f>HLOOKUP($A$3,DADOS!1:174,93,0)</f>
        <v>236647.45</v>
      </c>
    </row>
    <row r="9" spans="1:11" ht="13.5" customHeight="1" x14ac:dyDescent="0.2">
      <c r="A9" s="413" t="s">
        <v>11</v>
      </c>
      <c r="B9" s="416"/>
      <c r="C9" s="416"/>
      <c r="D9" s="11"/>
      <c r="E9" s="413" t="s">
        <v>11</v>
      </c>
      <c r="F9" s="416"/>
      <c r="G9" s="416"/>
      <c r="H9" s="416"/>
      <c r="I9" s="416"/>
      <c r="J9" s="415"/>
      <c r="K9" s="11"/>
    </row>
    <row r="10" spans="1:11" ht="13.5" customHeight="1" x14ac:dyDescent="0.2">
      <c r="A10" s="413" t="s">
        <v>12</v>
      </c>
      <c r="B10" s="416"/>
      <c r="C10" s="416"/>
      <c r="D10" s="11"/>
      <c r="E10" s="413" t="s">
        <v>12</v>
      </c>
      <c r="F10" s="416"/>
      <c r="G10" s="416"/>
      <c r="H10" s="416"/>
      <c r="I10" s="416"/>
      <c r="J10" s="415"/>
      <c r="K10" s="11"/>
    </row>
    <row r="11" spans="1:11" ht="13.5" customHeight="1" x14ac:dyDescent="0.2">
      <c r="A11" s="417" t="s">
        <v>13</v>
      </c>
      <c r="B11" s="418"/>
      <c r="C11" s="418"/>
      <c r="D11" s="11"/>
      <c r="E11" s="417" t="s">
        <v>13</v>
      </c>
      <c r="F11" s="418"/>
      <c r="G11" s="418"/>
      <c r="H11" s="418"/>
      <c r="I11" s="418"/>
      <c r="J11" s="419"/>
      <c r="K11" s="11"/>
    </row>
    <row r="12" spans="1:11" ht="13.5" customHeight="1" x14ac:dyDescent="0.2">
      <c r="A12" s="413" t="s">
        <v>14</v>
      </c>
      <c r="B12" s="414"/>
      <c r="C12" s="414"/>
      <c r="D12" s="11"/>
      <c r="E12" s="413" t="s">
        <v>14</v>
      </c>
      <c r="F12" s="414"/>
      <c r="G12" s="414"/>
      <c r="H12" s="414"/>
      <c r="I12" s="414"/>
      <c r="J12" s="415"/>
      <c r="K12" s="11"/>
    </row>
    <row r="13" spans="1:11" ht="13.5" customHeight="1" x14ac:dyDescent="0.2">
      <c r="A13" s="413" t="s">
        <v>15</v>
      </c>
      <c r="B13" s="416"/>
      <c r="C13" s="416"/>
      <c r="D13" s="11"/>
      <c r="E13" s="413" t="s">
        <v>15</v>
      </c>
      <c r="F13" s="416"/>
      <c r="G13" s="416"/>
      <c r="H13" s="416"/>
      <c r="I13" s="416"/>
      <c r="J13" s="415"/>
      <c r="K13" s="11"/>
    </row>
    <row r="14" spans="1:11" ht="13.5" customHeight="1" x14ac:dyDescent="0.2">
      <c r="A14" s="413" t="s">
        <v>16</v>
      </c>
      <c r="B14" s="416"/>
      <c r="C14" s="416"/>
      <c r="D14" s="11"/>
      <c r="E14" s="413" t="s">
        <v>16</v>
      </c>
      <c r="F14" s="416"/>
      <c r="G14" s="416"/>
      <c r="H14" s="416"/>
      <c r="I14" s="416"/>
      <c r="J14" s="415"/>
      <c r="K14" s="11"/>
    </row>
    <row r="15" spans="1:11" ht="13.5" customHeight="1" x14ac:dyDescent="0.2">
      <c r="A15" s="413" t="s">
        <v>17</v>
      </c>
      <c r="B15" s="416"/>
      <c r="C15" s="416"/>
      <c r="D15" s="11"/>
      <c r="E15" s="413" t="s">
        <v>17</v>
      </c>
      <c r="F15" s="416"/>
      <c r="G15" s="416"/>
      <c r="H15" s="416"/>
      <c r="I15" s="416"/>
      <c r="J15" s="415"/>
      <c r="K15" s="11"/>
    </row>
    <row r="16" spans="1:11" ht="13.5" customHeight="1" x14ac:dyDescent="0.2">
      <c r="A16" s="413" t="s">
        <v>18</v>
      </c>
      <c r="B16" s="416"/>
      <c r="C16" s="416"/>
      <c r="D16" s="11"/>
      <c r="E16" s="413" t="s">
        <v>18</v>
      </c>
      <c r="F16" s="416"/>
      <c r="G16" s="416"/>
      <c r="H16" s="416"/>
      <c r="I16" s="416"/>
      <c r="J16" s="415"/>
      <c r="K16" s="11"/>
    </row>
    <row r="17" spans="1:11" ht="13.5" customHeight="1" x14ac:dyDescent="0.2">
      <c r="A17" s="413" t="s">
        <v>19</v>
      </c>
      <c r="B17" s="416"/>
      <c r="C17" s="416"/>
      <c r="D17" s="11"/>
      <c r="E17" s="413" t="s">
        <v>19</v>
      </c>
      <c r="F17" s="416"/>
      <c r="G17" s="416"/>
      <c r="H17" s="416"/>
      <c r="I17" s="416"/>
      <c r="J17" s="415"/>
      <c r="K17" s="11"/>
    </row>
    <row r="18" spans="1:11" ht="13.5" customHeight="1" x14ac:dyDescent="0.2">
      <c r="A18" s="420" t="s">
        <v>20</v>
      </c>
      <c r="B18" s="421"/>
      <c r="C18" s="421"/>
      <c r="D18" s="11"/>
      <c r="E18" s="420" t="s">
        <v>20</v>
      </c>
      <c r="F18" s="421"/>
      <c r="G18" s="421"/>
      <c r="H18" s="421"/>
      <c r="I18" s="421"/>
      <c r="J18" s="422"/>
      <c r="K18" s="11"/>
    </row>
    <row r="19" spans="1:11" ht="13.5" customHeight="1" x14ac:dyDescent="0.2">
      <c r="A19" s="407" t="s">
        <v>21</v>
      </c>
      <c r="B19" s="408"/>
      <c r="C19" s="408"/>
      <c r="D19" s="14">
        <f>SUBTOTAL(9,D20:D23)</f>
        <v>316115.93</v>
      </c>
      <c r="E19" s="407" t="s">
        <v>22</v>
      </c>
      <c r="F19" s="408"/>
      <c r="G19" s="408"/>
      <c r="H19" s="408"/>
      <c r="I19" s="408"/>
      <c r="J19" s="409"/>
      <c r="K19" s="14">
        <f>SUBTOTAL(9,K20:K23)</f>
        <v>0</v>
      </c>
    </row>
    <row r="20" spans="1:11" ht="13.5" customHeight="1" x14ac:dyDescent="0.2">
      <c r="A20" s="410" t="s">
        <v>23</v>
      </c>
      <c r="B20" s="423"/>
      <c r="C20" s="423"/>
      <c r="D20" s="154">
        <f>HLOOKUP($A$3,DADOS!1:173,94,0)+HLOOKUP($A$3,DADOS!1:173,119,0)+HLOOKUP($A$3,DADOS!1:173,120,0)</f>
        <v>316115.93</v>
      </c>
      <c r="E20" s="410" t="s">
        <v>23</v>
      </c>
      <c r="F20" s="411"/>
      <c r="G20" s="411"/>
      <c r="H20" s="411"/>
      <c r="I20" s="411"/>
      <c r="J20" s="412"/>
      <c r="K20" s="11"/>
    </row>
    <row r="21" spans="1:11" ht="13.5" customHeight="1" x14ac:dyDescent="0.2">
      <c r="A21" s="417" t="s">
        <v>24</v>
      </c>
      <c r="B21" s="418"/>
      <c r="C21" s="418"/>
      <c r="D21" s="11"/>
      <c r="E21" s="417" t="s">
        <v>24</v>
      </c>
      <c r="F21" s="418"/>
      <c r="G21" s="418"/>
      <c r="H21" s="418"/>
      <c r="I21" s="418"/>
      <c r="J21" s="419"/>
      <c r="K21" s="11"/>
    </row>
    <row r="22" spans="1:11" ht="13.5" customHeight="1" x14ac:dyDescent="0.2">
      <c r="A22" s="417" t="s">
        <v>25</v>
      </c>
      <c r="B22" s="418"/>
      <c r="C22" s="418"/>
      <c r="D22" s="11"/>
      <c r="E22" s="417" t="s">
        <v>25</v>
      </c>
      <c r="F22" s="418"/>
      <c r="G22" s="418"/>
      <c r="H22" s="418"/>
      <c r="I22" s="418"/>
      <c r="J22" s="419"/>
      <c r="K22" s="11"/>
    </row>
    <row r="23" spans="1:11" ht="13.5" customHeight="1" x14ac:dyDescent="0.2">
      <c r="A23" s="424" t="s">
        <v>26</v>
      </c>
      <c r="B23" s="425"/>
      <c r="C23" s="425"/>
      <c r="D23" s="11"/>
      <c r="E23" s="424" t="s">
        <v>26</v>
      </c>
      <c r="F23" s="426"/>
      <c r="G23" s="426"/>
      <c r="H23" s="426"/>
      <c r="I23" s="426"/>
      <c r="J23" s="427"/>
      <c r="K23" s="11"/>
    </row>
    <row r="24" spans="1:11" ht="13.5" customHeight="1" x14ac:dyDescent="0.2">
      <c r="A24" s="407" t="s">
        <v>27</v>
      </c>
      <c r="B24" s="408"/>
      <c r="C24" s="408"/>
      <c r="D24" s="14">
        <f>SUBTOTAL(9,D25:D30)</f>
        <v>235036.7</v>
      </c>
      <c r="E24" s="407" t="s">
        <v>28</v>
      </c>
      <c r="F24" s="408"/>
      <c r="G24" s="408"/>
      <c r="H24" s="408"/>
      <c r="I24" s="408"/>
      <c r="J24" s="409"/>
      <c r="K24" s="14">
        <f>SUBTOTAL(9,K25:K30)</f>
        <v>314505.18</v>
      </c>
    </row>
    <row r="25" spans="1:11" ht="13.5" customHeight="1" x14ac:dyDescent="0.2">
      <c r="A25" s="410" t="s">
        <v>29</v>
      </c>
      <c r="B25" s="423"/>
      <c r="C25" s="423"/>
      <c r="D25" s="88">
        <f>HLOOKUP($A$3,DADOS!1:174,97,0)</f>
        <v>234891.7</v>
      </c>
      <c r="E25" s="410" t="s">
        <v>30</v>
      </c>
      <c r="F25" s="423"/>
      <c r="G25" s="423"/>
      <c r="H25" s="423"/>
      <c r="I25" s="423"/>
      <c r="J25" s="412"/>
      <c r="K25" s="88">
        <f>HLOOKUP($A$3,DADOS!1:174,119,0)</f>
        <v>314505.18</v>
      </c>
    </row>
    <row r="26" spans="1:11" ht="13.5" customHeight="1" x14ac:dyDescent="0.2">
      <c r="A26" s="417" t="s">
        <v>31</v>
      </c>
      <c r="B26" s="428"/>
      <c r="C26" s="428"/>
      <c r="D26" s="11"/>
      <c r="E26" s="417" t="s">
        <v>32</v>
      </c>
      <c r="F26" s="428"/>
      <c r="G26" s="428"/>
      <c r="H26" s="428"/>
      <c r="I26" s="428"/>
      <c r="J26" s="419"/>
      <c r="K26" s="11"/>
    </row>
    <row r="27" spans="1:11" ht="13.5" customHeight="1" x14ac:dyDescent="0.2">
      <c r="A27" s="417" t="s">
        <v>33</v>
      </c>
      <c r="B27" s="418"/>
      <c r="C27" s="418"/>
      <c r="D27" s="88">
        <f>HLOOKUP($A$3,DADOS!1:174,95,0)-HLOOKUP($A$3,DADOS!1:174,96,0)</f>
        <v>145</v>
      </c>
      <c r="E27" s="417" t="s">
        <v>34</v>
      </c>
      <c r="F27" s="418"/>
      <c r="G27" s="418"/>
      <c r="H27" s="418"/>
      <c r="I27" s="418"/>
      <c r="J27" s="419"/>
      <c r="K27" s="88">
        <f>HLOOKUP($A$3,DADOS!1:174,120,0)</f>
        <v>0</v>
      </c>
    </row>
    <row r="28" spans="1:11" ht="13.5" customHeight="1" x14ac:dyDescent="0.2">
      <c r="A28" s="417" t="s">
        <v>35</v>
      </c>
      <c r="B28" s="418"/>
      <c r="C28" s="418"/>
      <c r="D28" s="11"/>
      <c r="E28" s="417" t="s">
        <v>36</v>
      </c>
      <c r="F28" s="418"/>
      <c r="G28" s="418"/>
      <c r="H28" s="418"/>
      <c r="I28" s="418"/>
      <c r="J28" s="419"/>
      <c r="K28" s="11"/>
    </row>
    <row r="29" spans="1:11" ht="13.5" customHeight="1" x14ac:dyDescent="0.2">
      <c r="A29" s="417" t="s">
        <v>37</v>
      </c>
      <c r="B29" s="418"/>
      <c r="C29" s="418"/>
      <c r="D29" s="11"/>
      <c r="E29" s="417" t="s">
        <v>37</v>
      </c>
      <c r="F29" s="418"/>
      <c r="G29" s="418"/>
      <c r="H29" s="418"/>
      <c r="I29" s="418"/>
      <c r="J29" s="419"/>
      <c r="K29" s="11"/>
    </row>
    <row r="30" spans="1:11" ht="13.5" customHeight="1" x14ac:dyDescent="0.2">
      <c r="A30" s="424" t="s">
        <v>38</v>
      </c>
      <c r="B30" s="426"/>
      <c r="C30" s="426"/>
      <c r="D30" s="88">
        <f>HLOOKUP($A$3,DADOS!1:174,96,0)</f>
        <v>0</v>
      </c>
      <c r="E30" s="424" t="s">
        <v>39</v>
      </c>
      <c r="F30" s="426"/>
      <c r="G30" s="426"/>
      <c r="H30" s="426"/>
      <c r="I30" s="426"/>
      <c r="J30" s="427"/>
      <c r="K30" s="79"/>
    </row>
    <row r="31" spans="1:11" ht="13.5" customHeight="1" x14ac:dyDescent="0.2">
      <c r="A31" s="407" t="s">
        <v>40</v>
      </c>
      <c r="B31" s="408"/>
      <c r="C31" s="408"/>
      <c r="D31" s="14">
        <f>SUBTOTAL(9,D33:D34)</f>
        <v>0</v>
      </c>
      <c r="E31" s="407" t="s">
        <v>41</v>
      </c>
      <c r="F31" s="408"/>
      <c r="G31" s="408"/>
      <c r="H31" s="408"/>
      <c r="I31" s="408"/>
      <c r="J31" s="409"/>
      <c r="K31" s="14">
        <f>SUBTOTAL(9,K33:K34)</f>
        <v>0</v>
      </c>
    </row>
    <row r="32" spans="1:11" ht="13.5" customHeight="1" x14ac:dyDescent="0.2">
      <c r="A32" s="410" t="s">
        <v>42</v>
      </c>
      <c r="B32" s="423"/>
      <c r="C32" s="423"/>
      <c r="D32" s="11"/>
      <c r="E32" s="410" t="s">
        <v>42</v>
      </c>
      <c r="F32" s="423"/>
      <c r="G32" s="423"/>
      <c r="H32" s="423"/>
      <c r="I32" s="423"/>
      <c r="J32" s="412"/>
      <c r="K32" s="12"/>
    </row>
    <row r="33" spans="1:11" ht="13.5" customHeight="1" x14ac:dyDescent="0.2">
      <c r="A33" s="417" t="s">
        <v>43</v>
      </c>
      <c r="B33" s="428"/>
      <c r="C33" s="428"/>
      <c r="D33" s="11"/>
      <c r="E33" s="417" t="s">
        <v>43</v>
      </c>
      <c r="F33" s="428"/>
      <c r="G33" s="428"/>
      <c r="H33" s="428"/>
      <c r="I33" s="428"/>
      <c r="J33" s="419"/>
      <c r="K33" s="11"/>
    </row>
    <row r="34" spans="1:11" ht="13.5" customHeight="1" x14ac:dyDescent="0.2">
      <c r="A34" s="424" t="s">
        <v>37</v>
      </c>
      <c r="B34" s="426"/>
      <c r="C34" s="426"/>
      <c r="D34" s="11"/>
      <c r="E34" s="424" t="s">
        <v>37</v>
      </c>
      <c r="F34" s="426"/>
      <c r="G34" s="426"/>
      <c r="H34" s="426"/>
      <c r="I34" s="426"/>
      <c r="J34" s="431"/>
      <c r="K34" s="11"/>
    </row>
    <row r="35" spans="1:11" ht="13.5" customHeight="1" x14ac:dyDescent="0.2">
      <c r="A35" s="407" t="s">
        <v>44</v>
      </c>
      <c r="B35" s="432"/>
      <c r="C35" s="432"/>
      <c r="D35" s="16">
        <f>SUBTOTAL(9,D6:D34)</f>
        <v>551152.63</v>
      </c>
      <c r="E35" s="407" t="s">
        <v>45</v>
      </c>
      <c r="F35" s="432"/>
      <c r="G35" s="432"/>
      <c r="H35" s="432"/>
      <c r="I35" s="432"/>
      <c r="J35" s="409"/>
      <c r="K35" s="16">
        <f>SUBTOTAL(9,K6:K34)</f>
        <v>551152.63</v>
      </c>
    </row>
    <row r="36" spans="1:11" ht="13.5" customHeight="1" x14ac:dyDescent="0.2">
      <c r="A36" s="18" t="s">
        <v>129</v>
      </c>
      <c r="B36" s="19"/>
      <c r="C36" s="19"/>
      <c r="D36" s="137">
        <f>+D35-K35</f>
        <v>0</v>
      </c>
      <c r="E36" s="19"/>
      <c r="F36" s="19"/>
      <c r="G36" s="19"/>
      <c r="H36" s="20"/>
      <c r="I36" s="20"/>
      <c r="J36" s="20"/>
      <c r="K36" s="137">
        <f>+K35-D35</f>
        <v>0</v>
      </c>
    </row>
    <row r="37" spans="1:11" ht="13.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1" ht="13.5" customHeight="1" x14ac:dyDescent="0.2">
      <c r="A38" s="18" t="s">
        <v>130</v>
      </c>
      <c r="B38" s="22"/>
      <c r="C38" s="22"/>
      <c r="D38" s="22"/>
      <c r="E38" s="22"/>
      <c r="F38" s="22"/>
      <c r="G38" s="22"/>
      <c r="H38" s="22"/>
      <c r="I38" s="22"/>
      <c r="J38" s="22"/>
      <c r="K38" s="23"/>
    </row>
    <row r="39" spans="1:11" ht="13.5" customHeight="1" x14ac:dyDescent="0.2">
      <c r="A39" s="18"/>
      <c r="B39" s="22"/>
      <c r="C39" s="22"/>
      <c r="D39" s="22"/>
      <c r="E39" s="22"/>
      <c r="F39" s="22"/>
      <c r="G39" s="22"/>
      <c r="H39" s="22"/>
      <c r="I39" s="22"/>
      <c r="J39" s="22"/>
    </row>
    <row r="40" spans="1:11" ht="13.5" customHeight="1" x14ac:dyDescent="0.2">
      <c r="A40" s="18"/>
      <c r="B40" s="22"/>
      <c r="C40" s="22"/>
      <c r="D40" s="22"/>
      <c r="E40" s="22"/>
      <c r="F40" s="22"/>
      <c r="G40" s="22"/>
      <c r="H40" s="22"/>
      <c r="I40" s="22"/>
      <c r="J40" s="22"/>
    </row>
    <row r="41" spans="1:11" ht="13.5" customHeight="1" x14ac:dyDescent="0.2">
      <c r="A41" s="18"/>
      <c r="B41" s="22"/>
      <c r="C41" s="22"/>
      <c r="D41" s="22"/>
      <c r="E41" s="22"/>
      <c r="F41" s="22"/>
      <c r="G41" s="22"/>
      <c r="H41" s="22"/>
      <c r="I41" s="22"/>
      <c r="J41" s="22"/>
    </row>
    <row r="43" spans="1:11" ht="13.5" customHeight="1" x14ac:dyDescent="0.2">
      <c r="C43" s="80" t="s">
        <v>131</v>
      </c>
      <c r="D43" s="429" t="s">
        <v>131</v>
      </c>
      <c r="E43" s="429"/>
      <c r="F43" s="429"/>
      <c r="G43" s="430" t="s">
        <v>131</v>
      </c>
      <c r="H43" s="430"/>
      <c r="I43" s="430"/>
      <c r="J43" s="430"/>
    </row>
    <row r="44" spans="1:11" ht="13.5" customHeight="1" x14ac:dyDescent="0.2">
      <c r="B44" s="81"/>
      <c r="C44" s="82"/>
      <c r="D44" s="83"/>
      <c r="E44" s="83" t="s">
        <v>132</v>
      </c>
      <c r="F44" s="83"/>
      <c r="G44" s="83"/>
      <c r="H44" s="83" t="s">
        <v>132</v>
      </c>
      <c r="I44" s="83"/>
      <c r="J44" s="83"/>
    </row>
    <row r="45" spans="1:11" ht="13.5" customHeight="1" x14ac:dyDescent="0.2">
      <c r="D45" s="84"/>
      <c r="E45" s="84" t="s">
        <v>133</v>
      </c>
      <c r="F45" s="84"/>
      <c r="G45" s="84"/>
      <c r="H45" s="84" t="s">
        <v>133</v>
      </c>
      <c r="I45" s="84"/>
      <c r="J45" s="84"/>
    </row>
  </sheetData>
  <mergeCells count="69">
    <mergeCell ref="A33:C33"/>
    <mergeCell ref="E33:J33"/>
    <mergeCell ref="A34:C34"/>
    <mergeCell ref="E34:J34"/>
    <mergeCell ref="G43:J43"/>
    <mergeCell ref="D43:F43"/>
    <mergeCell ref="A35:C35"/>
    <mergeCell ref="E35:J35"/>
    <mergeCell ref="A30:C30"/>
    <mergeCell ref="E30:J30"/>
    <mergeCell ref="A31:C31"/>
    <mergeCell ref="E31:J31"/>
    <mergeCell ref="A32:C32"/>
    <mergeCell ref="E32:J32"/>
    <mergeCell ref="A27:C27"/>
    <mergeCell ref="E27:J27"/>
    <mergeCell ref="A28:C28"/>
    <mergeCell ref="E28:J28"/>
    <mergeCell ref="A29:C29"/>
    <mergeCell ref="E29:J29"/>
    <mergeCell ref="A24:C24"/>
    <mergeCell ref="E24:J24"/>
    <mergeCell ref="A25:C25"/>
    <mergeCell ref="E25:J25"/>
    <mergeCell ref="A26:C26"/>
    <mergeCell ref="E26:J26"/>
    <mergeCell ref="A21:C21"/>
    <mergeCell ref="E21:J21"/>
    <mergeCell ref="A22:C22"/>
    <mergeCell ref="E22:J22"/>
    <mergeCell ref="A23:C23"/>
    <mergeCell ref="E23:J23"/>
    <mergeCell ref="A18:C18"/>
    <mergeCell ref="E18:J18"/>
    <mergeCell ref="A19:C19"/>
    <mergeCell ref="E19:J19"/>
    <mergeCell ref="A20:C20"/>
    <mergeCell ref="E20:J20"/>
    <mergeCell ref="A15:C15"/>
    <mergeCell ref="E15:J15"/>
    <mergeCell ref="A16:C16"/>
    <mergeCell ref="E16:J16"/>
    <mergeCell ref="A17:C17"/>
    <mergeCell ref="E17:J17"/>
    <mergeCell ref="A12:C12"/>
    <mergeCell ref="E12:J12"/>
    <mergeCell ref="A13:C13"/>
    <mergeCell ref="E13:J13"/>
    <mergeCell ref="A14:C14"/>
    <mergeCell ref="E14:J14"/>
    <mergeCell ref="A9:C9"/>
    <mergeCell ref="E9:J9"/>
    <mergeCell ref="A10:C10"/>
    <mergeCell ref="E10:J10"/>
    <mergeCell ref="A11:C11"/>
    <mergeCell ref="E11:J11"/>
    <mergeCell ref="A6:C6"/>
    <mergeCell ref="E6:J6"/>
    <mergeCell ref="A7:C7"/>
    <mergeCell ref="E7:J7"/>
    <mergeCell ref="A8:C8"/>
    <mergeCell ref="E8:J8"/>
    <mergeCell ref="A5:C5"/>
    <mergeCell ref="E5:J5"/>
    <mergeCell ref="A1:K1"/>
    <mergeCell ref="A2:K2"/>
    <mergeCell ref="A3:K3"/>
    <mergeCell ref="A4:D4"/>
    <mergeCell ref="E4:K4"/>
  </mergeCells>
  <phoneticPr fontId="33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indexed="42"/>
  </sheetPr>
  <dimension ref="A1:IU66"/>
  <sheetViews>
    <sheetView showGridLines="0" tabSelected="1" showOutlineSymbols="0" topLeftCell="D10" zoomScale="130" zoomScaleNormal="130" workbookViewId="0">
      <selection activeCell="A47" sqref="A47:N47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24" customWidth="1"/>
    <col min="15" max="15" width="16.7109375" style="271" customWidth="1"/>
    <col min="16" max="16" width="14.28515625" style="1" bestFit="1" customWidth="1"/>
    <col min="17" max="17" width="12.140625" style="1" customWidth="1"/>
    <col min="18" max="18" width="12.5703125" style="1" customWidth="1"/>
    <col min="19" max="16384" width="6.85546875" style="1"/>
  </cols>
  <sheetData>
    <row r="1" spans="1:20" ht="30" customHeight="1" x14ac:dyDescent="0.2">
      <c r="A1" s="435" t="s">
        <v>188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</row>
    <row r="2" spans="1:20" ht="15" customHeight="1" x14ac:dyDescent="0.2">
      <c r="A2" s="436" t="s">
        <v>1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2"/>
    </row>
    <row r="3" spans="1:20" ht="18" customHeight="1" x14ac:dyDescent="0.2">
      <c r="A3" s="437" t="s">
        <v>297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R3" s="266"/>
    </row>
    <row r="4" spans="1:20" ht="12.75" customHeight="1" x14ac:dyDescent="0.2">
      <c r="A4" s="192" t="s">
        <v>259</v>
      </c>
      <c r="B4" s="192"/>
      <c r="C4" s="192"/>
      <c r="D4" s="192"/>
      <c r="E4" s="192"/>
      <c r="F4" s="192"/>
      <c r="G4" s="192"/>
      <c r="H4" s="256"/>
      <c r="I4" s="192"/>
      <c r="J4" s="192"/>
      <c r="K4" s="192"/>
      <c r="L4" s="192"/>
      <c r="M4" s="192"/>
      <c r="N4" s="256"/>
      <c r="O4" s="268" t="s">
        <v>2</v>
      </c>
      <c r="R4" s="290"/>
      <c r="S4" s="290"/>
    </row>
    <row r="5" spans="1:20" ht="19.5" customHeight="1" x14ac:dyDescent="0.2">
      <c r="A5" s="467" t="s">
        <v>3</v>
      </c>
      <c r="B5" s="468"/>
      <c r="C5" s="468"/>
      <c r="D5" s="468"/>
      <c r="E5" s="468"/>
      <c r="F5" s="468"/>
      <c r="G5" s="468"/>
      <c r="H5" s="237"/>
      <c r="I5" s="467" t="s">
        <v>4</v>
      </c>
      <c r="J5" s="468"/>
      <c r="K5" s="468"/>
      <c r="L5" s="468"/>
      <c r="M5" s="468"/>
      <c r="N5" s="469"/>
      <c r="O5" s="269"/>
      <c r="P5" s="2"/>
    </row>
    <row r="6" spans="1:20" ht="16.5" customHeight="1" x14ac:dyDescent="0.2">
      <c r="A6" s="474" t="s">
        <v>5</v>
      </c>
      <c r="B6" s="475"/>
      <c r="C6" s="475"/>
      <c r="D6" s="475"/>
      <c r="E6" s="475"/>
      <c r="F6" s="476"/>
      <c r="G6" s="238" t="s">
        <v>6</v>
      </c>
      <c r="H6" s="236" t="s">
        <v>175</v>
      </c>
      <c r="I6" s="471" t="s">
        <v>5</v>
      </c>
      <c r="J6" s="472"/>
      <c r="K6" s="472"/>
      <c r="L6" s="472"/>
      <c r="M6" s="473"/>
      <c r="N6" s="238" t="s">
        <v>6</v>
      </c>
      <c r="O6" s="270" t="s">
        <v>175</v>
      </c>
      <c r="Q6" s="266"/>
      <c r="R6" s="266"/>
      <c r="S6" s="266"/>
      <c r="T6" s="266"/>
    </row>
    <row r="7" spans="1:20" ht="16.350000000000001" customHeight="1" x14ac:dyDescent="0.2">
      <c r="A7" s="460" t="s">
        <v>7</v>
      </c>
      <c r="B7" s="461"/>
      <c r="C7" s="461"/>
      <c r="D7" s="461"/>
      <c r="E7" s="461"/>
      <c r="F7" s="462"/>
      <c r="G7" s="239">
        <f>SUBTOTAL(9,G8:G19)</f>
        <v>6814712.7400000012</v>
      </c>
      <c r="H7" s="239">
        <f>SUBTOTAL(9,H8:H19)</f>
        <v>8707024.9000000004</v>
      </c>
      <c r="I7" s="460" t="s">
        <v>8</v>
      </c>
      <c r="J7" s="461"/>
      <c r="K7" s="461"/>
      <c r="L7" s="461"/>
      <c r="M7" s="462"/>
      <c r="N7" s="239">
        <f>SUBTOTAL(9,N8:N19)</f>
        <v>41156414.920000002</v>
      </c>
      <c r="O7" s="245">
        <f>SUBTOTAL(9,O8:O19)</f>
        <v>48185781.039999999</v>
      </c>
      <c r="P7" s="8"/>
    </row>
    <row r="8" spans="1:20" ht="13.5" customHeight="1" x14ac:dyDescent="0.2">
      <c r="A8" s="464" t="s">
        <v>9</v>
      </c>
      <c r="B8" s="466"/>
      <c r="C8" s="465"/>
      <c r="D8" s="465"/>
      <c r="E8" s="465"/>
      <c r="F8" s="477"/>
      <c r="G8" s="240">
        <f>SUBTOTAL(9,G9:G11)</f>
        <v>0</v>
      </c>
      <c r="H8" s="239">
        <f>SUBTOTAL(9,H9:H11)</f>
        <v>0</v>
      </c>
      <c r="I8" s="464" t="s">
        <v>9</v>
      </c>
      <c r="J8" s="465"/>
      <c r="K8" s="465"/>
      <c r="L8" s="465"/>
      <c r="M8" s="466"/>
      <c r="N8" s="240">
        <f>SUBTOTAL(9,N9:N11)</f>
        <v>236647.45</v>
      </c>
      <c r="O8" s="239">
        <f>SUBTOTAL(9,O9:O11)</f>
        <v>37480.47</v>
      </c>
    </row>
    <row r="9" spans="1:20" ht="13.5" customHeight="1" x14ac:dyDescent="0.2">
      <c r="A9" s="452" t="s">
        <v>10</v>
      </c>
      <c r="B9" s="453"/>
      <c r="C9" s="470"/>
      <c r="D9" s="470"/>
      <c r="E9" s="470"/>
      <c r="F9" s="455"/>
      <c r="G9" s="241">
        <f>+'B.F. 00'!D8+'B.F. 05'!D10</f>
        <v>0</v>
      </c>
      <c r="H9" s="248">
        <v>0</v>
      </c>
      <c r="I9" s="452" t="s">
        <v>10</v>
      </c>
      <c r="J9" s="454"/>
      <c r="K9" s="454"/>
      <c r="L9" s="454"/>
      <c r="M9" s="453"/>
      <c r="N9" s="241">
        <f>+'B.F. 00'!K8+'B.F. 05'!K10</f>
        <v>236647.45</v>
      </c>
      <c r="O9" s="248">
        <v>37480.47</v>
      </c>
      <c r="P9" s="2"/>
    </row>
    <row r="10" spans="1:20" ht="13.5" customHeight="1" x14ac:dyDescent="0.2">
      <c r="A10" s="452" t="s">
        <v>11</v>
      </c>
      <c r="B10" s="453"/>
      <c r="C10" s="454"/>
      <c r="D10" s="454"/>
      <c r="E10" s="454"/>
      <c r="F10" s="455"/>
      <c r="G10" s="241">
        <f>+'B.F. 00'!D9+'B.F. 05'!D11</f>
        <v>0</v>
      </c>
      <c r="H10" s="349"/>
      <c r="I10" s="452" t="s">
        <v>11</v>
      </c>
      <c r="J10" s="454"/>
      <c r="K10" s="454"/>
      <c r="L10" s="454"/>
      <c r="M10" s="453"/>
      <c r="N10" s="241">
        <f>+'B.F. 00'!K9+'B.F. 05'!K11</f>
        <v>0</v>
      </c>
      <c r="O10" s="356"/>
      <c r="Q10" s="266"/>
      <c r="R10" s="266"/>
      <c r="S10" s="266"/>
      <c r="T10" s="266"/>
    </row>
    <row r="11" spans="1:20" ht="13.5" customHeight="1" x14ac:dyDescent="0.2">
      <c r="A11" s="452" t="s">
        <v>12</v>
      </c>
      <c r="B11" s="453"/>
      <c r="C11" s="454"/>
      <c r="D11" s="454"/>
      <c r="E11" s="454"/>
      <c r="F11" s="455"/>
      <c r="G11" s="241">
        <f>+'B.F. 00'!D10+'B.F. 05'!D12</f>
        <v>0</v>
      </c>
      <c r="H11" s="349"/>
      <c r="I11" s="452" t="s">
        <v>12</v>
      </c>
      <c r="J11" s="454"/>
      <c r="K11" s="454"/>
      <c r="L11" s="454"/>
      <c r="M11" s="453"/>
      <c r="N11" s="241">
        <f>+'B.F. 00'!K10+'B.F. 05'!K12</f>
        <v>0</v>
      </c>
      <c r="O11" s="356"/>
      <c r="P11" s="7"/>
    </row>
    <row r="12" spans="1:20" ht="13.5" customHeight="1" x14ac:dyDescent="0.2">
      <c r="A12" s="441" t="s">
        <v>13</v>
      </c>
      <c r="B12" s="442"/>
      <c r="C12" s="443"/>
      <c r="D12" s="443"/>
      <c r="E12" s="443"/>
      <c r="F12" s="444"/>
      <c r="G12" s="242">
        <f>SUBTOTAL(9,G13:G19)</f>
        <v>6814712.7400000012</v>
      </c>
      <c r="H12" s="350">
        <f>SUBTOTAL(9,H13:H19)</f>
        <v>8707024.9000000004</v>
      </c>
      <c r="I12" s="441" t="s">
        <v>13</v>
      </c>
      <c r="J12" s="443"/>
      <c r="K12" s="443"/>
      <c r="L12" s="443"/>
      <c r="M12" s="442"/>
      <c r="N12" s="242">
        <f>SUBTOTAL(9,N13:N19)</f>
        <v>40919767.469999999</v>
      </c>
      <c r="O12" s="350">
        <f>SUBTOTAL(9,O13:O19)</f>
        <v>48148300.57</v>
      </c>
      <c r="P12" s="2"/>
    </row>
    <row r="13" spans="1:20" ht="13.5" customHeight="1" x14ac:dyDescent="0.2">
      <c r="A13" s="452" t="s">
        <v>14</v>
      </c>
      <c r="B13" s="453"/>
      <c r="C13" s="454"/>
      <c r="D13" s="454"/>
      <c r="E13" s="454"/>
      <c r="F13" s="455"/>
      <c r="G13" s="241">
        <f>+'B.F. 00'!D12+'B.F. 05'!D14</f>
        <v>0</v>
      </c>
      <c r="H13" s="349"/>
      <c r="I13" s="452" t="s">
        <v>14</v>
      </c>
      <c r="J13" s="454"/>
      <c r="K13" s="454"/>
      <c r="L13" s="454"/>
      <c r="M13" s="453"/>
      <c r="N13" s="241">
        <f>+'B.F. 00'!K12+'B.F. 05'!K14</f>
        <v>0</v>
      </c>
      <c r="O13" s="356"/>
    </row>
    <row r="14" spans="1:20" ht="13.5" customHeight="1" x14ac:dyDescent="0.2">
      <c r="A14" s="452" t="s">
        <v>15</v>
      </c>
      <c r="B14" s="453"/>
      <c r="C14" s="454"/>
      <c r="D14" s="454"/>
      <c r="E14" s="454"/>
      <c r="F14" s="455"/>
      <c r="G14" s="241">
        <f>+'B.F. 00'!D13+'B.F. 05'!D15</f>
        <v>0</v>
      </c>
      <c r="H14" s="349"/>
      <c r="I14" s="452" t="s">
        <v>15</v>
      </c>
      <c r="J14" s="454"/>
      <c r="K14" s="454"/>
      <c r="L14" s="454"/>
      <c r="M14" s="453"/>
      <c r="N14" s="241">
        <f>+'B.F. 00'!K13+'B.F. 05'!K15</f>
        <v>0</v>
      </c>
      <c r="O14" s="356"/>
    </row>
    <row r="15" spans="1:20" ht="13.5" customHeight="1" x14ac:dyDescent="0.2">
      <c r="A15" s="452" t="s">
        <v>16</v>
      </c>
      <c r="B15" s="453"/>
      <c r="C15" s="454"/>
      <c r="D15" s="454"/>
      <c r="E15" s="454"/>
      <c r="F15" s="455"/>
      <c r="G15" s="241">
        <f>+'B.F. 00'!D14+'B.F. 05'!D16</f>
        <v>0</v>
      </c>
      <c r="H15" s="349"/>
      <c r="I15" s="452" t="s">
        <v>16</v>
      </c>
      <c r="J15" s="454"/>
      <c r="K15" s="454"/>
      <c r="L15" s="454"/>
      <c r="M15" s="453"/>
      <c r="N15" s="241">
        <f>+'B.F. 00'!K14+'B.F. 05'!K16</f>
        <v>0</v>
      </c>
      <c r="O15" s="356"/>
    </row>
    <row r="16" spans="1:20" ht="13.5" customHeight="1" x14ac:dyDescent="0.2">
      <c r="A16" s="452" t="s">
        <v>17</v>
      </c>
      <c r="B16" s="453"/>
      <c r="C16" s="454"/>
      <c r="D16" s="454"/>
      <c r="E16" s="454"/>
      <c r="F16" s="455"/>
      <c r="G16" s="241">
        <f>+'B.F. 00'!D15+'B.F. 05'!D17</f>
        <v>0</v>
      </c>
      <c r="H16" s="349"/>
      <c r="I16" s="452" t="s">
        <v>17</v>
      </c>
      <c r="J16" s="454"/>
      <c r="K16" s="454"/>
      <c r="L16" s="454"/>
      <c r="M16" s="453"/>
      <c r="N16" s="241">
        <f>+'B.F. 00'!K15+'B.F. 05'!K17</f>
        <v>0</v>
      </c>
      <c r="O16" s="356"/>
    </row>
    <row r="17" spans="1:17" ht="13.5" customHeight="1" x14ac:dyDescent="0.2">
      <c r="A17" s="452" t="s">
        <v>18</v>
      </c>
      <c r="B17" s="453"/>
      <c r="C17" s="454"/>
      <c r="D17" s="454"/>
      <c r="E17" s="454"/>
      <c r="F17" s="455"/>
      <c r="G17" s="241">
        <f>'B.F. 00'!D16+'B.F. 05'!D18</f>
        <v>6814712.7400000012</v>
      </c>
      <c r="H17" s="248">
        <v>8707024.9000000004</v>
      </c>
      <c r="I17" s="452" t="s">
        <v>18</v>
      </c>
      <c r="J17" s="454"/>
      <c r="K17" s="454"/>
      <c r="L17" s="454"/>
      <c r="M17" s="453"/>
      <c r="N17" s="241">
        <f>+'B.F. 00'!K16+'B.F. 05'!K18</f>
        <v>40919767.469999999</v>
      </c>
      <c r="O17" s="357">
        <v>48148300.57</v>
      </c>
    </row>
    <row r="18" spans="1:17" ht="13.5" customHeight="1" x14ac:dyDescent="0.2">
      <c r="A18" s="452" t="s">
        <v>19</v>
      </c>
      <c r="B18" s="453"/>
      <c r="C18" s="454"/>
      <c r="D18" s="454"/>
      <c r="E18" s="454"/>
      <c r="F18" s="455"/>
      <c r="G18" s="241">
        <f>+'B.F. 00'!D17+'B.F. 05'!D19</f>
        <v>0</v>
      </c>
      <c r="H18" s="349"/>
      <c r="I18" s="452" t="s">
        <v>19</v>
      </c>
      <c r="J18" s="454"/>
      <c r="K18" s="454"/>
      <c r="L18" s="454"/>
      <c r="M18" s="453"/>
      <c r="N18" s="241">
        <f>+'B.F. 00'!K17+'B.F. 05'!K19</f>
        <v>0</v>
      </c>
      <c r="O18" s="248">
        <v>0</v>
      </c>
    </row>
    <row r="19" spans="1:17" ht="13.5" customHeight="1" x14ac:dyDescent="0.2">
      <c r="A19" s="456" t="s">
        <v>20</v>
      </c>
      <c r="B19" s="457"/>
      <c r="C19" s="458"/>
      <c r="D19" s="458"/>
      <c r="E19" s="458"/>
      <c r="F19" s="459"/>
      <c r="G19" s="243">
        <f>+'B.F. 00'!D18+'B.F. 05'!D20</f>
        <v>0</v>
      </c>
      <c r="H19" s="249">
        <v>0</v>
      </c>
      <c r="I19" s="456" t="s">
        <v>20</v>
      </c>
      <c r="J19" s="458"/>
      <c r="K19" s="458"/>
      <c r="L19" s="458"/>
      <c r="M19" s="457"/>
      <c r="N19" s="243">
        <f>+'B.F. 00'!K18+'B.F. 05'!K20</f>
        <v>0</v>
      </c>
      <c r="O19" s="249">
        <v>0</v>
      </c>
    </row>
    <row r="20" spans="1:17" ht="16.350000000000001" customHeight="1" x14ac:dyDescent="0.2">
      <c r="A20" s="460" t="s">
        <v>21</v>
      </c>
      <c r="B20" s="461"/>
      <c r="C20" s="461"/>
      <c r="D20" s="461"/>
      <c r="E20" s="461"/>
      <c r="F20" s="462"/>
      <c r="G20" s="244">
        <f>SUM(G21:G24)</f>
        <v>316115.93</v>
      </c>
      <c r="H20" s="244">
        <f>SUM(H21:H24)</f>
        <v>174010.14</v>
      </c>
      <c r="I20" s="460" t="s">
        <v>22</v>
      </c>
      <c r="J20" s="461"/>
      <c r="K20" s="461"/>
      <c r="L20" s="461"/>
      <c r="M20" s="462"/>
      <c r="N20" s="245">
        <f>SUM(N21:N24)</f>
        <v>343065</v>
      </c>
      <c r="O20" s="245">
        <f>SUM(O21:O24)</f>
        <v>17665905.57</v>
      </c>
      <c r="P20" s="2"/>
    </row>
    <row r="21" spans="1:17" ht="13.5" customHeight="1" x14ac:dyDescent="0.2">
      <c r="A21" s="441" t="s">
        <v>23</v>
      </c>
      <c r="B21" s="442"/>
      <c r="C21" s="443"/>
      <c r="D21" s="443"/>
      <c r="E21" s="443"/>
      <c r="F21" s="444"/>
      <c r="G21" s="241">
        <f>'B.F. 00'!D20+'B.F. 05'!D22</f>
        <v>316115.93</v>
      </c>
      <c r="H21" s="247">
        <v>174010.14</v>
      </c>
      <c r="I21" s="464" t="s">
        <v>23</v>
      </c>
      <c r="J21" s="465"/>
      <c r="K21" s="465"/>
      <c r="L21" s="465"/>
      <c r="M21" s="466"/>
      <c r="N21" s="241">
        <f>+'B.F. 00'!K20+'B.F. 05'!K22</f>
        <v>343065</v>
      </c>
      <c r="O21" s="247">
        <v>17665905.57</v>
      </c>
    </row>
    <row r="22" spans="1:17" ht="13.5" customHeight="1" x14ac:dyDescent="0.2">
      <c r="A22" s="441" t="s">
        <v>24</v>
      </c>
      <c r="B22" s="442"/>
      <c r="C22" s="443"/>
      <c r="D22" s="443"/>
      <c r="E22" s="443"/>
      <c r="F22" s="444"/>
      <c r="G22" s="241">
        <f>+'B.F. 00'!D21+'B.F. 05'!D23</f>
        <v>0</v>
      </c>
      <c r="H22" s="349"/>
      <c r="I22" s="441" t="s">
        <v>24</v>
      </c>
      <c r="J22" s="443"/>
      <c r="K22" s="443"/>
      <c r="L22" s="443"/>
      <c r="M22" s="442"/>
      <c r="N22" s="241">
        <f>+'B.F. 00'!K21+'B.F. 05'!K23</f>
        <v>0</v>
      </c>
      <c r="O22" s="248">
        <v>0</v>
      </c>
    </row>
    <row r="23" spans="1:17" ht="13.5" customHeight="1" x14ac:dyDescent="0.2">
      <c r="A23" s="441" t="s">
        <v>25</v>
      </c>
      <c r="B23" s="442"/>
      <c r="C23" s="443"/>
      <c r="D23" s="443"/>
      <c r="E23" s="443"/>
      <c r="F23" s="444"/>
      <c r="G23" s="241">
        <f>+'B.F. 00'!D22+'B.F. 05'!D24</f>
        <v>0</v>
      </c>
      <c r="H23" s="349"/>
      <c r="I23" s="441" t="s">
        <v>25</v>
      </c>
      <c r="J23" s="443"/>
      <c r="K23" s="443"/>
      <c r="L23" s="443"/>
      <c r="M23" s="442"/>
      <c r="N23" s="241">
        <f>+'B.F. 00'!K22+'B.F. 05'!K24</f>
        <v>0</v>
      </c>
      <c r="O23" s="248">
        <v>0</v>
      </c>
    </row>
    <row r="24" spans="1:17" ht="13.5" customHeight="1" x14ac:dyDescent="0.2">
      <c r="A24" s="441" t="s">
        <v>26</v>
      </c>
      <c r="B24" s="442"/>
      <c r="C24" s="443"/>
      <c r="D24" s="443"/>
      <c r="E24" s="443"/>
      <c r="F24" s="444"/>
      <c r="G24" s="241">
        <f>+'B.F. 00'!D23+'B.F. 05'!D25</f>
        <v>0</v>
      </c>
      <c r="H24" s="349"/>
      <c r="I24" s="438" t="s">
        <v>26</v>
      </c>
      <c r="J24" s="439"/>
      <c r="K24" s="439"/>
      <c r="L24" s="439"/>
      <c r="M24" s="440"/>
      <c r="N24" s="241">
        <f>+'B.F. 00'!K23+'B.F. 05'!K25</f>
        <v>0</v>
      </c>
      <c r="O24" s="248">
        <v>0</v>
      </c>
    </row>
    <row r="25" spans="1:17" ht="16.350000000000001" customHeight="1" x14ac:dyDescent="0.2">
      <c r="A25" s="460" t="s">
        <v>27</v>
      </c>
      <c r="B25" s="461"/>
      <c r="C25" s="461"/>
      <c r="D25" s="461"/>
      <c r="E25" s="461"/>
      <c r="F25" s="462"/>
      <c r="G25" s="246">
        <f>SUBTOTAL(9,G26:G29)</f>
        <v>29078693.249999996</v>
      </c>
      <c r="H25" s="245">
        <f>SUBTOTAL(9,H26:H29)</f>
        <v>36972877.100000001</v>
      </c>
      <c r="I25" s="460" t="s">
        <v>28</v>
      </c>
      <c r="J25" s="461"/>
      <c r="K25" s="461"/>
      <c r="L25" s="461"/>
      <c r="M25" s="462"/>
      <c r="N25" s="246">
        <f>SUBTOTAL(9,N26:N29)</f>
        <v>2470424</v>
      </c>
      <c r="O25" s="245">
        <f>SUBTOTAL(9,O26:O29)</f>
        <v>4301889.0200000005</v>
      </c>
    </row>
    <row r="26" spans="1:17" ht="13.5" customHeight="1" x14ac:dyDescent="0.2">
      <c r="A26" s="441" t="s">
        <v>220</v>
      </c>
      <c r="B26" s="442"/>
      <c r="C26" s="443"/>
      <c r="D26" s="443"/>
      <c r="E26" s="443"/>
      <c r="F26" s="444"/>
      <c r="G26" s="247">
        <f>+'B.F. 00'!D25+'B.F. 05'!D28</f>
        <v>18751044.329999998</v>
      </c>
      <c r="H26" s="351">
        <v>31293603</v>
      </c>
      <c r="I26" s="464" t="s">
        <v>230</v>
      </c>
      <c r="J26" s="465"/>
      <c r="K26" s="465"/>
      <c r="L26" s="465"/>
      <c r="M26" s="466"/>
      <c r="N26" s="248">
        <f>+'B.F. 00'!K25+'B.F. 05'!K28</f>
        <v>1390063.27</v>
      </c>
      <c r="O26" s="351">
        <v>2963865.99</v>
      </c>
    </row>
    <row r="27" spans="1:17" ht="13.5" customHeight="1" x14ac:dyDescent="0.2">
      <c r="A27" s="441" t="s">
        <v>221</v>
      </c>
      <c r="B27" s="442"/>
      <c r="C27" s="443"/>
      <c r="D27" s="443"/>
      <c r="E27" s="443"/>
      <c r="F27" s="444"/>
      <c r="G27" s="248">
        <f>+'B.F. 00'!D27+'B.F. 05'!D30</f>
        <v>430922.52</v>
      </c>
      <c r="H27" s="352">
        <v>233980.95</v>
      </c>
      <c r="I27" s="441" t="s">
        <v>231</v>
      </c>
      <c r="J27" s="443"/>
      <c r="K27" s="443"/>
      <c r="L27" s="443"/>
      <c r="M27" s="442"/>
      <c r="N27" s="248">
        <f>+'B.F. 00'!K27+'B.F. 05'!K30</f>
        <v>79878.149999999994</v>
      </c>
      <c r="O27" s="352">
        <v>334917.26999999996</v>
      </c>
    </row>
    <row r="28" spans="1:17" ht="13.5" customHeight="1" x14ac:dyDescent="0.2">
      <c r="A28" s="441" t="s">
        <v>37</v>
      </c>
      <c r="B28" s="442"/>
      <c r="C28" s="443"/>
      <c r="D28" s="443"/>
      <c r="E28" s="443"/>
      <c r="F28" s="444"/>
      <c r="G28" s="241">
        <f>+'B.F. 00'!D29+'B.F. 05'!D31</f>
        <v>0</v>
      </c>
      <c r="H28" s="352">
        <v>0</v>
      </c>
      <c r="I28" s="441" t="s">
        <v>37</v>
      </c>
      <c r="J28" s="443"/>
      <c r="K28" s="443"/>
      <c r="L28" s="443"/>
      <c r="M28" s="442"/>
      <c r="N28" s="241">
        <f>+'B.F. 00'!K29+'B.F. 05'!K31</f>
        <v>0</v>
      </c>
      <c r="O28" s="352"/>
    </row>
    <row r="29" spans="1:17" ht="13.5" customHeight="1" x14ac:dyDescent="0.2">
      <c r="A29" s="441" t="s">
        <v>38</v>
      </c>
      <c r="B29" s="442"/>
      <c r="C29" s="443"/>
      <c r="D29" s="443"/>
      <c r="E29" s="443"/>
      <c r="F29" s="444"/>
      <c r="G29" s="249">
        <f>+'B.F. 00'!D30+'B.F. 05'!D32</f>
        <v>9896726.3999999985</v>
      </c>
      <c r="H29" s="353">
        <v>5445293.1500000004</v>
      </c>
      <c r="I29" s="438" t="s">
        <v>39</v>
      </c>
      <c r="J29" s="439"/>
      <c r="K29" s="439"/>
      <c r="L29" s="439"/>
      <c r="M29" s="440"/>
      <c r="N29" s="241">
        <f>+'B.F. 00'!K30+'B.F. 05'!K32</f>
        <v>1000482.5800000001</v>
      </c>
      <c r="O29" s="353">
        <v>1003105.76</v>
      </c>
    </row>
    <row r="30" spans="1:17" ht="16.350000000000001" customHeight="1" x14ac:dyDescent="0.2">
      <c r="A30" s="460" t="s">
        <v>40</v>
      </c>
      <c r="B30" s="461"/>
      <c r="C30" s="461"/>
      <c r="D30" s="461"/>
      <c r="E30" s="461"/>
      <c r="F30" s="462"/>
      <c r="G30" s="246">
        <f>SUBTOTAL(9,G31:G32)</f>
        <v>230058548.22</v>
      </c>
      <c r="H30" s="245">
        <f>SUBTOTAL(9,H31:H32)</f>
        <v>250461958.19</v>
      </c>
      <c r="I30" s="460" t="s">
        <v>41</v>
      </c>
      <c r="J30" s="461"/>
      <c r="K30" s="461"/>
      <c r="L30" s="461"/>
      <c r="M30" s="462"/>
      <c r="N30" s="246">
        <f>SUM(N31:N32)</f>
        <v>222298166.22</v>
      </c>
      <c r="O30" s="245">
        <f>SUM(O31:O32)</f>
        <v>226162294.70000002</v>
      </c>
      <c r="Q30" s="15"/>
    </row>
    <row r="31" spans="1:17" ht="13.5" customHeight="1" x14ac:dyDescent="0.2">
      <c r="A31" s="441" t="s">
        <v>222</v>
      </c>
      <c r="B31" s="442"/>
      <c r="C31" s="443"/>
      <c r="D31" s="443"/>
      <c r="E31" s="443"/>
      <c r="F31" s="444"/>
      <c r="G31" s="250">
        <f>+'B.F. 05'!D35</f>
        <v>230058548.22</v>
      </c>
      <c r="H31" s="248">
        <v>250461958.19</v>
      </c>
      <c r="I31" s="441" t="s">
        <v>222</v>
      </c>
      <c r="J31" s="443"/>
      <c r="K31" s="443"/>
      <c r="L31" s="443"/>
      <c r="M31" s="442"/>
      <c r="N31" s="251">
        <f>+'B.F. 00'!K33+'B.F. 05'!K35</f>
        <v>222298166.22</v>
      </c>
      <c r="O31" s="248">
        <v>226162294.70000002</v>
      </c>
    </row>
    <row r="32" spans="1:17" ht="13.5" customHeight="1" x14ac:dyDescent="0.2">
      <c r="A32" s="441" t="s">
        <v>37</v>
      </c>
      <c r="B32" s="442"/>
      <c r="C32" s="443"/>
      <c r="D32" s="443"/>
      <c r="E32" s="443"/>
      <c r="F32" s="444"/>
      <c r="G32" s="252">
        <v>0</v>
      </c>
      <c r="H32" s="354"/>
      <c r="I32" s="438" t="s">
        <v>37</v>
      </c>
      <c r="J32" s="439"/>
      <c r="K32" s="439"/>
      <c r="L32" s="439"/>
      <c r="M32" s="440"/>
      <c r="N32" s="253"/>
      <c r="O32" s="356"/>
      <c r="P32" s="80" t="s">
        <v>233</v>
      </c>
      <c r="Q32" s="286" t="s">
        <v>232</v>
      </c>
    </row>
    <row r="33" spans="1:255" ht="16.350000000000001" customHeight="1" x14ac:dyDescent="0.2">
      <c r="A33" s="460" t="s">
        <v>241</v>
      </c>
      <c r="B33" s="461"/>
      <c r="C33" s="478"/>
      <c r="D33" s="478"/>
      <c r="E33" s="478"/>
      <c r="F33" s="479"/>
      <c r="G33" s="254">
        <f>G7+G20+G25+G30</f>
        <v>266268070.13999999</v>
      </c>
      <c r="H33" s="355">
        <f>H7+H20+H25+H30</f>
        <v>296315870.32999998</v>
      </c>
      <c r="I33" s="460" t="s">
        <v>242</v>
      </c>
      <c r="J33" s="461"/>
      <c r="K33" s="461"/>
      <c r="L33" s="461"/>
      <c r="M33" s="462"/>
      <c r="N33" s="254">
        <f>N7+N20+N25+N30</f>
        <v>266268070.13999999</v>
      </c>
      <c r="O33" s="355">
        <f>O7+O20+O25+O30</f>
        <v>296315870.33000004</v>
      </c>
      <c r="P33" s="267">
        <f>G33-N33</f>
        <v>0</v>
      </c>
      <c r="Q33" s="287">
        <f>H33-O33</f>
        <v>0</v>
      </c>
    </row>
    <row r="34" spans="1:255" s="121" customFormat="1" ht="15.75" customHeight="1" x14ac:dyDescent="0.2">
      <c r="A34" s="311" t="s">
        <v>46</v>
      </c>
      <c r="B34" s="118"/>
      <c r="C34" s="118"/>
      <c r="D34" s="118"/>
      <c r="E34" s="119"/>
      <c r="F34" s="119"/>
      <c r="G34" s="119"/>
      <c r="H34" s="119"/>
      <c r="I34" s="118"/>
      <c r="J34" s="118"/>
      <c r="K34" s="118"/>
      <c r="L34" s="119"/>
      <c r="M34" s="119"/>
      <c r="N34" s="120"/>
      <c r="O34" s="271"/>
    </row>
    <row r="35" spans="1:255" s="121" customFormat="1" ht="12.75" customHeight="1" x14ac:dyDescent="0.2">
      <c r="A35" s="336" t="s">
        <v>47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3"/>
      <c r="N35" s="123"/>
      <c r="O35" s="271"/>
    </row>
    <row r="36" spans="1:255" s="271" customFormat="1" ht="14.25" customHeight="1" x14ac:dyDescent="0.2">
      <c r="A36" s="480" t="s">
        <v>285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80"/>
      <c r="L36" s="480"/>
      <c r="M36" s="480"/>
      <c r="N36" s="326"/>
      <c r="O36" s="331"/>
    </row>
    <row r="37" spans="1:255" s="193" customFormat="1" ht="14.25" customHeight="1" x14ac:dyDescent="0.2">
      <c r="A37" s="481" t="s">
        <v>273</v>
      </c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326"/>
      <c r="O37" s="331"/>
    </row>
    <row r="38" spans="1:255" s="193" customFormat="1" ht="14.25" customHeight="1" x14ac:dyDescent="0.2">
      <c r="A38" s="480" t="s">
        <v>287</v>
      </c>
      <c r="B38" s="480"/>
      <c r="C38" s="480"/>
      <c r="D38" s="480"/>
      <c r="E38" s="480"/>
      <c r="F38" s="480"/>
      <c r="G38" s="480"/>
      <c r="H38" s="480"/>
      <c r="I38" s="480"/>
      <c r="J38" s="480"/>
      <c r="K38" s="480"/>
      <c r="L38" s="480"/>
      <c r="M38" s="480"/>
      <c r="N38" s="326"/>
      <c r="O38" s="331"/>
    </row>
    <row r="39" spans="1:255" s="193" customFormat="1" ht="14.25" customHeight="1" x14ac:dyDescent="0.2">
      <c r="A39" s="449" t="s">
        <v>291</v>
      </c>
      <c r="B39" s="449"/>
      <c r="C39" s="449"/>
      <c r="D39" s="449"/>
      <c r="E39" s="449"/>
      <c r="F39" s="449"/>
      <c r="G39" s="449"/>
      <c r="H39" s="449"/>
      <c r="I39" s="449"/>
      <c r="J39" s="449"/>
      <c r="K39" s="449"/>
      <c r="L39" s="449"/>
      <c r="M39" s="449"/>
      <c r="N39" s="449"/>
      <c r="O39" s="331"/>
    </row>
    <row r="40" spans="1:255" s="193" customFormat="1" ht="14.25" customHeight="1" x14ac:dyDescent="0.2">
      <c r="A40" s="447" t="s">
        <v>293</v>
      </c>
      <c r="B40" s="447"/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332"/>
      <c r="O40" s="331"/>
      <c r="P40" s="195"/>
    </row>
    <row r="41" spans="1:255" s="193" customFormat="1" ht="14.25" customHeight="1" x14ac:dyDescent="0.2">
      <c r="A41" s="463" t="s">
        <v>283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332"/>
      <c r="O41" s="331"/>
      <c r="P41" s="195"/>
    </row>
    <row r="42" spans="1:255" s="193" customFormat="1" ht="14.25" customHeight="1" x14ac:dyDescent="0.2">
      <c r="A42" s="447" t="s">
        <v>288</v>
      </c>
      <c r="B42" s="447"/>
      <c r="C42" s="447"/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333"/>
      <c r="O42" s="332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4"/>
      <c r="CK42" s="194"/>
      <c r="CL42" s="194"/>
      <c r="CM42" s="194"/>
      <c r="CN42" s="194"/>
      <c r="CO42" s="194"/>
      <c r="CP42" s="194"/>
      <c r="CQ42" s="194"/>
      <c r="CR42" s="194"/>
      <c r="CS42" s="194"/>
      <c r="CT42" s="194"/>
      <c r="CU42" s="194"/>
      <c r="CV42" s="194"/>
      <c r="CW42" s="194"/>
      <c r="CX42" s="194"/>
      <c r="CY42" s="194"/>
      <c r="CZ42" s="194"/>
      <c r="DA42" s="194"/>
      <c r="DB42" s="194"/>
      <c r="DC42" s="194"/>
      <c r="DD42" s="194"/>
      <c r="DE42" s="194"/>
      <c r="DF42" s="194"/>
      <c r="DG42" s="194"/>
      <c r="DH42" s="194"/>
      <c r="DI42" s="194"/>
      <c r="DJ42" s="194"/>
      <c r="DK42" s="194"/>
      <c r="DL42" s="194"/>
      <c r="DM42" s="194"/>
      <c r="DN42" s="194"/>
      <c r="DO42" s="194"/>
      <c r="DP42" s="194"/>
      <c r="DQ42" s="194"/>
      <c r="DR42" s="194"/>
      <c r="DS42" s="194"/>
      <c r="DT42" s="194"/>
      <c r="DU42" s="194"/>
      <c r="DV42" s="194"/>
      <c r="DW42" s="194"/>
      <c r="DX42" s="194"/>
      <c r="DY42" s="194"/>
      <c r="DZ42" s="194"/>
      <c r="EA42" s="194"/>
      <c r="EB42" s="194"/>
      <c r="EC42" s="194"/>
      <c r="ED42" s="194"/>
      <c r="EE42" s="194"/>
      <c r="EF42" s="194"/>
      <c r="EG42" s="194"/>
      <c r="EH42" s="194"/>
      <c r="EI42" s="194"/>
      <c r="EJ42" s="194"/>
      <c r="EK42" s="194"/>
      <c r="EL42" s="194"/>
      <c r="EM42" s="194"/>
      <c r="EN42" s="194"/>
      <c r="EO42" s="194"/>
      <c r="EP42" s="194"/>
      <c r="EQ42" s="194"/>
      <c r="ER42" s="194"/>
      <c r="ES42" s="194"/>
      <c r="ET42" s="194"/>
      <c r="EU42" s="194"/>
      <c r="EV42" s="194"/>
      <c r="EW42" s="194"/>
      <c r="EX42" s="194"/>
      <c r="EY42" s="194"/>
      <c r="EZ42" s="194"/>
      <c r="FA42" s="194"/>
      <c r="FB42" s="194"/>
      <c r="FC42" s="194"/>
      <c r="FD42" s="194"/>
      <c r="FE42" s="194"/>
      <c r="FF42" s="194"/>
      <c r="FG42" s="194"/>
      <c r="FH42" s="194"/>
      <c r="FI42" s="194"/>
      <c r="FJ42" s="194"/>
      <c r="FK42" s="194"/>
      <c r="FL42" s="194"/>
      <c r="FM42" s="194"/>
      <c r="FN42" s="194"/>
      <c r="FO42" s="194"/>
      <c r="FP42" s="194"/>
      <c r="FQ42" s="194"/>
      <c r="FR42" s="194"/>
      <c r="FS42" s="194"/>
      <c r="FT42" s="194"/>
      <c r="FU42" s="194"/>
      <c r="FV42" s="194"/>
      <c r="FW42" s="194"/>
      <c r="FX42" s="194"/>
      <c r="FY42" s="194"/>
      <c r="FZ42" s="194"/>
      <c r="GA42" s="194"/>
      <c r="GB42" s="194"/>
      <c r="GC42" s="194"/>
      <c r="GD42" s="194"/>
      <c r="GE42" s="194"/>
      <c r="GF42" s="194"/>
      <c r="GG42" s="194"/>
      <c r="GH42" s="194"/>
      <c r="GI42" s="194"/>
      <c r="GJ42" s="194"/>
      <c r="GK42" s="194"/>
      <c r="GL42" s="194"/>
      <c r="GM42" s="194"/>
      <c r="GN42" s="194"/>
      <c r="GO42" s="194"/>
      <c r="GP42" s="194"/>
      <c r="GQ42" s="194"/>
      <c r="GR42" s="194"/>
      <c r="GS42" s="194"/>
      <c r="GT42" s="194"/>
      <c r="GU42" s="194"/>
      <c r="GV42" s="194"/>
      <c r="GW42" s="194"/>
      <c r="GX42" s="194"/>
      <c r="GY42" s="194"/>
      <c r="GZ42" s="194"/>
      <c r="HA42" s="194"/>
      <c r="HB42" s="194"/>
      <c r="HC42" s="194"/>
      <c r="HD42" s="194"/>
      <c r="HE42" s="194"/>
      <c r="HF42" s="194"/>
      <c r="HG42" s="194"/>
      <c r="HH42" s="194"/>
      <c r="HI42" s="194"/>
      <c r="HJ42" s="194"/>
      <c r="HK42" s="194"/>
      <c r="HL42" s="194"/>
      <c r="HM42" s="194"/>
      <c r="HN42" s="194"/>
      <c r="HO42" s="194"/>
      <c r="HP42" s="194"/>
      <c r="HQ42" s="194"/>
      <c r="HR42" s="194"/>
      <c r="HS42" s="194"/>
      <c r="HT42" s="194"/>
      <c r="HU42" s="194"/>
      <c r="HV42" s="194"/>
      <c r="HW42" s="194"/>
      <c r="HX42" s="194"/>
      <c r="HY42" s="194"/>
      <c r="HZ42" s="194"/>
      <c r="IA42" s="194"/>
      <c r="IB42" s="194"/>
      <c r="IC42" s="194"/>
      <c r="ID42" s="194"/>
      <c r="IE42" s="194"/>
      <c r="IF42" s="194"/>
      <c r="IG42" s="194"/>
      <c r="IH42" s="194"/>
      <c r="II42" s="194"/>
      <c r="IJ42" s="194"/>
      <c r="IK42" s="194"/>
      <c r="IL42" s="194"/>
      <c r="IM42" s="194"/>
      <c r="IN42" s="194"/>
      <c r="IO42" s="194"/>
      <c r="IP42" s="194"/>
      <c r="IQ42" s="194"/>
      <c r="IR42" s="194"/>
      <c r="IS42" s="194"/>
      <c r="IT42" s="194"/>
      <c r="IU42" s="194"/>
    </row>
    <row r="43" spans="1:255" s="193" customFormat="1" ht="14.25" customHeight="1" x14ac:dyDescent="0.2">
      <c r="A43" s="448" t="s">
        <v>281</v>
      </c>
      <c r="B43" s="448"/>
      <c r="C43" s="448"/>
      <c r="D43" s="448"/>
      <c r="E43" s="448"/>
      <c r="F43" s="448"/>
      <c r="G43" s="448"/>
      <c r="H43" s="448"/>
      <c r="I43" s="448"/>
      <c r="J43" s="448"/>
      <c r="K43" s="448"/>
      <c r="L43" s="448"/>
      <c r="M43" s="448"/>
      <c r="N43" s="332"/>
      <c r="O43" s="331"/>
      <c r="P43" s="195"/>
    </row>
    <row r="44" spans="1:255" s="193" customFormat="1" ht="14.25" customHeight="1" x14ac:dyDescent="0.2">
      <c r="A44" s="448" t="s">
        <v>299</v>
      </c>
      <c r="B44" s="448"/>
      <c r="C44" s="448"/>
      <c r="D44" s="448"/>
      <c r="E44" s="448"/>
      <c r="F44" s="448"/>
      <c r="G44" s="448"/>
      <c r="H44" s="448"/>
      <c r="I44" s="448"/>
      <c r="J44" s="448"/>
      <c r="K44" s="448"/>
      <c r="L44" s="448"/>
      <c r="M44" s="448"/>
      <c r="N44" s="448"/>
      <c r="O44" s="448"/>
      <c r="P44" s="195"/>
    </row>
    <row r="45" spans="1:255" s="196" customFormat="1" ht="14.25" customHeight="1" x14ac:dyDescent="0.2">
      <c r="A45" s="447" t="s">
        <v>289</v>
      </c>
      <c r="B45" s="447"/>
      <c r="C45" s="447"/>
      <c r="D45" s="447"/>
      <c r="E45" s="447"/>
      <c r="F45" s="447"/>
      <c r="G45" s="447"/>
      <c r="H45" s="447"/>
      <c r="I45" s="447"/>
      <c r="J45" s="447"/>
      <c r="K45" s="447"/>
      <c r="L45" s="447"/>
      <c r="M45" s="447"/>
      <c r="N45" s="330"/>
      <c r="O45" s="335"/>
      <c r="P45" s="197"/>
    </row>
    <row r="46" spans="1:255" s="196" customFormat="1" ht="14.25" customHeight="1" x14ac:dyDescent="0.2">
      <c r="A46" s="448" t="s">
        <v>282</v>
      </c>
      <c r="B46" s="448"/>
      <c r="C46" s="448"/>
      <c r="D46" s="448"/>
      <c r="E46" s="448"/>
      <c r="F46" s="448"/>
      <c r="G46" s="448"/>
      <c r="H46" s="448"/>
      <c r="I46" s="448"/>
      <c r="J46" s="448"/>
      <c r="K46" s="448"/>
      <c r="L46" s="448"/>
      <c r="M46" s="448"/>
      <c r="N46" s="448"/>
      <c r="O46" s="448"/>
      <c r="P46" s="197"/>
    </row>
    <row r="47" spans="1:255" s="193" customFormat="1" ht="18" customHeight="1" x14ac:dyDescent="0.2">
      <c r="A47" s="449" t="s">
        <v>306</v>
      </c>
      <c r="B47" s="449"/>
      <c r="C47" s="449"/>
      <c r="D47" s="449"/>
      <c r="E47" s="449"/>
      <c r="F47" s="449"/>
      <c r="G47" s="449"/>
      <c r="H47" s="449"/>
      <c r="I47" s="449"/>
      <c r="J47" s="449"/>
      <c r="K47" s="449"/>
      <c r="L47" s="449"/>
      <c r="M47" s="449"/>
      <c r="N47" s="449"/>
      <c r="O47" s="331"/>
    </row>
    <row r="48" spans="1:255" s="193" customFormat="1" ht="14.25" customHeight="1" x14ac:dyDescent="0.2">
      <c r="A48" s="449" t="s">
        <v>290</v>
      </c>
      <c r="B48" s="449"/>
      <c r="C48" s="449"/>
      <c r="D48" s="449"/>
      <c r="E48" s="449"/>
      <c r="F48" s="449"/>
      <c r="G48" s="449"/>
      <c r="H48" s="449"/>
      <c r="I48" s="449"/>
      <c r="J48" s="449"/>
      <c r="K48" s="449"/>
      <c r="L48" s="449"/>
      <c r="M48" s="330"/>
      <c r="N48" s="334"/>
      <c r="O48" s="331"/>
      <c r="P48" s="198"/>
    </row>
    <row r="49" spans="1:255" s="193" customFormat="1" ht="12.2" customHeight="1" x14ac:dyDescent="0.2">
      <c r="A49" s="451"/>
      <c r="B49" s="451"/>
      <c r="C49" s="451"/>
      <c r="D49" s="451"/>
      <c r="E49" s="451"/>
      <c r="F49" s="451"/>
      <c r="G49" s="451"/>
      <c r="H49" s="451"/>
      <c r="I49" s="451"/>
      <c r="J49" s="451"/>
      <c r="K49" s="451"/>
      <c r="L49" s="451"/>
      <c r="M49" s="451"/>
      <c r="N49" s="451"/>
      <c r="O49" s="272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  <c r="CF49" s="194"/>
      <c r="CG49" s="194"/>
      <c r="CH49" s="194"/>
      <c r="CI49" s="194"/>
      <c r="CJ49" s="194"/>
      <c r="CK49" s="194"/>
      <c r="CL49" s="194"/>
      <c r="CM49" s="194"/>
      <c r="CN49" s="194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94"/>
      <c r="DN49" s="194"/>
      <c r="DO49" s="194"/>
      <c r="DP49" s="194"/>
      <c r="DQ49" s="194"/>
      <c r="DR49" s="194"/>
      <c r="DS49" s="194"/>
      <c r="DT49" s="194"/>
      <c r="DU49" s="194"/>
      <c r="DV49" s="194"/>
      <c r="DW49" s="194"/>
      <c r="DX49" s="194"/>
      <c r="DY49" s="194"/>
      <c r="DZ49" s="194"/>
      <c r="EA49" s="194"/>
      <c r="EB49" s="194"/>
      <c r="EC49" s="194"/>
      <c r="ED49" s="194"/>
      <c r="EE49" s="194"/>
      <c r="EF49" s="194"/>
      <c r="EG49" s="194"/>
      <c r="EH49" s="194"/>
      <c r="EI49" s="194"/>
      <c r="EJ49" s="194"/>
      <c r="EK49" s="194"/>
      <c r="EL49" s="194"/>
      <c r="EM49" s="194"/>
      <c r="EN49" s="194"/>
      <c r="EO49" s="194"/>
      <c r="EP49" s="194"/>
      <c r="EQ49" s="194"/>
      <c r="ER49" s="194"/>
      <c r="ES49" s="194"/>
      <c r="ET49" s="194"/>
      <c r="EU49" s="194"/>
      <c r="EV49" s="194"/>
      <c r="EW49" s="194"/>
      <c r="EX49" s="194"/>
      <c r="EY49" s="194"/>
      <c r="EZ49" s="194"/>
      <c r="FA49" s="194"/>
      <c r="FB49" s="194"/>
      <c r="FC49" s="194"/>
      <c r="FD49" s="194"/>
      <c r="FE49" s="194"/>
      <c r="FF49" s="194"/>
      <c r="FG49" s="194"/>
      <c r="FH49" s="194"/>
      <c r="FI49" s="194"/>
      <c r="FJ49" s="194"/>
      <c r="FK49" s="194"/>
      <c r="FL49" s="194"/>
      <c r="FM49" s="194"/>
      <c r="FN49" s="194"/>
      <c r="FO49" s="194"/>
      <c r="FP49" s="194"/>
      <c r="FQ49" s="194"/>
      <c r="FR49" s="194"/>
      <c r="FS49" s="194"/>
      <c r="FT49" s="194"/>
      <c r="FU49" s="194"/>
      <c r="FV49" s="194"/>
      <c r="FW49" s="194"/>
      <c r="FX49" s="194"/>
      <c r="FY49" s="194"/>
      <c r="FZ49" s="194"/>
      <c r="GA49" s="194"/>
      <c r="GB49" s="194"/>
      <c r="GC49" s="194"/>
      <c r="GD49" s="194"/>
      <c r="GE49" s="194"/>
      <c r="GF49" s="194"/>
      <c r="GG49" s="194"/>
      <c r="GH49" s="194"/>
      <c r="GI49" s="194"/>
      <c r="GJ49" s="194"/>
      <c r="GK49" s="194"/>
      <c r="GL49" s="194"/>
      <c r="GM49" s="194"/>
      <c r="GN49" s="194"/>
      <c r="GO49" s="194"/>
      <c r="GP49" s="194"/>
      <c r="GQ49" s="194"/>
      <c r="GR49" s="194"/>
      <c r="GS49" s="194"/>
      <c r="GT49" s="194"/>
      <c r="GU49" s="194"/>
      <c r="GV49" s="194"/>
      <c r="GW49" s="194"/>
      <c r="GX49" s="194"/>
      <c r="GY49" s="194"/>
      <c r="GZ49" s="194"/>
      <c r="HA49" s="194"/>
      <c r="HB49" s="194"/>
      <c r="HC49" s="194"/>
      <c r="HD49" s="194"/>
      <c r="HE49" s="194"/>
      <c r="HF49" s="194"/>
      <c r="HG49" s="194"/>
      <c r="HH49" s="194"/>
      <c r="HI49" s="194"/>
      <c r="HJ49" s="194"/>
      <c r="HK49" s="194"/>
      <c r="HL49" s="194"/>
      <c r="HM49" s="194"/>
      <c r="HN49" s="194"/>
      <c r="HO49" s="194"/>
      <c r="HP49" s="194"/>
      <c r="HQ49" s="194"/>
      <c r="HR49" s="194"/>
      <c r="HS49" s="194"/>
      <c r="HT49" s="194"/>
      <c r="HU49" s="194"/>
      <c r="HV49" s="194"/>
      <c r="HW49" s="194"/>
      <c r="HX49" s="194"/>
      <c r="HY49" s="194"/>
      <c r="HZ49" s="194"/>
      <c r="IA49" s="194"/>
      <c r="IB49" s="194"/>
      <c r="IC49" s="194"/>
      <c r="ID49" s="194"/>
      <c r="IE49" s="194"/>
      <c r="IF49" s="194"/>
      <c r="IG49" s="194"/>
      <c r="IH49" s="194"/>
      <c r="II49" s="194"/>
      <c r="IJ49" s="194"/>
      <c r="IK49" s="194"/>
      <c r="IL49" s="194"/>
      <c r="IM49" s="194"/>
      <c r="IN49" s="194"/>
      <c r="IO49" s="194"/>
      <c r="IP49" s="194"/>
      <c r="IQ49" s="194"/>
      <c r="IR49" s="194"/>
      <c r="IS49" s="194"/>
      <c r="IT49" s="194"/>
      <c r="IU49" s="194"/>
    </row>
    <row r="50" spans="1:255" s="193" customFormat="1" ht="12.2" customHeight="1" x14ac:dyDescent="0.2">
      <c r="A50" s="450"/>
      <c r="B50" s="450"/>
      <c r="C50" s="450"/>
      <c r="D50" s="450"/>
      <c r="E50" s="450"/>
      <c r="F50" s="450"/>
      <c r="G50" s="450"/>
      <c r="H50" s="450"/>
      <c r="I50" s="450"/>
      <c r="J50" s="450"/>
      <c r="K50" s="450"/>
      <c r="L50" s="450"/>
      <c r="M50" s="450"/>
      <c r="O50" s="272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  <c r="CF50" s="194"/>
      <c r="CG50" s="194"/>
      <c r="CH50" s="194"/>
      <c r="CI50" s="194"/>
      <c r="CJ50" s="194"/>
      <c r="CK50" s="194"/>
      <c r="CL50" s="194"/>
      <c r="CM50" s="194"/>
      <c r="CN50" s="194"/>
      <c r="CO50" s="194"/>
      <c r="CP50" s="194"/>
      <c r="CQ50" s="194"/>
      <c r="CR50" s="194"/>
      <c r="CS50" s="194"/>
      <c r="CT50" s="194"/>
      <c r="CU50" s="194"/>
      <c r="CV50" s="194"/>
      <c r="CW50" s="194"/>
      <c r="CX50" s="194"/>
      <c r="CY50" s="194"/>
      <c r="CZ50" s="194"/>
      <c r="DA50" s="194"/>
      <c r="DB50" s="194"/>
      <c r="DC50" s="194"/>
      <c r="DD50" s="194"/>
      <c r="DE50" s="194"/>
      <c r="DF50" s="194"/>
      <c r="DG50" s="194"/>
      <c r="DH50" s="194"/>
      <c r="DI50" s="194"/>
      <c r="DJ50" s="194"/>
      <c r="DK50" s="194"/>
      <c r="DL50" s="194"/>
      <c r="DM50" s="194"/>
      <c r="DN50" s="194"/>
      <c r="DO50" s="194"/>
      <c r="DP50" s="194"/>
      <c r="DQ50" s="194"/>
      <c r="DR50" s="194"/>
      <c r="DS50" s="194"/>
      <c r="DT50" s="194"/>
      <c r="DU50" s="194"/>
      <c r="DV50" s="194"/>
      <c r="DW50" s="194"/>
      <c r="DX50" s="194"/>
      <c r="DY50" s="194"/>
      <c r="DZ50" s="194"/>
      <c r="EA50" s="194"/>
      <c r="EB50" s="194"/>
      <c r="EC50" s="194"/>
      <c r="ED50" s="194"/>
      <c r="EE50" s="194"/>
      <c r="EF50" s="194"/>
      <c r="EG50" s="194"/>
      <c r="EH50" s="194"/>
      <c r="EI50" s="194"/>
      <c r="EJ50" s="194"/>
      <c r="EK50" s="194"/>
      <c r="EL50" s="194"/>
      <c r="EM50" s="194"/>
      <c r="EN50" s="194"/>
      <c r="EO50" s="194"/>
      <c r="EP50" s="194"/>
      <c r="EQ50" s="194"/>
      <c r="ER50" s="194"/>
      <c r="ES50" s="194"/>
      <c r="ET50" s="194"/>
      <c r="EU50" s="194"/>
      <c r="EV50" s="194"/>
      <c r="EW50" s="194"/>
      <c r="EX50" s="194"/>
      <c r="EY50" s="194"/>
      <c r="EZ50" s="194"/>
      <c r="FA50" s="194"/>
      <c r="FB50" s="194"/>
      <c r="FC50" s="194"/>
      <c r="FD50" s="194"/>
      <c r="FE50" s="194"/>
      <c r="FF50" s="194"/>
      <c r="FG50" s="194"/>
      <c r="FH50" s="194"/>
      <c r="FI50" s="194"/>
      <c r="FJ50" s="194"/>
      <c r="FK50" s="194"/>
      <c r="FL50" s="194"/>
      <c r="FM50" s="194"/>
      <c r="FN50" s="194"/>
      <c r="FO50" s="194"/>
      <c r="FP50" s="194"/>
      <c r="FQ50" s="194"/>
      <c r="FR50" s="194"/>
      <c r="FS50" s="194"/>
      <c r="FT50" s="194"/>
      <c r="FU50" s="194"/>
      <c r="FV50" s="194"/>
      <c r="FW50" s="194"/>
      <c r="FX50" s="194"/>
      <c r="FY50" s="194"/>
      <c r="FZ50" s="194"/>
      <c r="GA50" s="194"/>
      <c r="GB50" s="194"/>
      <c r="GC50" s="194"/>
      <c r="GD50" s="194"/>
      <c r="GE50" s="194"/>
      <c r="GF50" s="194"/>
      <c r="GG50" s="194"/>
      <c r="GH50" s="194"/>
      <c r="GI50" s="194"/>
      <c r="GJ50" s="194"/>
      <c r="GK50" s="194"/>
      <c r="GL50" s="194"/>
      <c r="GM50" s="194"/>
      <c r="GN50" s="194"/>
      <c r="GO50" s="194"/>
      <c r="GP50" s="194"/>
      <c r="GQ50" s="194"/>
      <c r="GR50" s="194"/>
      <c r="GS50" s="194"/>
      <c r="GT50" s="194"/>
      <c r="GU50" s="194"/>
      <c r="GV50" s="194"/>
      <c r="GW50" s="194"/>
      <c r="GX50" s="194"/>
      <c r="GY50" s="194"/>
      <c r="GZ50" s="194"/>
      <c r="HA50" s="194"/>
      <c r="HB50" s="194"/>
      <c r="HC50" s="194"/>
      <c r="HD50" s="194"/>
      <c r="HE50" s="194"/>
      <c r="HF50" s="194"/>
      <c r="HG50" s="194"/>
      <c r="HH50" s="194"/>
      <c r="HI50" s="194"/>
      <c r="HJ50" s="194"/>
      <c r="HK50" s="194"/>
      <c r="HL50" s="194"/>
      <c r="HM50" s="194"/>
      <c r="HN50" s="194"/>
      <c r="HO50" s="194"/>
      <c r="HP50" s="194"/>
      <c r="HQ50" s="194"/>
      <c r="HR50" s="194"/>
      <c r="HS50" s="194"/>
      <c r="HT50" s="194"/>
      <c r="HU50" s="194"/>
      <c r="HV50" s="194"/>
      <c r="HW50" s="194"/>
      <c r="HX50" s="194"/>
      <c r="HY50" s="194"/>
      <c r="HZ50" s="194"/>
      <c r="IA50" s="194"/>
      <c r="IB50" s="194"/>
      <c r="IC50" s="194"/>
      <c r="ID50" s="194"/>
      <c r="IE50" s="194"/>
      <c r="IF50" s="194"/>
      <c r="IG50" s="194"/>
      <c r="IH50" s="194"/>
      <c r="II50" s="194"/>
      <c r="IJ50" s="194"/>
      <c r="IK50" s="194"/>
      <c r="IL50" s="194"/>
      <c r="IM50" s="194"/>
      <c r="IN50" s="194"/>
      <c r="IO50" s="194"/>
      <c r="IP50" s="194"/>
      <c r="IQ50" s="194"/>
      <c r="IR50" s="194"/>
      <c r="IS50" s="194"/>
      <c r="IT50" s="194"/>
      <c r="IU50" s="194"/>
    </row>
    <row r="51" spans="1:255" s="193" customFormat="1" ht="12.2" customHeight="1" x14ac:dyDescent="0.2">
      <c r="A51" s="194"/>
      <c r="B51" s="347"/>
      <c r="C51" s="347"/>
      <c r="D51" s="347"/>
      <c r="E51" s="347"/>
      <c r="F51" s="347"/>
      <c r="G51" s="194"/>
      <c r="H51" s="194"/>
      <c r="I51" s="194"/>
      <c r="J51" s="194"/>
      <c r="K51" s="194"/>
      <c r="L51" s="194"/>
      <c r="M51" s="194"/>
      <c r="O51" s="272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4"/>
      <c r="BQ51" s="194"/>
      <c r="BR51" s="194"/>
      <c r="BS51" s="194"/>
      <c r="BT51" s="194"/>
      <c r="BU51" s="194"/>
      <c r="BV51" s="194"/>
      <c r="BW51" s="194"/>
      <c r="BX51" s="194"/>
      <c r="BY51" s="194"/>
      <c r="BZ51" s="194"/>
      <c r="CA51" s="194"/>
      <c r="CB51" s="194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4"/>
      <c r="CN51" s="194"/>
      <c r="CO51" s="194"/>
      <c r="CP51" s="194"/>
      <c r="CQ51" s="194"/>
      <c r="CR51" s="194"/>
      <c r="CS51" s="194"/>
      <c r="CT51" s="194"/>
      <c r="CU51" s="194"/>
      <c r="CV51" s="194"/>
      <c r="CW51" s="194"/>
      <c r="CX51" s="194"/>
      <c r="CY51" s="194"/>
      <c r="CZ51" s="194"/>
      <c r="DA51" s="194"/>
      <c r="DB51" s="194"/>
      <c r="DC51" s="194"/>
      <c r="DD51" s="194"/>
      <c r="DE51" s="194"/>
      <c r="DF51" s="194"/>
      <c r="DG51" s="194"/>
      <c r="DH51" s="194"/>
      <c r="DI51" s="194"/>
      <c r="DJ51" s="194"/>
      <c r="DK51" s="194"/>
      <c r="DL51" s="194"/>
      <c r="DM51" s="194"/>
      <c r="DN51" s="194"/>
      <c r="DO51" s="194"/>
      <c r="DP51" s="194"/>
      <c r="DQ51" s="194"/>
      <c r="DR51" s="194"/>
      <c r="DS51" s="194"/>
      <c r="DT51" s="194"/>
      <c r="DU51" s="194"/>
      <c r="DV51" s="194"/>
      <c r="DW51" s="194"/>
      <c r="DX51" s="194"/>
      <c r="DY51" s="194"/>
      <c r="DZ51" s="194"/>
      <c r="EA51" s="194"/>
      <c r="EB51" s="194"/>
      <c r="EC51" s="194"/>
      <c r="ED51" s="194"/>
      <c r="EE51" s="194"/>
      <c r="EF51" s="194"/>
      <c r="EG51" s="194"/>
      <c r="EH51" s="194"/>
      <c r="EI51" s="194"/>
      <c r="EJ51" s="194"/>
      <c r="EK51" s="194"/>
      <c r="EL51" s="194"/>
      <c r="EM51" s="194"/>
      <c r="EN51" s="194"/>
      <c r="EO51" s="194"/>
      <c r="EP51" s="194"/>
      <c r="EQ51" s="194"/>
      <c r="ER51" s="194"/>
      <c r="ES51" s="194"/>
      <c r="ET51" s="194"/>
      <c r="EU51" s="194"/>
      <c r="EV51" s="194"/>
      <c r="EW51" s="194"/>
      <c r="EX51" s="194"/>
      <c r="EY51" s="194"/>
      <c r="EZ51" s="194"/>
      <c r="FA51" s="194"/>
      <c r="FB51" s="194"/>
      <c r="FC51" s="194"/>
      <c r="FD51" s="194"/>
      <c r="FE51" s="194"/>
      <c r="FF51" s="194"/>
      <c r="FG51" s="194"/>
      <c r="FH51" s="194"/>
      <c r="FI51" s="194"/>
      <c r="FJ51" s="194"/>
      <c r="FK51" s="194"/>
      <c r="FL51" s="194"/>
      <c r="FM51" s="194"/>
      <c r="FN51" s="194"/>
      <c r="FO51" s="194"/>
      <c r="FP51" s="194"/>
      <c r="FQ51" s="194"/>
      <c r="FR51" s="194"/>
      <c r="FS51" s="194"/>
      <c r="FT51" s="194"/>
      <c r="FU51" s="194"/>
      <c r="FV51" s="194"/>
      <c r="FW51" s="194"/>
      <c r="FX51" s="194"/>
      <c r="FY51" s="194"/>
      <c r="FZ51" s="194"/>
      <c r="GA51" s="194"/>
      <c r="GB51" s="194"/>
      <c r="GC51" s="194"/>
      <c r="GD51" s="194"/>
      <c r="GE51" s="194"/>
      <c r="GF51" s="194"/>
      <c r="GG51" s="194"/>
      <c r="GH51" s="194"/>
      <c r="GI51" s="194"/>
      <c r="GJ51" s="194"/>
      <c r="GK51" s="194"/>
      <c r="GL51" s="194"/>
      <c r="GM51" s="194"/>
      <c r="GN51" s="194"/>
      <c r="GO51" s="194"/>
      <c r="GP51" s="194"/>
      <c r="GQ51" s="194"/>
      <c r="GR51" s="194"/>
      <c r="GS51" s="194"/>
      <c r="GT51" s="194"/>
      <c r="GU51" s="194"/>
      <c r="GV51" s="194"/>
      <c r="GW51" s="194"/>
      <c r="GX51" s="194"/>
      <c r="GY51" s="194"/>
      <c r="GZ51" s="194"/>
      <c r="HA51" s="194"/>
      <c r="HB51" s="194"/>
      <c r="HC51" s="194"/>
      <c r="HD51" s="194"/>
      <c r="HE51" s="194"/>
      <c r="HF51" s="194"/>
      <c r="HG51" s="194"/>
      <c r="HH51" s="194"/>
      <c r="HI51" s="194"/>
      <c r="HJ51" s="194"/>
      <c r="HK51" s="194"/>
      <c r="HL51" s="194"/>
      <c r="HM51" s="194"/>
      <c r="HN51" s="194"/>
      <c r="HO51" s="194"/>
      <c r="HP51" s="194"/>
      <c r="HQ51" s="194"/>
      <c r="HR51" s="194"/>
      <c r="HS51" s="194"/>
      <c r="HT51" s="194"/>
      <c r="HU51" s="194"/>
      <c r="HV51" s="194"/>
      <c r="HW51" s="194"/>
      <c r="HX51" s="194"/>
      <c r="HY51" s="194"/>
      <c r="HZ51" s="194"/>
      <c r="IA51" s="194"/>
      <c r="IB51" s="194"/>
      <c r="IC51" s="194"/>
      <c r="ID51" s="194"/>
      <c r="IE51" s="194"/>
      <c r="IF51" s="194"/>
      <c r="IG51" s="194"/>
      <c r="IH51" s="194"/>
      <c r="II51" s="194"/>
      <c r="IJ51" s="194"/>
      <c r="IK51" s="194"/>
      <c r="IL51" s="194"/>
      <c r="IM51" s="194"/>
      <c r="IN51" s="194"/>
      <c r="IO51" s="194"/>
      <c r="IP51" s="194"/>
      <c r="IQ51" s="194"/>
      <c r="IR51" s="194"/>
      <c r="IS51" s="194"/>
      <c r="IT51" s="194"/>
      <c r="IU51" s="194"/>
    </row>
    <row r="52" spans="1:255" s="121" customFormat="1" ht="11.25" customHeight="1" x14ac:dyDescent="0.2">
      <c r="B52" s="348"/>
      <c r="C52" s="348"/>
      <c r="D52" s="348"/>
      <c r="E52" s="348"/>
      <c r="F52" s="348"/>
      <c r="O52" s="272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  <c r="CH52" s="128"/>
      <c r="CI52" s="128"/>
      <c r="CJ52" s="128"/>
      <c r="CK52" s="128"/>
      <c r="CL52" s="128"/>
      <c r="CM52" s="128"/>
      <c r="CN52" s="128"/>
      <c r="CO52" s="128"/>
      <c r="CP52" s="128"/>
      <c r="CQ52" s="128"/>
      <c r="CR52" s="128"/>
      <c r="CS52" s="128"/>
      <c r="CT52" s="128"/>
      <c r="CU52" s="128"/>
      <c r="CV52" s="128"/>
      <c r="CW52" s="128"/>
      <c r="CX52" s="128"/>
      <c r="CY52" s="128"/>
      <c r="CZ52" s="128"/>
      <c r="DA52" s="128"/>
      <c r="DB52" s="128"/>
      <c r="DC52" s="128"/>
      <c r="DD52" s="128"/>
      <c r="DE52" s="128"/>
      <c r="DF52" s="128"/>
      <c r="DG52" s="128"/>
      <c r="DH52" s="128"/>
      <c r="DI52" s="128"/>
      <c r="DJ52" s="128"/>
      <c r="DK52" s="128"/>
      <c r="DL52" s="128"/>
      <c r="DM52" s="128"/>
      <c r="DN52" s="128"/>
      <c r="DO52" s="128"/>
      <c r="DP52" s="128"/>
      <c r="DQ52" s="128"/>
      <c r="DR52" s="128"/>
      <c r="DS52" s="128"/>
      <c r="DT52" s="128"/>
      <c r="DU52" s="128"/>
      <c r="DV52" s="128"/>
      <c r="DW52" s="128"/>
      <c r="DX52" s="128"/>
      <c r="DY52" s="128"/>
      <c r="DZ52" s="128"/>
      <c r="EA52" s="128"/>
      <c r="EB52" s="128"/>
      <c r="EC52" s="128"/>
      <c r="ED52" s="128"/>
      <c r="EE52" s="128"/>
      <c r="EF52" s="128"/>
      <c r="EG52" s="128"/>
      <c r="EH52" s="128"/>
      <c r="EI52" s="128"/>
      <c r="EJ52" s="128"/>
      <c r="EK52" s="128"/>
      <c r="EL52" s="128"/>
      <c r="EM52" s="128"/>
      <c r="EN52" s="128"/>
      <c r="EO52" s="128"/>
      <c r="EP52" s="128"/>
      <c r="EQ52" s="128"/>
      <c r="ER52" s="128"/>
      <c r="ES52" s="128"/>
      <c r="ET52" s="128"/>
      <c r="EU52" s="128"/>
      <c r="EV52" s="128"/>
      <c r="EW52" s="128"/>
      <c r="EX52" s="128"/>
      <c r="EY52" s="128"/>
      <c r="EZ52" s="128"/>
      <c r="FA52" s="128"/>
      <c r="FB52" s="128"/>
      <c r="FC52" s="128"/>
      <c r="FD52" s="128"/>
      <c r="FE52" s="128"/>
      <c r="FF52" s="128"/>
      <c r="FG52" s="128"/>
      <c r="FH52" s="128"/>
      <c r="FI52" s="128"/>
      <c r="FJ52" s="128"/>
      <c r="FK52" s="128"/>
      <c r="FL52" s="128"/>
      <c r="FM52" s="128"/>
      <c r="FN52" s="128"/>
      <c r="FO52" s="128"/>
      <c r="FP52" s="128"/>
      <c r="FQ52" s="128"/>
      <c r="FR52" s="128"/>
      <c r="FS52" s="128"/>
      <c r="FT52" s="128"/>
      <c r="FU52" s="128"/>
      <c r="FV52" s="128"/>
      <c r="FW52" s="128"/>
      <c r="FX52" s="128"/>
      <c r="FY52" s="128"/>
      <c r="FZ52" s="128"/>
      <c r="GA52" s="128"/>
      <c r="GB52" s="128"/>
      <c r="GC52" s="128"/>
      <c r="GD52" s="128"/>
      <c r="GE52" s="128"/>
      <c r="GF52" s="128"/>
      <c r="GG52" s="128"/>
      <c r="GH52" s="128"/>
      <c r="GI52" s="128"/>
      <c r="GJ52" s="128"/>
      <c r="GK52" s="128"/>
      <c r="GL52" s="128"/>
      <c r="GM52" s="128"/>
      <c r="GN52" s="128"/>
      <c r="GO52" s="128"/>
      <c r="GP52" s="128"/>
      <c r="GQ52" s="128"/>
      <c r="GR52" s="128"/>
      <c r="GS52" s="128"/>
      <c r="GT52" s="128"/>
      <c r="GU52" s="128"/>
      <c r="GV52" s="128"/>
      <c r="GW52" s="128"/>
      <c r="GX52" s="128"/>
      <c r="GY52" s="128"/>
      <c r="GZ52" s="128"/>
      <c r="HA52" s="128"/>
      <c r="HB52" s="128"/>
      <c r="HC52" s="128"/>
      <c r="HD52" s="128"/>
      <c r="HE52" s="128"/>
      <c r="HF52" s="128"/>
      <c r="HG52" s="128"/>
      <c r="HH52" s="128"/>
      <c r="HI52" s="128"/>
      <c r="HJ52" s="128"/>
      <c r="HK52" s="128"/>
      <c r="HL52" s="128"/>
      <c r="HM52" s="128"/>
      <c r="HN52" s="128"/>
      <c r="HO52" s="128"/>
      <c r="HP52" s="128"/>
      <c r="HQ52" s="128"/>
      <c r="HR52" s="128"/>
      <c r="HS52" s="128"/>
      <c r="HT52" s="128"/>
      <c r="HU52" s="128"/>
      <c r="HV52" s="128"/>
      <c r="HW52" s="128"/>
      <c r="HX52" s="128"/>
      <c r="HY52" s="128"/>
      <c r="HZ52" s="128"/>
      <c r="IA52" s="128"/>
      <c r="IB52" s="128"/>
      <c r="IC52" s="128"/>
      <c r="ID52" s="128"/>
      <c r="IE52" s="128"/>
      <c r="IF52" s="128"/>
      <c r="IG52" s="128"/>
      <c r="IH52" s="128"/>
      <c r="II52" s="128"/>
      <c r="IJ52" s="128"/>
      <c r="IK52" s="128"/>
      <c r="IL52" s="128"/>
      <c r="IM52" s="128"/>
      <c r="IN52" s="128"/>
      <c r="IO52" s="128"/>
      <c r="IP52" s="128"/>
      <c r="IQ52" s="128"/>
      <c r="IR52" s="128"/>
      <c r="IS52" s="128"/>
      <c r="IT52" s="128"/>
      <c r="IU52" s="128"/>
    </row>
    <row r="53" spans="1:255" s="121" customFormat="1" ht="11.25" customHeight="1" x14ac:dyDescent="0.2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272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  <c r="FS53" s="128"/>
      <c r="FT53" s="128"/>
      <c r="FU53" s="128"/>
      <c r="FV53" s="128"/>
      <c r="FW53" s="128"/>
      <c r="FX53" s="128"/>
      <c r="FY53" s="128"/>
      <c r="FZ53" s="128"/>
      <c r="GA53" s="128"/>
      <c r="GB53" s="128"/>
      <c r="GC53" s="128"/>
      <c r="GD53" s="128"/>
      <c r="GE53" s="128"/>
      <c r="GF53" s="128"/>
      <c r="GG53" s="128"/>
      <c r="GH53" s="128"/>
      <c r="GI53" s="128"/>
      <c r="GJ53" s="128"/>
      <c r="GK53" s="128"/>
      <c r="GL53" s="128"/>
      <c r="GM53" s="128"/>
      <c r="GN53" s="128"/>
      <c r="GO53" s="128"/>
      <c r="GP53" s="128"/>
      <c r="GQ53" s="128"/>
      <c r="GR53" s="128"/>
      <c r="GS53" s="128"/>
      <c r="GT53" s="128"/>
      <c r="GU53" s="128"/>
      <c r="GV53" s="128"/>
      <c r="GW53" s="128"/>
      <c r="GX53" s="128"/>
      <c r="GY53" s="128"/>
      <c r="GZ53" s="128"/>
      <c r="HA53" s="128"/>
      <c r="HB53" s="128"/>
      <c r="HC53" s="128"/>
      <c r="HD53" s="128"/>
      <c r="HE53" s="128"/>
      <c r="HF53" s="128"/>
      <c r="HG53" s="128"/>
      <c r="HH53" s="128"/>
      <c r="HI53" s="128"/>
      <c r="HJ53" s="128"/>
      <c r="HK53" s="128"/>
      <c r="HL53" s="128"/>
      <c r="HM53" s="128"/>
      <c r="HN53" s="128"/>
      <c r="HO53" s="128"/>
      <c r="HP53" s="128"/>
      <c r="HQ53" s="128"/>
      <c r="HR53" s="128"/>
      <c r="HS53" s="128"/>
      <c r="HT53" s="128"/>
      <c r="HU53" s="128"/>
      <c r="HV53" s="128"/>
      <c r="HW53" s="128"/>
      <c r="HX53" s="128"/>
      <c r="HY53" s="128"/>
      <c r="HZ53" s="128"/>
      <c r="IA53" s="128"/>
      <c r="IB53" s="128"/>
      <c r="IC53" s="128"/>
      <c r="ID53" s="128"/>
      <c r="IE53" s="128"/>
      <c r="IF53" s="128"/>
      <c r="IG53" s="128"/>
      <c r="IH53" s="128"/>
      <c r="II53" s="128"/>
      <c r="IJ53" s="128"/>
      <c r="IK53" s="128"/>
      <c r="IL53" s="128"/>
      <c r="IM53" s="128"/>
      <c r="IN53" s="128"/>
      <c r="IO53" s="128"/>
      <c r="IP53" s="128"/>
      <c r="IQ53" s="128"/>
      <c r="IR53" s="128"/>
      <c r="IS53" s="128"/>
      <c r="IT53" s="128"/>
      <c r="IU53" s="128"/>
    </row>
    <row r="54" spans="1:255" s="121" customFormat="1" ht="11.25" customHeight="1" x14ac:dyDescent="0.2">
      <c r="A54" s="31"/>
      <c r="B54" s="31"/>
      <c r="C54" s="25" t="s">
        <v>223</v>
      </c>
      <c r="D54" s="25"/>
      <c r="E54" s="25"/>
      <c r="F54" s="31"/>
      <c r="G54" s="199"/>
      <c r="H54" s="25"/>
      <c r="I54" s="187" t="s">
        <v>300</v>
      </c>
      <c r="J54" s="187"/>
      <c r="K54" s="199"/>
      <c r="L54" s="199"/>
      <c r="M54" s="187"/>
      <c r="N54" s="25" t="s">
        <v>237</v>
      </c>
      <c r="O54" s="274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8"/>
      <c r="EH54" s="128"/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/>
      <c r="EW54" s="128"/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8"/>
      <c r="FL54" s="128"/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8"/>
      <c r="GA54" s="128"/>
      <c r="GB54" s="128"/>
      <c r="GC54" s="128"/>
      <c r="GD54" s="128"/>
      <c r="GE54" s="128"/>
      <c r="GF54" s="128"/>
      <c r="GG54" s="128"/>
      <c r="GH54" s="128"/>
      <c r="GI54" s="128"/>
      <c r="GJ54" s="128"/>
      <c r="GK54" s="128"/>
      <c r="GL54" s="128"/>
      <c r="GM54" s="128"/>
      <c r="GN54" s="128"/>
      <c r="GO54" s="128"/>
      <c r="GP54" s="128"/>
      <c r="GQ54" s="128"/>
      <c r="GR54" s="128"/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8"/>
      <c r="HG54" s="128"/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8"/>
      <c r="HV54" s="128"/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8"/>
      <c r="IK54" s="128"/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</row>
    <row r="55" spans="1:255" s="17" customFormat="1" ht="13.5" customHeight="1" x14ac:dyDescent="0.2">
      <c r="A55" s="325"/>
      <c r="B55" s="325"/>
      <c r="C55" s="27" t="s">
        <v>49</v>
      </c>
      <c r="D55" s="27"/>
      <c r="E55" s="27"/>
      <c r="F55" s="325"/>
      <c r="G55" s="200"/>
      <c r="H55" s="29"/>
      <c r="I55" s="27" t="s">
        <v>301</v>
      </c>
      <c r="J55" s="27"/>
      <c r="K55" s="200"/>
      <c r="L55" s="200"/>
      <c r="M55" s="27"/>
      <c r="N55" s="185" t="s">
        <v>295</v>
      </c>
      <c r="O55" s="275"/>
    </row>
    <row r="56" spans="1:255" ht="13.5" customHeight="1" x14ac:dyDescent="0.2">
      <c r="A56" s="31"/>
      <c r="B56" s="31"/>
      <c r="C56" s="29" t="s">
        <v>224</v>
      </c>
      <c r="D56" s="29"/>
      <c r="E56" s="29"/>
      <c r="F56" s="31"/>
      <c r="G56" s="80"/>
      <c r="I56" s="29" t="s">
        <v>305</v>
      </c>
      <c r="J56" s="29"/>
      <c r="K56" s="80"/>
      <c r="L56" s="80"/>
      <c r="M56" s="29"/>
      <c r="N56" s="184" t="s">
        <v>239</v>
      </c>
      <c r="O56" s="276"/>
    </row>
    <row r="57" spans="1:255" ht="13.5" customHeight="1" x14ac:dyDescent="0.2">
      <c r="A57" s="31"/>
      <c r="B57" s="31"/>
      <c r="C57" s="31" t="s">
        <v>51</v>
      </c>
      <c r="D57" s="31"/>
      <c r="E57" s="31"/>
      <c r="F57" s="31"/>
      <c r="G57" s="80"/>
      <c r="H57" s="31"/>
      <c r="I57" s="29" t="s">
        <v>51</v>
      </c>
      <c r="J57" s="29"/>
      <c r="K57" s="80"/>
      <c r="L57" s="80"/>
      <c r="M57" s="29"/>
      <c r="N57" s="29" t="s">
        <v>51</v>
      </c>
      <c r="O57" s="277"/>
    </row>
    <row r="58" spans="1:255" ht="13.5" customHeight="1" x14ac:dyDescent="0.2">
      <c r="A58" s="80"/>
      <c r="B58" s="80"/>
      <c r="C58" s="80"/>
      <c r="D58" s="80"/>
      <c r="E58" s="80"/>
      <c r="F58" s="80"/>
      <c r="G58" s="80"/>
      <c r="H58" s="80"/>
      <c r="J58" s="80"/>
      <c r="K58" s="80"/>
      <c r="L58" s="80"/>
      <c r="M58" s="80"/>
      <c r="N58" s="80"/>
      <c r="O58" s="277"/>
    </row>
    <row r="59" spans="1:255" ht="13.5" customHeight="1" x14ac:dyDescent="0.2">
      <c r="N59" s="1"/>
    </row>
    <row r="61" spans="1:255" ht="13.5" customHeight="1" x14ac:dyDescent="0.2">
      <c r="E61" s="201"/>
      <c r="F61" s="17"/>
      <c r="G61" s="17"/>
      <c r="H61" s="17"/>
      <c r="I61" s="17"/>
      <c r="J61" s="17"/>
      <c r="K61" s="17"/>
    </row>
    <row r="63" spans="1:255" ht="13.5" customHeight="1" x14ac:dyDescent="0.2">
      <c r="B63" s="2"/>
    </row>
    <row r="64" spans="1:255" ht="11.25" customHeight="1" x14ac:dyDescent="0.2">
      <c r="B64" s="32"/>
    </row>
    <row r="65" spans="1:14" ht="24" customHeight="1" x14ac:dyDescent="0.2">
      <c r="A65" s="446"/>
      <c r="B65" s="446"/>
      <c r="C65" s="446"/>
      <c r="D65" s="446"/>
      <c r="E65" s="446"/>
      <c r="F65" s="446"/>
      <c r="G65" s="446"/>
      <c r="H65" s="446"/>
      <c r="I65" s="446"/>
      <c r="J65" s="446"/>
      <c r="K65" s="446"/>
      <c r="L65" s="446"/>
      <c r="M65" s="446"/>
      <c r="N65" s="446"/>
    </row>
    <row r="66" spans="1:14" ht="34.5" customHeight="1" x14ac:dyDescent="0.2">
      <c r="A66" s="445"/>
      <c r="B66" s="445"/>
      <c r="C66" s="445"/>
      <c r="D66" s="445"/>
      <c r="E66" s="445"/>
      <c r="F66" s="445"/>
      <c r="G66" s="445"/>
      <c r="H66" s="445"/>
      <c r="I66" s="445"/>
      <c r="J66" s="445"/>
      <c r="K66" s="445"/>
      <c r="L66" s="445"/>
      <c r="M66" s="445"/>
      <c r="N66" s="445"/>
    </row>
  </sheetData>
  <mergeCells count="78">
    <mergeCell ref="A36:M36"/>
    <mergeCell ref="A37:M37"/>
    <mergeCell ref="A38:M38"/>
    <mergeCell ref="I32:M32"/>
    <mergeCell ref="I31:M31"/>
    <mergeCell ref="I33:M33"/>
    <mergeCell ref="A31:F31"/>
    <mergeCell ref="I15:M15"/>
    <mergeCell ref="I17:M17"/>
    <mergeCell ref="A17:F17"/>
    <mergeCell ref="I11:M11"/>
    <mergeCell ref="I26:M26"/>
    <mergeCell ref="A32:F32"/>
    <mergeCell ref="I28:M28"/>
    <mergeCell ref="A25:F25"/>
    <mergeCell ref="A26:F26"/>
    <mergeCell ref="A30:F30"/>
    <mergeCell ref="I27:M27"/>
    <mergeCell ref="A27:F27"/>
    <mergeCell ref="I30:M30"/>
    <mergeCell ref="A5:G5"/>
    <mergeCell ref="I5:N5"/>
    <mergeCell ref="A9:F9"/>
    <mergeCell ref="I7:M7"/>
    <mergeCell ref="I6:M6"/>
    <mergeCell ref="A6:F6"/>
    <mergeCell ref="I9:M9"/>
    <mergeCell ref="A7:F7"/>
    <mergeCell ref="A8:F8"/>
    <mergeCell ref="I10:M10"/>
    <mergeCell ref="I8:M8"/>
    <mergeCell ref="A10:F10"/>
    <mergeCell ref="A11:F11"/>
    <mergeCell ref="I13:M13"/>
    <mergeCell ref="A13:F13"/>
    <mergeCell ref="A12:F12"/>
    <mergeCell ref="I12:M12"/>
    <mergeCell ref="I16:M16"/>
    <mergeCell ref="A16:F16"/>
    <mergeCell ref="I18:M18"/>
    <mergeCell ref="A47:N47"/>
    <mergeCell ref="A46:O46"/>
    <mergeCell ref="A40:M40"/>
    <mergeCell ref="A39:N39"/>
    <mergeCell ref="A41:M41"/>
    <mergeCell ref="A21:F21"/>
    <mergeCell ref="I22:M22"/>
    <mergeCell ref="I21:M21"/>
    <mergeCell ref="I20:M20"/>
    <mergeCell ref="A18:F18"/>
    <mergeCell ref="I25:M25"/>
    <mergeCell ref="A28:F28"/>
    <mergeCell ref="A33:F33"/>
    <mergeCell ref="A66:N66"/>
    <mergeCell ref="A65:N65"/>
    <mergeCell ref="A42:M42"/>
    <mergeCell ref="A43:M43"/>
    <mergeCell ref="A45:M45"/>
    <mergeCell ref="A48:L48"/>
    <mergeCell ref="A50:M50"/>
    <mergeCell ref="A44:O44"/>
    <mergeCell ref="A49:N49"/>
    <mergeCell ref="A1:O1"/>
    <mergeCell ref="A2:O2"/>
    <mergeCell ref="A3:O3"/>
    <mergeCell ref="I29:M29"/>
    <mergeCell ref="A29:F29"/>
    <mergeCell ref="I24:M24"/>
    <mergeCell ref="A15:F15"/>
    <mergeCell ref="I14:M14"/>
    <mergeCell ref="A19:F19"/>
    <mergeCell ref="A24:F24"/>
    <mergeCell ref="I19:M19"/>
    <mergeCell ref="A20:F20"/>
    <mergeCell ref="A23:F23"/>
    <mergeCell ref="A22:F22"/>
    <mergeCell ref="I23:M23"/>
    <mergeCell ref="A14:F14"/>
  </mergeCells>
  <phoneticPr fontId="0" type="noConversion"/>
  <conditionalFormatting sqref="A3">
    <cfRule type="cellIs" dxfId="1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70" fitToWidth="0" fitToHeight="0" orientation="landscape" verticalDpi="597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tabColor indexed="42"/>
    <pageSetUpPr fitToPage="1"/>
  </sheetPr>
  <dimension ref="A1:P79"/>
  <sheetViews>
    <sheetView topLeftCell="C1" zoomScale="130" zoomScaleNormal="130" workbookViewId="0">
      <pane ySplit="8" topLeftCell="A9" activePane="bottomLeft" state="frozen"/>
      <selection activeCell="A6" sqref="A6:D6"/>
      <selection pane="bottomLeft" activeCell="I63" sqref="I63:J65"/>
    </sheetView>
  </sheetViews>
  <sheetFormatPr defaultRowHeight="15" x14ac:dyDescent="0.25"/>
  <cols>
    <col min="1" max="1" width="49.140625" style="34" bestFit="1" customWidth="1"/>
    <col min="2" max="5" width="18" style="34" customWidth="1"/>
    <col min="6" max="6" width="22.140625" style="34" bestFit="1" customWidth="1"/>
    <col min="7" max="7" width="25.7109375" style="34" customWidth="1"/>
    <col min="8" max="8" width="9.140625" style="34"/>
    <col min="9" max="9" width="16.140625" style="153" bestFit="1" customWidth="1"/>
    <col min="10" max="16384" width="9.140625" style="34"/>
  </cols>
  <sheetData>
    <row r="1" spans="1:9" x14ac:dyDescent="0.25">
      <c r="A1" s="114">
        <f>'B.F. 05'!A5:K5</f>
        <v>43556</v>
      </c>
      <c r="D1" s="89"/>
    </row>
    <row r="2" spans="1:9" ht="15.75" x14ac:dyDescent="0.25">
      <c r="A2" s="493" t="s">
        <v>188</v>
      </c>
      <c r="B2" s="493"/>
      <c r="C2" s="493"/>
      <c r="D2" s="493"/>
      <c r="E2" s="493"/>
      <c r="F2" s="493"/>
      <c r="G2" s="493"/>
    </row>
    <row r="3" spans="1:9" ht="15.75" x14ac:dyDescent="0.25">
      <c r="A3" s="493" t="s">
        <v>153</v>
      </c>
      <c r="B3" s="493"/>
      <c r="C3" s="493"/>
      <c r="D3" s="493"/>
      <c r="E3" s="493"/>
      <c r="F3" s="493"/>
      <c r="G3" s="493"/>
    </row>
    <row r="4" spans="1:9" ht="15.75" x14ac:dyDescent="0.25">
      <c r="A4" s="493" t="s">
        <v>154</v>
      </c>
      <c r="B4" s="493"/>
      <c r="C4" s="493"/>
      <c r="D4" s="493"/>
      <c r="E4" s="493"/>
      <c r="F4" s="493"/>
      <c r="G4" s="493"/>
      <c r="I4" s="315"/>
    </row>
    <row r="5" spans="1:9" ht="15.75" x14ac:dyDescent="0.25">
      <c r="A5" s="493" t="s">
        <v>298</v>
      </c>
      <c r="B5" s="493"/>
      <c r="C5" s="493"/>
      <c r="D5" s="493"/>
      <c r="E5" s="493"/>
      <c r="F5" s="493"/>
      <c r="G5" s="493"/>
    </row>
    <row r="6" spans="1:9" x14ac:dyDescent="0.25">
      <c r="A6" s="33"/>
      <c r="B6" s="33"/>
      <c r="C6" s="33"/>
      <c r="D6" s="33"/>
      <c r="E6" s="33"/>
    </row>
    <row r="7" spans="1:9" x14ac:dyDescent="0.25">
      <c r="A7" s="155" t="s">
        <v>52</v>
      </c>
      <c r="B7" s="502" t="s">
        <v>155</v>
      </c>
      <c r="C7" s="502"/>
      <c r="D7" s="502" t="s">
        <v>156</v>
      </c>
      <c r="E7" s="502"/>
      <c r="F7" s="156" t="s">
        <v>157</v>
      </c>
      <c r="G7" s="156" t="s">
        <v>158</v>
      </c>
    </row>
    <row r="8" spans="1:9" ht="15.75" x14ac:dyDescent="0.25">
      <c r="A8" s="233" t="s">
        <v>53</v>
      </c>
      <c r="B8" s="503">
        <f>SUM(B9:B16)</f>
        <v>131476289</v>
      </c>
      <c r="C8" s="503"/>
      <c r="D8" s="503">
        <f>SUM(D9:D16)</f>
        <v>131476289</v>
      </c>
      <c r="E8" s="503"/>
      <c r="F8" s="203">
        <f>SUM(F9:F16)</f>
        <v>6814712.7399999993</v>
      </c>
      <c r="G8" s="203">
        <f>F8-D8</f>
        <v>-124661576.26000001</v>
      </c>
    </row>
    <row r="9" spans="1:9" ht="15.75" x14ac:dyDescent="0.25">
      <c r="A9" s="210" t="s">
        <v>54</v>
      </c>
      <c r="B9" s="496"/>
      <c r="C9" s="497"/>
      <c r="D9" s="496"/>
      <c r="E9" s="497"/>
      <c r="F9" s="204"/>
      <c r="G9" s="204">
        <f t="shared" ref="G9:G22" si="0">F9-D9</f>
        <v>0</v>
      </c>
    </row>
    <row r="10" spans="1:9" ht="15.75" x14ac:dyDescent="0.25">
      <c r="A10" s="210" t="s">
        <v>55</v>
      </c>
      <c r="B10" s="504"/>
      <c r="C10" s="505"/>
      <c r="D10" s="496"/>
      <c r="E10" s="497"/>
      <c r="F10" s="204"/>
      <c r="G10" s="204">
        <f t="shared" si="0"/>
        <v>0</v>
      </c>
    </row>
    <row r="11" spans="1:9" ht="15.75" x14ac:dyDescent="0.25">
      <c r="A11" s="210" t="s">
        <v>159</v>
      </c>
      <c r="B11" s="504">
        <f>HLOOKUP($A$1,DADOS!1:174,4,0)</f>
        <v>17476289</v>
      </c>
      <c r="C11" s="505"/>
      <c r="D11" s="496">
        <f>$B$11</f>
        <v>17476289</v>
      </c>
      <c r="E11" s="497"/>
      <c r="F11" s="205">
        <f>HLOOKUP($A$1,DADOS!1:174,8,0)</f>
        <v>5023240.2699999996</v>
      </c>
      <c r="G11" s="204">
        <f>F11-D11</f>
        <v>-12453048.73</v>
      </c>
    </row>
    <row r="12" spans="1:9" ht="15.75" x14ac:dyDescent="0.25">
      <c r="A12" s="210" t="s">
        <v>56</v>
      </c>
      <c r="B12" s="504"/>
      <c r="C12" s="505"/>
      <c r="D12" s="496">
        <f>B12</f>
        <v>0</v>
      </c>
      <c r="E12" s="497"/>
      <c r="F12" s="204"/>
      <c r="G12" s="204">
        <f t="shared" si="0"/>
        <v>0</v>
      </c>
    </row>
    <row r="13" spans="1:9" ht="15.75" x14ac:dyDescent="0.25">
      <c r="A13" s="210" t="s">
        <v>160</v>
      </c>
      <c r="B13" s="496"/>
      <c r="C13" s="497"/>
      <c r="D13" s="496">
        <f>B13</f>
        <v>0</v>
      </c>
      <c r="E13" s="497"/>
      <c r="F13" s="204"/>
      <c r="G13" s="204">
        <f t="shared" si="0"/>
        <v>0</v>
      </c>
    </row>
    <row r="14" spans="1:9" ht="15.75" x14ac:dyDescent="0.25">
      <c r="A14" s="210" t="s">
        <v>57</v>
      </c>
      <c r="B14" s="496"/>
      <c r="C14" s="497"/>
      <c r="D14" s="496">
        <f>B14</f>
        <v>0</v>
      </c>
      <c r="E14" s="497"/>
      <c r="F14" s="204"/>
      <c r="G14" s="204">
        <f t="shared" si="0"/>
        <v>0</v>
      </c>
    </row>
    <row r="15" spans="1:9" ht="15.75" x14ac:dyDescent="0.25">
      <c r="A15" s="210" t="s">
        <v>58</v>
      </c>
      <c r="B15" s="496"/>
      <c r="C15" s="497"/>
      <c r="D15" s="496">
        <f>B15</f>
        <v>0</v>
      </c>
      <c r="E15" s="497"/>
      <c r="F15" s="204">
        <f>HLOOKUP($A$1,DADOS!1:174,53,0)+HLOOKUP($A$1,DADOS!1:174,59,0)</f>
        <v>0</v>
      </c>
      <c r="G15" s="204">
        <f>F15-D15</f>
        <v>0</v>
      </c>
    </row>
    <row r="16" spans="1:9" ht="15.75" x14ac:dyDescent="0.25">
      <c r="A16" s="210" t="s">
        <v>59</v>
      </c>
      <c r="B16" s="504">
        <f>HLOOKUP($A$1,DADOS!1:174,12,0)</f>
        <v>114000000</v>
      </c>
      <c r="C16" s="505"/>
      <c r="D16" s="496">
        <f>$B$16</f>
        <v>114000000</v>
      </c>
      <c r="E16" s="497"/>
      <c r="F16" s="205">
        <f>HLOOKUP($A$1,DADOS!1:174,16,0)+HLOOKUP($A$1,DADOS!1:174,26,0)+HLOOKUP($A$1,DADOS!1:174,34,0)+HLOOKUP($A$1,DADOS!1:174,44,0)</f>
        <v>1791472.47</v>
      </c>
      <c r="G16" s="204">
        <f>F16-D16</f>
        <v>-112208527.53</v>
      </c>
    </row>
    <row r="17" spans="1:9" ht="15.75" x14ac:dyDescent="0.25">
      <c r="A17" s="231" t="s">
        <v>161</v>
      </c>
      <c r="B17" s="501">
        <f>SUM(B18:B22)</f>
        <v>0</v>
      </c>
      <c r="C17" s="501"/>
      <c r="D17" s="501">
        <f>SUM(D18:D22)</f>
        <v>0</v>
      </c>
      <c r="E17" s="501"/>
      <c r="F17" s="36">
        <f>SUM(F18:F22)</f>
        <v>0</v>
      </c>
      <c r="G17" s="36">
        <f t="shared" si="0"/>
        <v>0</v>
      </c>
    </row>
    <row r="18" spans="1:9" ht="15.75" x14ac:dyDescent="0.25">
      <c r="A18" s="210" t="s">
        <v>60</v>
      </c>
      <c r="B18" s="494"/>
      <c r="C18" s="495"/>
      <c r="D18" s="494"/>
      <c r="E18" s="495"/>
      <c r="F18" s="37"/>
      <c r="G18" s="35">
        <f t="shared" si="0"/>
        <v>0</v>
      </c>
    </row>
    <row r="19" spans="1:9" ht="15.75" x14ac:dyDescent="0.25">
      <c r="A19" s="210" t="s">
        <v>162</v>
      </c>
      <c r="B19" s="494"/>
      <c r="C19" s="495"/>
      <c r="D19" s="494"/>
      <c r="E19" s="495"/>
      <c r="F19" s="37"/>
      <c r="G19" s="35">
        <f t="shared" si="0"/>
        <v>0</v>
      </c>
    </row>
    <row r="20" spans="1:9" ht="15.75" x14ac:dyDescent="0.25">
      <c r="A20" s="210" t="s">
        <v>61</v>
      </c>
      <c r="B20" s="494"/>
      <c r="C20" s="495"/>
      <c r="D20" s="494"/>
      <c r="E20" s="495"/>
      <c r="F20" s="37"/>
      <c r="G20" s="35">
        <f t="shared" si="0"/>
        <v>0</v>
      </c>
    </row>
    <row r="21" spans="1:9" ht="15.75" x14ac:dyDescent="0.25">
      <c r="A21" s="210" t="s">
        <v>163</v>
      </c>
      <c r="B21" s="494"/>
      <c r="C21" s="495"/>
      <c r="D21" s="494"/>
      <c r="E21" s="495"/>
      <c r="F21" s="37"/>
      <c r="G21" s="35">
        <f t="shared" si="0"/>
        <v>0</v>
      </c>
    </row>
    <row r="22" spans="1:9" ht="15.75" x14ac:dyDescent="0.25">
      <c r="A22" s="210" t="s">
        <v>164</v>
      </c>
      <c r="B22" s="494"/>
      <c r="C22" s="495"/>
      <c r="D22" s="494"/>
      <c r="E22" s="495"/>
      <c r="F22" s="37"/>
      <c r="G22" s="35">
        <f t="shared" si="0"/>
        <v>0</v>
      </c>
    </row>
    <row r="23" spans="1:9" ht="15.75" hidden="1" x14ac:dyDescent="0.25">
      <c r="A23" s="232"/>
      <c r="B23" s="498"/>
      <c r="C23" s="499"/>
      <c r="D23" s="498"/>
      <c r="E23" s="499"/>
      <c r="F23" s="38"/>
      <c r="G23" s="38"/>
    </row>
    <row r="24" spans="1:9" s="39" customFormat="1" ht="15.75" x14ac:dyDescent="0.25">
      <c r="A24" s="231" t="s">
        <v>243</v>
      </c>
      <c r="B24" s="484">
        <f>B8+B17+B23</f>
        <v>131476289</v>
      </c>
      <c r="C24" s="484"/>
      <c r="D24" s="484">
        <f>D8+D17+D23</f>
        <v>131476289</v>
      </c>
      <c r="E24" s="484"/>
      <c r="F24" s="206">
        <f>F8+F17+F23</f>
        <v>6814712.7399999993</v>
      </c>
      <c r="G24" s="206">
        <f>F24-D24</f>
        <v>-124661576.26000001</v>
      </c>
      <c r="I24" s="159"/>
    </row>
    <row r="25" spans="1:9" ht="15.75" x14ac:dyDescent="0.25">
      <c r="A25" s="233" t="s">
        <v>244</v>
      </c>
      <c r="B25" s="500">
        <f>SUM(B26:B31)</f>
        <v>0</v>
      </c>
      <c r="C25" s="500"/>
      <c r="D25" s="500">
        <f>SUM(D26:D31)</f>
        <v>0</v>
      </c>
      <c r="E25" s="500"/>
      <c r="F25" s="40">
        <f>SUM(F26:F31)</f>
        <v>0</v>
      </c>
      <c r="G25" s="40">
        <f>F25-D25</f>
        <v>0</v>
      </c>
    </row>
    <row r="26" spans="1:9" ht="15.75" x14ac:dyDescent="0.25">
      <c r="A26" s="210" t="s">
        <v>62</v>
      </c>
      <c r="B26" s="489"/>
      <c r="C26" s="506"/>
      <c r="D26" s="494"/>
      <c r="E26" s="495"/>
      <c r="F26" s="37"/>
      <c r="G26" s="37"/>
    </row>
    <row r="27" spans="1:9" ht="15.75" x14ac:dyDescent="0.25">
      <c r="A27" s="210" t="s">
        <v>165</v>
      </c>
      <c r="B27" s="494"/>
      <c r="C27" s="495"/>
      <c r="D27" s="494"/>
      <c r="E27" s="495"/>
      <c r="F27" s="37"/>
      <c r="G27" s="37"/>
    </row>
    <row r="28" spans="1:9" ht="15.75" x14ac:dyDescent="0.25">
      <c r="A28" s="210" t="s">
        <v>166</v>
      </c>
      <c r="B28" s="494"/>
      <c r="C28" s="495"/>
      <c r="D28" s="494"/>
      <c r="E28" s="495"/>
      <c r="F28" s="37"/>
      <c r="G28" s="37"/>
    </row>
    <row r="29" spans="1:9" ht="15.75" x14ac:dyDescent="0.25">
      <c r="A29" s="210" t="s">
        <v>63</v>
      </c>
      <c r="B29" s="494"/>
      <c r="C29" s="495"/>
      <c r="D29" s="494"/>
      <c r="E29" s="495"/>
      <c r="F29" s="37"/>
      <c r="G29" s="37"/>
    </row>
    <row r="30" spans="1:9" ht="15.75" x14ac:dyDescent="0.25">
      <c r="A30" s="210" t="s">
        <v>165</v>
      </c>
      <c r="B30" s="494"/>
      <c r="C30" s="495"/>
      <c r="D30" s="494"/>
      <c r="E30" s="495"/>
      <c r="F30" s="37"/>
      <c r="G30" s="37"/>
    </row>
    <row r="31" spans="1:9" ht="15.75" x14ac:dyDescent="0.25">
      <c r="A31" s="210" t="s">
        <v>166</v>
      </c>
      <c r="B31" s="494"/>
      <c r="C31" s="495"/>
      <c r="D31" s="494"/>
      <c r="E31" s="495"/>
      <c r="F31" s="37"/>
      <c r="G31" s="37"/>
    </row>
    <row r="32" spans="1:9" ht="15.75" x14ac:dyDescent="0.25">
      <c r="A32" s="231" t="s">
        <v>245</v>
      </c>
      <c r="B32" s="484">
        <f>B25+B24</f>
        <v>131476289</v>
      </c>
      <c r="C32" s="484"/>
      <c r="D32" s="484">
        <f>D25+D24</f>
        <v>131476289</v>
      </c>
      <c r="E32" s="484"/>
      <c r="F32" s="206">
        <f>F25+F24</f>
        <v>6814712.7399999993</v>
      </c>
      <c r="G32" s="206">
        <f>F32-D32</f>
        <v>-124661576.26000001</v>
      </c>
    </row>
    <row r="33" spans="1:9" ht="15.75" x14ac:dyDescent="0.25">
      <c r="A33" s="232" t="s">
        <v>246</v>
      </c>
      <c r="B33" s="483">
        <f>IF(B32&gt;B59,0,B59-B32)</f>
        <v>0</v>
      </c>
      <c r="C33" s="483"/>
      <c r="D33" s="483">
        <f>IF(D32&gt;C59,0,C59-D32)</f>
        <v>0</v>
      </c>
      <c r="E33" s="483"/>
      <c r="F33" s="207">
        <f>IF(F32&gt;D59,0,D59-F32)</f>
        <v>34341702.18</v>
      </c>
      <c r="G33" s="207">
        <f>+F33-D33</f>
        <v>34341702.18</v>
      </c>
      <c r="H33" s="338"/>
    </row>
    <row r="34" spans="1:9" s="39" customFormat="1" ht="15.75" x14ac:dyDescent="0.25">
      <c r="A34" s="231" t="s">
        <v>247</v>
      </c>
      <c r="B34" s="484">
        <f>B32+B33</f>
        <v>131476289</v>
      </c>
      <c r="C34" s="484"/>
      <c r="D34" s="484">
        <f>D32+D33</f>
        <v>131476289</v>
      </c>
      <c r="E34" s="484"/>
      <c r="F34" s="206">
        <f>F32+F33</f>
        <v>41156414.920000002</v>
      </c>
      <c r="G34" s="206">
        <f>F34-D34</f>
        <v>-90319874.079999998</v>
      </c>
      <c r="I34" s="159"/>
    </row>
    <row r="35" spans="1:9" ht="15.75" x14ac:dyDescent="0.25">
      <c r="A35" s="260" t="s">
        <v>167</v>
      </c>
      <c r="B35" s="491">
        <f>SUM(B36:C38)</f>
        <v>0</v>
      </c>
      <c r="C35" s="492"/>
      <c r="D35" s="491">
        <f>SUM(D36:E38)</f>
        <v>0</v>
      </c>
      <c r="E35" s="492"/>
      <c r="F35" s="208">
        <f>SUM(F36:F38)</f>
        <v>0</v>
      </c>
      <c r="G35" s="208">
        <f>SUM(G36:G38)</f>
        <v>0</v>
      </c>
    </row>
    <row r="36" spans="1:9" x14ac:dyDescent="0.25">
      <c r="A36" s="278" t="s">
        <v>256</v>
      </c>
      <c r="B36" s="485"/>
      <c r="C36" s="486"/>
      <c r="D36" s="508"/>
      <c r="E36" s="508"/>
      <c r="F36" s="41"/>
      <c r="G36" s="41"/>
    </row>
    <row r="37" spans="1:9" ht="15.75" x14ac:dyDescent="0.25">
      <c r="A37" s="261" t="s">
        <v>193</v>
      </c>
      <c r="B37" s="489"/>
      <c r="C37" s="490"/>
      <c r="D37" s="489"/>
      <c r="E37" s="490"/>
      <c r="F37" s="264"/>
      <c r="G37" s="279"/>
      <c r="H37" s="264"/>
    </row>
    <row r="38" spans="1:9" ht="15.75" x14ac:dyDescent="0.25">
      <c r="A38" s="234" t="s">
        <v>64</v>
      </c>
      <c r="B38" s="262"/>
      <c r="C38" s="263"/>
      <c r="D38" s="262"/>
      <c r="E38" s="263"/>
      <c r="F38" s="262"/>
      <c r="G38" s="157"/>
      <c r="H38" s="264"/>
    </row>
    <row r="40" spans="1:9" s="42" customFormat="1" ht="30" x14ac:dyDescent="0.2">
      <c r="A40" s="235" t="s">
        <v>65</v>
      </c>
      <c r="B40" s="158" t="s">
        <v>168</v>
      </c>
      <c r="C40" s="158" t="s">
        <v>169</v>
      </c>
      <c r="D40" s="158" t="s">
        <v>66</v>
      </c>
      <c r="E40" s="158" t="s">
        <v>170</v>
      </c>
      <c r="F40" s="158" t="s">
        <v>67</v>
      </c>
      <c r="G40" s="158" t="s">
        <v>171</v>
      </c>
      <c r="I40" s="160"/>
    </row>
    <row r="41" spans="1:9" ht="15.75" x14ac:dyDescent="0.25">
      <c r="A41" s="233" t="s">
        <v>248</v>
      </c>
      <c r="B41" s="209">
        <f>SUM(B42:B44)</f>
        <v>111921421</v>
      </c>
      <c r="C41" s="209">
        <f>SUM(C42:C44)</f>
        <v>107128032.56999999</v>
      </c>
      <c r="D41" s="209">
        <f>SUM(D42:D44)</f>
        <v>41156414.920000002</v>
      </c>
      <c r="E41" s="209">
        <f>SUM(E42:E44)</f>
        <v>22405370.59</v>
      </c>
      <c r="F41" s="209">
        <f>SUM(F42:F44)</f>
        <v>21974448.07</v>
      </c>
      <c r="G41" s="209">
        <f>C41-D41</f>
        <v>65971617.649999991</v>
      </c>
    </row>
    <row r="42" spans="1:9" ht="15.75" x14ac:dyDescent="0.25">
      <c r="A42" s="210" t="s">
        <v>68</v>
      </c>
      <c r="B42" s="210"/>
      <c r="C42" s="210"/>
      <c r="D42" s="210"/>
      <c r="E42" s="210"/>
      <c r="F42" s="210"/>
      <c r="G42" s="210"/>
    </row>
    <row r="43" spans="1:9" ht="15.75" x14ac:dyDescent="0.25">
      <c r="A43" s="210" t="s">
        <v>69</v>
      </c>
      <c r="B43" s="210"/>
      <c r="C43" s="210"/>
      <c r="D43" s="210"/>
      <c r="E43" s="210"/>
      <c r="F43" s="210"/>
      <c r="G43" s="210"/>
    </row>
    <row r="44" spans="1:9" ht="15.75" x14ac:dyDescent="0.25">
      <c r="A44" s="210" t="s">
        <v>70</v>
      </c>
      <c r="B44" s="211">
        <f>HLOOKUP($A$1,DADOS!1:174,100,0)</f>
        <v>111921421</v>
      </c>
      <c r="C44" s="212">
        <f>HLOOKUP($A$1,DADOS!1:174,101,0)</f>
        <v>107128032.56999999</v>
      </c>
      <c r="D44" s="211">
        <f>HLOOKUP($A$1,DADOS!1:174,102,0)</f>
        <v>41156414.920000002</v>
      </c>
      <c r="E44" s="211">
        <f>HLOOKUP($A$1,DADOS!1:174,103,0)</f>
        <v>22405370.59</v>
      </c>
      <c r="F44" s="211">
        <f>HLOOKUP($A$1,DADOS!1:174,104,0)</f>
        <v>21974448.07</v>
      </c>
      <c r="G44" s="213">
        <f>C44-D44</f>
        <v>65971617.649999991</v>
      </c>
    </row>
    <row r="45" spans="1:9" ht="15.75" x14ac:dyDescent="0.25">
      <c r="A45" s="231" t="s">
        <v>249</v>
      </c>
      <c r="B45" s="214">
        <f>SUM(B46:B48)</f>
        <v>16412981</v>
      </c>
      <c r="C45" s="214">
        <f>SUM(C46:C48)</f>
        <v>16175457.949999999</v>
      </c>
      <c r="D45" s="214">
        <f>SUM(D46:D48)</f>
        <v>0</v>
      </c>
      <c r="E45" s="214">
        <f>SUM(E46:E48)</f>
        <v>0</v>
      </c>
      <c r="F45" s="214">
        <f>SUM(F46:F48)</f>
        <v>0</v>
      </c>
      <c r="G45" s="215">
        <f>C45-D45</f>
        <v>16175457.949999999</v>
      </c>
    </row>
    <row r="46" spans="1:9" ht="15.75" x14ac:dyDescent="0.25">
      <c r="A46" s="210" t="s">
        <v>71</v>
      </c>
      <c r="B46" s="211">
        <f>HLOOKUP($A$1,DADOS!1:174,106,0)</f>
        <v>16412981</v>
      </c>
      <c r="C46" s="212">
        <f>HLOOKUP($A$1,DADOS!1:174,107,0)</f>
        <v>16175457.949999999</v>
      </c>
      <c r="D46" s="211">
        <f>HLOOKUP($A$1,DADOS!1:174,108,0)</f>
        <v>0</v>
      </c>
      <c r="E46" s="211">
        <f>HLOOKUP($A$1,DADOS!1:174,109,0)</f>
        <v>0</v>
      </c>
      <c r="F46" s="211">
        <f>HLOOKUP($A$1,DADOS!1:174,110,0)</f>
        <v>0</v>
      </c>
      <c r="G46" s="213">
        <f>C46-D46</f>
        <v>16175457.949999999</v>
      </c>
    </row>
    <row r="47" spans="1:9" ht="15.75" x14ac:dyDescent="0.25">
      <c r="A47" s="210" t="s">
        <v>72</v>
      </c>
      <c r="B47" s="210"/>
      <c r="C47" s="210"/>
      <c r="D47" s="210"/>
      <c r="E47" s="210"/>
      <c r="F47" s="210"/>
      <c r="G47" s="210"/>
    </row>
    <row r="48" spans="1:9" ht="15.75" x14ac:dyDescent="0.25">
      <c r="A48" s="210" t="s">
        <v>73</v>
      </c>
      <c r="B48" s="210"/>
      <c r="C48" s="210"/>
      <c r="D48" s="210"/>
      <c r="E48" s="210"/>
      <c r="F48" s="210"/>
      <c r="G48" s="210"/>
    </row>
    <row r="49" spans="1:16" ht="15.75" x14ac:dyDescent="0.25">
      <c r="A49" s="216" t="s">
        <v>250</v>
      </c>
      <c r="B49" s="216"/>
      <c r="C49" s="216"/>
      <c r="D49" s="216"/>
      <c r="E49" s="216"/>
      <c r="F49" s="216"/>
      <c r="G49" s="216"/>
    </row>
    <row r="50" spans="1:16" ht="15.75" hidden="1" x14ac:dyDescent="0.25">
      <c r="A50" s="216" t="s">
        <v>74</v>
      </c>
      <c r="B50" s="216"/>
      <c r="C50" s="216"/>
      <c r="D50" s="216"/>
      <c r="E50" s="216"/>
      <c r="F50" s="216"/>
      <c r="G50" s="216"/>
    </row>
    <row r="51" spans="1:16" ht="15.75" x14ac:dyDescent="0.25">
      <c r="A51" s="231" t="s">
        <v>251</v>
      </c>
      <c r="B51" s="215">
        <f>B41+B45+B49+B50</f>
        <v>128334402</v>
      </c>
      <c r="C51" s="215">
        <f>C41+C45+C49+C50</f>
        <v>123303490.52</v>
      </c>
      <c r="D51" s="215">
        <f>D41+D45+D49+D50</f>
        <v>41156414.920000002</v>
      </c>
      <c r="E51" s="215">
        <f>E41+E45+E49+E50</f>
        <v>22405370.59</v>
      </c>
      <c r="F51" s="215">
        <f>F41+F45+F49+F50</f>
        <v>21974448.07</v>
      </c>
      <c r="G51" s="215">
        <f>C51-D51</f>
        <v>82147075.599999994</v>
      </c>
    </row>
    <row r="52" spans="1:16" ht="15.75" x14ac:dyDescent="0.25">
      <c r="A52" s="233" t="s">
        <v>252</v>
      </c>
      <c r="B52" s="208">
        <f>SUM(B53:B58)</f>
        <v>0</v>
      </c>
      <c r="C52" s="208">
        <f>SUM(C53:C58)</f>
        <v>0</v>
      </c>
      <c r="D52" s="208">
        <f>SUM(D53:D58)</f>
        <v>0</v>
      </c>
      <c r="E52" s="208">
        <f>SUM(E53:E58)</f>
        <v>0</v>
      </c>
      <c r="F52" s="208">
        <f>SUM(F53:F58)</f>
        <v>0</v>
      </c>
      <c r="G52" s="208">
        <f>(C52-D52)</f>
        <v>0</v>
      </c>
    </row>
    <row r="53" spans="1:16" ht="15.75" x14ac:dyDescent="0.25">
      <c r="A53" s="210" t="s">
        <v>75</v>
      </c>
      <c r="B53" s="210"/>
      <c r="C53" s="210"/>
      <c r="D53" s="210"/>
      <c r="E53" s="210"/>
      <c r="F53" s="210"/>
      <c r="G53" s="210"/>
    </row>
    <row r="54" spans="1:16" ht="15.75" x14ac:dyDescent="0.25">
      <c r="A54" s="210" t="s">
        <v>172</v>
      </c>
      <c r="B54" s="210"/>
      <c r="C54" s="210"/>
      <c r="D54" s="210"/>
      <c r="E54" s="210"/>
      <c r="F54" s="210"/>
      <c r="G54" s="210"/>
    </row>
    <row r="55" spans="1:16" ht="15.75" x14ac:dyDescent="0.25">
      <c r="A55" s="210" t="s">
        <v>76</v>
      </c>
      <c r="B55" s="210"/>
      <c r="C55" s="210"/>
      <c r="D55" s="210"/>
      <c r="E55" s="210"/>
      <c r="F55" s="210"/>
      <c r="G55" s="210"/>
    </row>
    <row r="56" spans="1:16" ht="15.75" x14ac:dyDescent="0.25">
      <c r="A56" s="210" t="s">
        <v>77</v>
      </c>
      <c r="B56" s="210"/>
      <c r="C56" s="210"/>
      <c r="D56" s="210"/>
      <c r="E56" s="210"/>
      <c r="F56" s="210"/>
      <c r="G56" s="210"/>
    </row>
    <row r="57" spans="1:16" ht="15.75" x14ac:dyDescent="0.25">
      <c r="A57" s="210" t="s">
        <v>173</v>
      </c>
      <c r="B57" s="210"/>
      <c r="C57" s="210"/>
      <c r="D57" s="210"/>
      <c r="E57" s="210"/>
      <c r="F57" s="210"/>
      <c r="G57" s="210"/>
    </row>
    <row r="58" spans="1:16" ht="15.75" x14ac:dyDescent="0.25">
      <c r="A58" s="210" t="s">
        <v>76</v>
      </c>
      <c r="B58" s="210"/>
      <c r="C58" s="210"/>
      <c r="D58" s="210"/>
      <c r="E58" s="210"/>
      <c r="F58" s="210"/>
      <c r="G58" s="210"/>
    </row>
    <row r="59" spans="1:16" ht="15.75" x14ac:dyDescent="0.25">
      <c r="A59" s="231" t="s">
        <v>253</v>
      </c>
      <c r="B59" s="215">
        <f>(B51+B52)</f>
        <v>128334402</v>
      </c>
      <c r="C59" s="215">
        <f>(C51+C52)</f>
        <v>123303490.52</v>
      </c>
      <c r="D59" s="215">
        <f>(D51+D52)</f>
        <v>41156414.920000002</v>
      </c>
      <c r="E59" s="215">
        <f>(E51+E52)</f>
        <v>22405370.59</v>
      </c>
      <c r="F59" s="215">
        <f>(F51+F52)</f>
        <v>21974448.07</v>
      </c>
      <c r="G59" s="214">
        <f>(C59-D59)</f>
        <v>82147075.599999994</v>
      </c>
    </row>
    <row r="60" spans="1:16" ht="15.75" x14ac:dyDescent="0.25">
      <c r="A60" s="231" t="s">
        <v>254</v>
      </c>
      <c r="B60" s="214">
        <f>IF(B32&gt;B59,B32-B59,0)</f>
        <v>3141887</v>
      </c>
      <c r="C60" s="214">
        <f>IF(D32&gt;C59,D32-C59,0)</f>
        <v>8172798.4800000042</v>
      </c>
      <c r="D60" s="214">
        <f>IF(F32&gt;D59,F32-D59,0)</f>
        <v>0</v>
      </c>
      <c r="E60" s="214">
        <f>IF(E32&gt;E59,E32-E59,0)</f>
        <v>0</v>
      </c>
      <c r="F60" s="214">
        <v>0</v>
      </c>
      <c r="G60" s="206">
        <f>+C60-D60</f>
        <v>8172798.4800000042</v>
      </c>
    </row>
    <row r="61" spans="1:16" ht="15.75" x14ac:dyDescent="0.25">
      <c r="A61" s="231" t="s">
        <v>255</v>
      </c>
      <c r="B61" s="215">
        <f>B59+B60</f>
        <v>131476289</v>
      </c>
      <c r="C61" s="215">
        <f>C59+C60</f>
        <v>131476289</v>
      </c>
      <c r="D61" s="215">
        <f>D59+D60</f>
        <v>41156414.920000002</v>
      </c>
      <c r="E61" s="215">
        <f>E59+E60</f>
        <v>22405370.59</v>
      </c>
      <c r="F61" s="215">
        <f>F59+F60</f>
        <v>21974448.07</v>
      </c>
      <c r="G61" s="214">
        <f>(C61-D61)</f>
        <v>90319874.079999998</v>
      </c>
    </row>
    <row r="62" spans="1:16" ht="15.75" x14ac:dyDescent="0.25">
      <c r="A62" s="265" t="s">
        <v>257</v>
      </c>
      <c r="B62" s="215"/>
      <c r="C62" s="215"/>
      <c r="D62" s="215"/>
      <c r="E62" s="215"/>
      <c r="F62" s="215"/>
      <c r="G62" s="214"/>
    </row>
    <row r="63" spans="1:16" s="121" customFormat="1" ht="13.5" customHeight="1" x14ac:dyDescent="0.2">
      <c r="A63" s="308" t="s">
        <v>46</v>
      </c>
      <c r="B63" s="118"/>
      <c r="C63" s="118"/>
      <c r="D63" s="118"/>
      <c r="E63" s="119"/>
      <c r="F63" s="119"/>
      <c r="G63" s="119"/>
      <c r="H63" s="118"/>
      <c r="I63" s="318"/>
      <c r="J63" s="118"/>
      <c r="K63" s="119"/>
      <c r="L63" s="119"/>
      <c r="M63" s="119"/>
      <c r="N63" s="120"/>
    </row>
    <row r="64" spans="1:16" s="121" customFormat="1" ht="15" customHeight="1" x14ac:dyDescent="0.2">
      <c r="A64" s="308" t="s">
        <v>47</v>
      </c>
      <c r="B64" s="122"/>
      <c r="C64" s="122"/>
      <c r="D64" s="122"/>
      <c r="E64" s="122"/>
      <c r="F64" s="122"/>
      <c r="G64" s="122"/>
      <c r="H64" s="122"/>
      <c r="I64" s="316"/>
      <c r="J64" s="306"/>
      <c r="K64" s="122"/>
      <c r="L64" s="122"/>
      <c r="M64" s="122"/>
      <c r="N64" s="125"/>
      <c r="P64" s="124"/>
    </row>
    <row r="65" spans="1:14" s="121" customFormat="1" ht="14.85" customHeight="1" x14ac:dyDescent="0.2">
      <c r="A65" s="326" t="s">
        <v>285</v>
      </c>
      <c r="B65" s="326"/>
      <c r="C65" s="326"/>
      <c r="D65" s="326"/>
      <c r="E65" s="326"/>
      <c r="F65" s="326"/>
      <c r="G65" s="326"/>
      <c r="H65" s="327"/>
      <c r="I65" s="317"/>
      <c r="J65" s="327"/>
      <c r="K65" s="327"/>
      <c r="L65" s="327"/>
      <c r="M65" s="307"/>
      <c r="N65" s="123"/>
    </row>
    <row r="66" spans="1:14" s="121" customFormat="1" ht="14.85" customHeight="1" x14ac:dyDescent="0.2">
      <c r="A66" s="328" t="s">
        <v>273</v>
      </c>
      <c r="B66" s="328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309"/>
      <c r="N66" s="162"/>
    </row>
    <row r="67" spans="1:14" s="121" customFormat="1" ht="14.85" customHeight="1" x14ac:dyDescent="0.2">
      <c r="A67" s="326" t="s">
        <v>280</v>
      </c>
      <c r="B67" s="326"/>
      <c r="C67" s="326"/>
      <c r="D67" s="326"/>
      <c r="E67" s="326"/>
      <c r="F67" s="326"/>
      <c r="G67" s="326"/>
      <c r="H67" s="327"/>
      <c r="I67" s="327"/>
      <c r="J67" s="327"/>
      <c r="K67" s="327"/>
      <c r="L67" s="327"/>
      <c r="M67" s="307"/>
      <c r="N67" s="162"/>
    </row>
    <row r="68" spans="1:14" s="121" customFormat="1" ht="14.85" customHeight="1" x14ac:dyDescent="0.2">
      <c r="A68" s="480" t="s">
        <v>279</v>
      </c>
      <c r="B68" s="480"/>
      <c r="C68" s="480"/>
      <c r="D68" s="480"/>
      <c r="E68" s="480"/>
      <c r="F68" s="480"/>
      <c r="G68" s="480"/>
      <c r="H68" s="327"/>
      <c r="I68" s="327"/>
      <c r="J68" s="327"/>
      <c r="K68" s="327"/>
      <c r="L68" s="327"/>
      <c r="M68" s="307"/>
      <c r="N68" s="162"/>
    </row>
    <row r="69" spans="1:14" s="121" customFormat="1" ht="14.85" customHeight="1" x14ac:dyDescent="0.2">
      <c r="A69" s="449" t="s">
        <v>284</v>
      </c>
      <c r="B69" s="449"/>
      <c r="C69" s="449"/>
      <c r="D69" s="449"/>
      <c r="E69" s="449"/>
      <c r="F69" s="449"/>
      <c r="G69" s="449"/>
      <c r="H69" s="449"/>
      <c r="I69" s="449"/>
      <c r="J69" s="449"/>
      <c r="K69" s="449"/>
      <c r="L69" s="449"/>
      <c r="N69" s="162"/>
    </row>
    <row r="70" spans="1:14" ht="12.75" customHeight="1" x14ac:dyDescent="0.25">
      <c r="A70" s="285"/>
    </row>
    <row r="71" spans="1:14" ht="12.75" customHeight="1" x14ac:dyDescent="0.25">
      <c r="A71" s="285"/>
    </row>
    <row r="72" spans="1:14" ht="12" customHeight="1" x14ac:dyDescent="0.25">
      <c r="A72" s="285"/>
    </row>
    <row r="76" spans="1:14" s="17" customFormat="1" ht="13.5" customHeight="1" x14ac:dyDescent="0.2">
      <c r="A76" s="25" t="s">
        <v>223</v>
      </c>
      <c r="B76" s="510" t="s">
        <v>300</v>
      </c>
      <c r="C76" s="510"/>
      <c r="D76" s="510"/>
      <c r="E76" s="487" t="s">
        <v>237</v>
      </c>
      <c r="F76" s="487"/>
      <c r="G76" s="487"/>
      <c r="H76" s="487"/>
      <c r="I76" s="161"/>
    </row>
    <row r="77" spans="1:14" s="1" customFormat="1" ht="13.5" customHeight="1" x14ac:dyDescent="0.2">
      <c r="A77" s="27" t="s">
        <v>49</v>
      </c>
      <c r="B77" s="509" t="s">
        <v>302</v>
      </c>
      <c r="C77" s="509"/>
      <c r="D77" s="509"/>
      <c r="E77" s="488" t="s">
        <v>295</v>
      </c>
      <c r="F77" s="488"/>
      <c r="G77" s="488"/>
      <c r="H77" s="488"/>
      <c r="I77" s="2"/>
    </row>
    <row r="78" spans="1:14" s="1" customFormat="1" ht="13.5" customHeight="1" x14ac:dyDescent="0.2">
      <c r="A78" s="29" t="s">
        <v>224</v>
      </c>
      <c r="B78" s="482" t="s">
        <v>305</v>
      </c>
      <c r="C78" s="482"/>
      <c r="D78" s="482"/>
      <c r="E78" s="507" t="s">
        <v>239</v>
      </c>
      <c r="F78" s="507"/>
      <c r="G78" s="507"/>
      <c r="H78" s="507"/>
      <c r="I78" s="2"/>
    </row>
    <row r="79" spans="1:14" s="1" customFormat="1" ht="13.5" customHeight="1" x14ac:dyDescent="0.2">
      <c r="A79" s="31" t="s">
        <v>51</v>
      </c>
      <c r="B79" s="482" t="s">
        <v>51</v>
      </c>
      <c r="C79" s="482"/>
      <c r="D79" s="482"/>
      <c r="E79" s="482" t="s">
        <v>51</v>
      </c>
      <c r="F79" s="482"/>
      <c r="G79" s="482"/>
      <c r="H79" s="482"/>
      <c r="I79" s="2"/>
    </row>
  </sheetData>
  <mergeCells count="76">
    <mergeCell ref="B77:D77"/>
    <mergeCell ref="B76:D76"/>
    <mergeCell ref="B34:C34"/>
    <mergeCell ref="B31:C31"/>
    <mergeCell ref="D32:E32"/>
    <mergeCell ref="B32:C32"/>
    <mergeCell ref="D26:E26"/>
    <mergeCell ref="D36:E36"/>
    <mergeCell ref="D29:E29"/>
    <mergeCell ref="B27:C27"/>
    <mergeCell ref="B30:C30"/>
    <mergeCell ref="B29:C29"/>
    <mergeCell ref="B28:C28"/>
    <mergeCell ref="B26:C26"/>
    <mergeCell ref="B15:C15"/>
    <mergeCell ref="B16:C16"/>
    <mergeCell ref="B24:C24"/>
    <mergeCell ref="B23:C23"/>
    <mergeCell ref="B10:C10"/>
    <mergeCell ref="B7:C7"/>
    <mergeCell ref="B8:C8"/>
    <mergeCell ref="B25:C25"/>
    <mergeCell ref="B9:C9"/>
    <mergeCell ref="B11:C11"/>
    <mergeCell ref="B12:C12"/>
    <mergeCell ref="B21:C21"/>
    <mergeCell ref="B22:C22"/>
    <mergeCell ref="B13:C13"/>
    <mergeCell ref="B14:C14"/>
    <mergeCell ref="D13:E13"/>
    <mergeCell ref="D14:E14"/>
    <mergeCell ref="D7:E7"/>
    <mergeCell ref="D8:E8"/>
    <mergeCell ref="D11:E11"/>
    <mergeCell ref="D12:E12"/>
    <mergeCell ref="D10:E10"/>
    <mergeCell ref="D9:E9"/>
    <mergeCell ref="B19:C19"/>
    <mergeCell ref="B20:C20"/>
    <mergeCell ref="D17:E17"/>
    <mergeCell ref="D18:E18"/>
    <mergeCell ref="B17:C17"/>
    <mergeCell ref="B18:C18"/>
    <mergeCell ref="D20:E20"/>
    <mergeCell ref="A2:G2"/>
    <mergeCell ref="A3:G3"/>
    <mergeCell ref="A4:G4"/>
    <mergeCell ref="A5:G5"/>
    <mergeCell ref="D31:E31"/>
    <mergeCell ref="D15:E15"/>
    <mergeCell ref="D21:E21"/>
    <mergeCell ref="D22:E22"/>
    <mergeCell ref="D23:E23"/>
    <mergeCell ref="D24:E24"/>
    <mergeCell ref="D27:E27"/>
    <mergeCell ref="D28:E28"/>
    <mergeCell ref="D30:E30"/>
    <mergeCell ref="D25:E25"/>
    <mergeCell ref="D19:E19"/>
    <mergeCell ref="D16:E16"/>
    <mergeCell ref="B79:D79"/>
    <mergeCell ref="D33:E33"/>
    <mergeCell ref="D34:E34"/>
    <mergeCell ref="B78:D78"/>
    <mergeCell ref="B36:C36"/>
    <mergeCell ref="A69:L69"/>
    <mergeCell ref="A68:G68"/>
    <mergeCell ref="E79:H79"/>
    <mergeCell ref="E76:H76"/>
    <mergeCell ref="E77:H77"/>
    <mergeCell ref="B33:C33"/>
    <mergeCell ref="B37:C37"/>
    <mergeCell ref="D35:E35"/>
    <mergeCell ref="D37:E37"/>
    <mergeCell ref="B35:C35"/>
    <mergeCell ref="E78:H78"/>
  </mergeCells>
  <phoneticPr fontId="29" type="noConversion"/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  <ignoredErrors>
    <ignoredError sqref="G33 G6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tabColor indexed="42"/>
    <pageSetUpPr fitToPage="1"/>
  </sheetPr>
  <dimension ref="A1:O43"/>
  <sheetViews>
    <sheetView zoomScaleNormal="100" workbookViewId="0">
      <selection activeCell="J24" sqref="J24"/>
    </sheetView>
  </sheetViews>
  <sheetFormatPr defaultRowHeight="15" x14ac:dyDescent="0.25"/>
  <cols>
    <col min="1" max="1" width="47.7109375" style="34" bestFit="1" customWidth="1"/>
    <col min="2" max="2" width="21.42578125" style="34" customWidth="1"/>
    <col min="3" max="3" width="22.85546875" style="34" customWidth="1"/>
    <col min="4" max="4" width="16.42578125" style="34" bestFit="1" customWidth="1"/>
    <col min="5" max="5" width="14.28515625" style="34" customWidth="1"/>
    <col min="6" max="6" width="19.42578125" style="34" customWidth="1"/>
    <col min="7" max="7" width="19.140625" style="34" bestFit="1" customWidth="1"/>
    <col min="8" max="8" width="9.140625" style="34"/>
    <col min="9" max="9" width="15.28515625" style="34" customWidth="1"/>
    <col min="10" max="10" width="14.140625" style="34" customWidth="1"/>
    <col min="11" max="11" width="18" style="34" customWidth="1"/>
    <col min="12" max="16384" width="9.140625" style="34"/>
  </cols>
  <sheetData>
    <row r="1" spans="1:7" x14ac:dyDescent="0.25">
      <c r="A1" s="114">
        <f>'Balanço Orçamentário MCASP'!A1</f>
        <v>43556</v>
      </c>
    </row>
    <row r="2" spans="1:7" x14ac:dyDescent="0.25">
      <c r="A2" s="518" t="s">
        <v>188</v>
      </c>
      <c r="B2" s="518"/>
      <c r="C2" s="518"/>
      <c r="D2" s="518"/>
      <c r="E2" s="518"/>
      <c r="F2" s="518"/>
      <c r="G2" s="518"/>
    </row>
    <row r="3" spans="1:7" x14ac:dyDescent="0.25">
      <c r="A3" s="518" t="s">
        <v>152</v>
      </c>
      <c r="B3" s="518"/>
      <c r="C3" s="518"/>
      <c r="D3" s="518"/>
      <c r="E3" s="518"/>
      <c r="F3" s="518"/>
      <c r="G3" s="518"/>
    </row>
    <row r="4" spans="1:7" x14ac:dyDescent="0.25">
      <c r="A4" s="518" t="s">
        <v>298</v>
      </c>
      <c r="B4" s="518"/>
      <c r="C4" s="518"/>
      <c r="D4" s="518"/>
      <c r="E4" s="518"/>
      <c r="F4" s="518"/>
      <c r="G4" s="518"/>
    </row>
    <row r="5" spans="1:7" x14ac:dyDescent="0.25">
      <c r="A5" s="33"/>
      <c r="B5" s="33"/>
      <c r="C5" s="33"/>
      <c r="D5" s="33"/>
      <c r="E5" s="33"/>
      <c r="F5" s="33"/>
      <c r="G5" s="43"/>
    </row>
    <row r="6" spans="1:7" ht="15.75" thickBot="1" x14ac:dyDescent="0.3">
      <c r="A6" s="33"/>
      <c r="B6" s="33"/>
      <c r="C6" s="33"/>
      <c r="D6" s="33"/>
      <c r="E6" s="33"/>
      <c r="F6" s="33"/>
      <c r="G6" s="33"/>
    </row>
    <row r="7" spans="1:7" ht="15.75" thickBot="1" x14ac:dyDescent="0.3">
      <c r="A7" s="514" t="s">
        <v>218</v>
      </c>
      <c r="B7" s="516" t="s">
        <v>78</v>
      </c>
      <c r="C7" s="517"/>
      <c r="D7" s="519" t="s">
        <v>79</v>
      </c>
      <c r="E7" s="521" t="s">
        <v>80</v>
      </c>
      <c r="F7" s="519" t="s">
        <v>81</v>
      </c>
      <c r="G7" s="523" t="s">
        <v>82</v>
      </c>
    </row>
    <row r="8" spans="1:7" ht="42" customHeight="1" thickBot="1" x14ac:dyDescent="0.3">
      <c r="A8" s="525"/>
      <c r="B8" s="44" t="s">
        <v>83</v>
      </c>
      <c r="C8" s="45" t="s">
        <v>84</v>
      </c>
      <c r="D8" s="520"/>
      <c r="E8" s="522"/>
      <c r="F8" s="520"/>
      <c r="G8" s="524"/>
    </row>
    <row r="9" spans="1:7" ht="16.5" thickBot="1" x14ac:dyDescent="0.3">
      <c r="A9" s="46" t="s">
        <v>85</v>
      </c>
      <c r="B9" s="217">
        <f>SUM(B10:B12)</f>
        <v>0</v>
      </c>
      <c r="C9" s="218">
        <f>SUM(C10:C12)</f>
        <v>5878360.29</v>
      </c>
      <c r="D9" s="218">
        <f>SUM(D10:D12)</f>
        <v>1390063.27</v>
      </c>
      <c r="E9" s="217">
        <f>SUM(E10:E12)</f>
        <v>1390063.27</v>
      </c>
      <c r="F9" s="218">
        <f>SUM(F10:F12)</f>
        <v>4488297.0199999996</v>
      </c>
      <c r="G9" s="219">
        <f t="shared" ref="G9:G16" si="0">B9+C9-E9-F9</f>
        <v>0</v>
      </c>
    </row>
    <row r="10" spans="1:7" ht="15.75" x14ac:dyDescent="0.25">
      <c r="A10" s="229" t="s">
        <v>68</v>
      </c>
      <c r="B10" s="50"/>
      <c r="C10" s="51"/>
      <c r="D10" s="51"/>
      <c r="E10" s="50"/>
      <c r="F10" s="51"/>
      <c r="G10" s="52">
        <f t="shared" si="0"/>
        <v>0</v>
      </c>
    </row>
    <row r="11" spans="1:7" ht="15.75" x14ac:dyDescent="0.25">
      <c r="A11" s="229" t="s">
        <v>69</v>
      </c>
      <c r="B11" s="50"/>
      <c r="C11" s="51"/>
      <c r="D11" s="53"/>
      <c r="E11" s="54"/>
      <c r="F11" s="51"/>
      <c r="G11" s="52">
        <f t="shared" si="0"/>
        <v>0</v>
      </c>
    </row>
    <row r="12" spans="1:7" ht="16.5" thickBot="1" x14ac:dyDescent="0.3">
      <c r="A12" s="229" t="s">
        <v>70</v>
      </c>
      <c r="B12" s="220">
        <f>HLOOKUP($A$1,DADOS!1:174,140,0)</f>
        <v>0</v>
      </c>
      <c r="C12" s="221">
        <f>HLOOKUP($A$1,DADOS!1:174,124,0)</f>
        <v>5878360.29</v>
      </c>
      <c r="D12" s="222">
        <f>$E$12</f>
        <v>1390063.27</v>
      </c>
      <c r="E12" s="223">
        <f>HLOOKUP($A$1,DADOS!1:174,126,0)+HLOOKUP($A$1,DADOS!1:174,142,0)</f>
        <v>1390063.27</v>
      </c>
      <c r="F12" s="224">
        <f>HLOOKUP($A$1,DADOS!1:174,128,0)+HLOOKUP($A$1,DADOS!1:174,136,0)+HLOOKUP($A$1,DADOS!1:174,144,0)</f>
        <v>4488297.0199999996</v>
      </c>
      <c r="G12" s="225">
        <f>B12+C12-E12-F12</f>
        <v>0</v>
      </c>
    </row>
    <row r="13" spans="1:7" ht="16.5" thickBot="1" x14ac:dyDescent="0.3">
      <c r="A13" s="46" t="s">
        <v>86</v>
      </c>
      <c r="B13" s="47">
        <f>SUM(B14:B16)</f>
        <v>0</v>
      </c>
      <c r="C13" s="218">
        <f>SUM(C14:C16)</f>
        <v>31770.02</v>
      </c>
      <c r="D13" s="218">
        <f>SUM(D14:D16)</f>
        <v>0</v>
      </c>
      <c r="E13" s="217">
        <f>SUM(E14:E16)</f>
        <v>0</v>
      </c>
      <c r="F13" s="218">
        <f>SUM(F14:F16)</f>
        <v>31770.02</v>
      </c>
      <c r="G13" s="49">
        <f t="shared" si="0"/>
        <v>0</v>
      </c>
    </row>
    <row r="14" spans="1:7" ht="15.75" x14ac:dyDescent="0.25">
      <c r="A14" s="229" t="s">
        <v>71</v>
      </c>
      <c r="B14" s="115">
        <f>HLOOKUP($A$1,DADOS!1:174,139,0)</f>
        <v>0</v>
      </c>
      <c r="C14" s="221">
        <f>HLOOKUP($A$1,DADOS!1:174,131,0)</f>
        <v>31770.02</v>
      </c>
      <c r="D14" s="226">
        <f>$E$14</f>
        <v>0</v>
      </c>
      <c r="E14" s="220">
        <f>HLOOKUP($A$1,DADOS!1:174,133,0)+HLOOKUP($A$1,DADOS!1:174,149,0)</f>
        <v>0</v>
      </c>
      <c r="F14" s="224">
        <f>HLOOKUP($A$1,DADOS!1:174,135,0)+HLOOKUP($A$1,DADOS!1:174,151,0)</f>
        <v>31770.02</v>
      </c>
      <c r="G14" s="52">
        <f t="shared" si="0"/>
        <v>0</v>
      </c>
    </row>
    <row r="15" spans="1:7" ht="15.75" x14ac:dyDescent="0.25">
      <c r="A15" s="229" t="s">
        <v>72</v>
      </c>
      <c r="B15" s="50"/>
      <c r="C15" s="51"/>
      <c r="D15" s="51"/>
      <c r="E15" s="50"/>
      <c r="F15" s="51"/>
      <c r="G15" s="52">
        <f t="shared" si="0"/>
        <v>0</v>
      </c>
    </row>
    <row r="16" spans="1:7" ht="16.5" thickBot="1" x14ac:dyDescent="0.3">
      <c r="A16" s="230" t="s">
        <v>73</v>
      </c>
      <c r="B16" s="50"/>
      <c r="C16" s="51"/>
      <c r="D16" s="51"/>
      <c r="E16" s="55"/>
      <c r="F16" s="51"/>
      <c r="G16" s="52">
        <f t="shared" si="0"/>
        <v>0</v>
      </c>
    </row>
    <row r="17" spans="1:15" s="39" customFormat="1" ht="16.5" thickBot="1" x14ac:dyDescent="0.3">
      <c r="A17" s="56" t="s">
        <v>87</v>
      </c>
      <c r="B17" s="227">
        <f t="shared" ref="B17:G17" si="1">B9+B13</f>
        <v>0</v>
      </c>
      <c r="C17" s="227">
        <f t="shared" si="1"/>
        <v>5910130.3099999996</v>
      </c>
      <c r="D17" s="227">
        <f t="shared" si="1"/>
        <v>1390063.27</v>
      </c>
      <c r="E17" s="227">
        <f t="shared" si="1"/>
        <v>1390063.27</v>
      </c>
      <c r="F17" s="227">
        <f t="shared" si="1"/>
        <v>4520067.0399999991</v>
      </c>
      <c r="G17" s="227">
        <f t="shared" si="1"/>
        <v>0</v>
      </c>
      <c r="I17" s="365"/>
      <c r="J17" s="358"/>
      <c r="K17" s="358"/>
    </row>
    <row r="18" spans="1:15" x14ac:dyDescent="0.25">
      <c r="I18" s="366"/>
      <c r="J18" s="312"/>
      <c r="K18" s="312"/>
    </row>
    <row r="19" spans="1:15" ht="15.75" thickBot="1" x14ac:dyDescent="0.3">
      <c r="A19" s="33"/>
      <c r="B19" s="33"/>
      <c r="C19" s="33"/>
      <c r="D19" s="33"/>
      <c r="E19" s="33"/>
      <c r="F19" s="33"/>
      <c r="G19" s="33"/>
      <c r="I19" s="366"/>
      <c r="J19" s="312"/>
      <c r="K19" s="312"/>
    </row>
    <row r="20" spans="1:15" ht="15.75" thickBot="1" x14ac:dyDescent="0.3">
      <c r="A20" s="514" t="s">
        <v>217</v>
      </c>
      <c r="B20" s="516" t="s">
        <v>78</v>
      </c>
      <c r="C20" s="517"/>
      <c r="D20" s="511" t="s">
        <v>274</v>
      </c>
      <c r="E20" s="511" t="s">
        <v>275</v>
      </c>
      <c r="F20" s="511" t="s">
        <v>276</v>
      </c>
      <c r="I20" s="366"/>
      <c r="J20" s="312"/>
      <c r="K20" s="312"/>
    </row>
    <row r="21" spans="1:15" ht="30.75" thickBot="1" x14ac:dyDescent="0.3">
      <c r="A21" s="515"/>
      <c r="B21" s="44" t="s">
        <v>83</v>
      </c>
      <c r="C21" s="45" t="s">
        <v>84</v>
      </c>
      <c r="D21" s="512"/>
      <c r="E21" s="512"/>
      <c r="F21" s="512"/>
      <c r="I21" s="366"/>
      <c r="J21" s="312"/>
      <c r="K21" s="312"/>
    </row>
    <row r="22" spans="1:15" ht="16.5" thickBot="1" x14ac:dyDescent="0.3">
      <c r="A22" s="56" t="s">
        <v>85</v>
      </c>
      <c r="B22" s="217">
        <f>SUM(B23:B25)</f>
        <v>33664.910000000003</v>
      </c>
      <c r="C22" s="218">
        <f>SUM(C23:C25)</f>
        <v>152288.07</v>
      </c>
      <c r="D22" s="218">
        <f>SUM(D23:D25)</f>
        <v>79878.149999999994</v>
      </c>
      <c r="E22" s="218">
        <f>SUM(E23:E25)</f>
        <v>0</v>
      </c>
      <c r="F22" s="218">
        <f t="shared" ref="F22:F27" si="2">B22+C22-D22-E22</f>
        <v>106074.83000000002</v>
      </c>
      <c r="I22" s="366"/>
      <c r="J22" s="312"/>
      <c r="K22" s="312"/>
    </row>
    <row r="23" spans="1:15" ht="15.75" x14ac:dyDescent="0.25">
      <c r="A23" s="228" t="s">
        <v>68</v>
      </c>
      <c r="B23" s="50"/>
      <c r="C23" s="50"/>
      <c r="D23" s="53"/>
      <c r="E23" s="53"/>
      <c r="F23" s="51">
        <f t="shared" si="2"/>
        <v>0</v>
      </c>
      <c r="I23" s="366"/>
      <c r="J23" s="312"/>
      <c r="K23" s="312"/>
    </row>
    <row r="24" spans="1:15" ht="15.75" x14ac:dyDescent="0.25">
      <c r="A24" s="228" t="s">
        <v>69</v>
      </c>
      <c r="B24" s="50"/>
      <c r="C24" s="51"/>
      <c r="D24" s="51"/>
      <c r="E24" s="51"/>
      <c r="F24" s="51">
        <f t="shared" si="2"/>
        <v>0</v>
      </c>
      <c r="I24" s="366"/>
      <c r="J24" s="312"/>
      <c r="K24" s="312"/>
    </row>
    <row r="25" spans="1:15" ht="16.5" thickBot="1" x14ac:dyDescent="0.3">
      <c r="A25" s="228" t="s">
        <v>70</v>
      </c>
      <c r="B25" s="223">
        <f>HLOOKUP($A$1,DADOS!1:174,141,0)</f>
        <v>33664.910000000003</v>
      </c>
      <c r="C25" s="223">
        <f>HLOOKUP($A$1,DADOS!1:174,125,0)</f>
        <v>152288.07</v>
      </c>
      <c r="D25" s="224">
        <f>HLOOKUP($A$1,DADOS!1:174,127,0)+HLOOKUP($A$1,DADOS!1:174,143,0)</f>
        <v>79878.149999999994</v>
      </c>
      <c r="E25" s="224">
        <f>HLOOKUP($A$1,DADOS!1:174,129,0)+HLOOKUP($A$1,DADOS!1:174,145,0)</f>
        <v>0</v>
      </c>
      <c r="F25" s="221">
        <f t="shared" si="2"/>
        <v>106074.83000000002</v>
      </c>
      <c r="I25" s="366"/>
      <c r="J25" s="312"/>
      <c r="K25" s="312"/>
    </row>
    <row r="26" spans="1:15" ht="15.75" thickBot="1" x14ac:dyDescent="0.3">
      <c r="A26" s="56" t="s">
        <v>86</v>
      </c>
      <c r="B26" s="47">
        <f>SUM(B27:B29)</f>
        <v>0</v>
      </c>
      <c r="C26" s="48">
        <f>SUM(C27:C29)</f>
        <v>0</v>
      </c>
      <c r="D26" s="48">
        <f>SUM(D27:D29)</f>
        <v>0</v>
      </c>
      <c r="E26" s="48">
        <f>SUM(E27:E29)</f>
        <v>0</v>
      </c>
      <c r="F26" s="48">
        <f t="shared" si="2"/>
        <v>0</v>
      </c>
      <c r="I26" s="366"/>
      <c r="J26" s="312"/>
      <c r="K26" s="312"/>
    </row>
    <row r="27" spans="1:15" ht="15.75" x14ac:dyDescent="0.25">
      <c r="A27" s="228" t="s">
        <v>71</v>
      </c>
      <c r="B27" s="115">
        <f>HLOOKUP($A$1,DADOS!1:174,148,0)</f>
        <v>0</v>
      </c>
      <c r="C27" s="57">
        <f>HLOOKUP($A$1,DADOS!1:174,132,0)</f>
        <v>0</v>
      </c>
      <c r="D27" s="116">
        <f>HLOOKUP($A$1,DADOS!1:174,134,0)+HLOOKUP($A$1,DADOS!1:174,150,0)</f>
        <v>0</v>
      </c>
      <c r="E27" s="116">
        <f>HLOOKUP($A$1,DADOS!1:174,136,0)+HLOOKUP($A$1,DADOS!1:174,152,0)</f>
        <v>0</v>
      </c>
      <c r="F27" s="57">
        <f t="shared" si="2"/>
        <v>0</v>
      </c>
      <c r="I27" s="366"/>
      <c r="J27" s="312"/>
      <c r="K27" s="312"/>
    </row>
    <row r="28" spans="1:15" ht="15.75" x14ac:dyDescent="0.25">
      <c r="A28" s="228" t="s">
        <v>72</v>
      </c>
      <c r="B28" s="50"/>
      <c r="C28" s="51"/>
      <c r="D28" s="51"/>
      <c r="E28" s="51"/>
      <c r="F28" s="51"/>
      <c r="I28" s="366"/>
      <c r="J28" s="312"/>
      <c r="K28" s="312"/>
    </row>
    <row r="29" spans="1:15" ht="16.5" thickBot="1" x14ac:dyDescent="0.3">
      <c r="A29" s="228" t="s">
        <v>73</v>
      </c>
      <c r="B29" s="55"/>
      <c r="C29" s="51"/>
      <c r="D29" s="51"/>
      <c r="E29" s="51"/>
      <c r="F29" s="51"/>
      <c r="I29" s="366"/>
      <c r="J29" s="312"/>
      <c r="K29" s="312"/>
    </row>
    <row r="30" spans="1:15" s="39" customFormat="1" ht="18.75" thickBot="1" x14ac:dyDescent="0.45">
      <c r="A30" s="56" t="s">
        <v>87</v>
      </c>
      <c r="B30" s="227">
        <f>B22+B26</f>
        <v>33664.910000000003</v>
      </c>
      <c r="C30" s="227">
        <f>C22+C26</f>
        <v>152288.07</v>
      </c>
      <c r="D30" s="227">
        <f>D22+D26</f>
        <v>79878.149999999994</v>
      </c>
      <c r="E30" s="227">
        <f>E22+E26</f>
        <v>0</v>
      </c>
      <c r="F30" s="227">
        <f>F22+F26</f>
        <v>106074.83000000002</v>
      </c>
      <c r="I30" s="367"/>
      <c r="J30" s="359"/>
      <c r="K30" s="358"/>
    </row>
    <row r="31" spans="1:15" s="121" customFormat="1" ht="13.5" customHeight="1" x14ac:dyDescent="0.25">
      <c r="A31" s="311" t="s">
        <v>46</v>
      </c>
      <c r="B31" s="118"/>
      <c r="C31" s="118"/>
      <c r="D31" s="118"/>
      <c r="E31" s="119"/>
      <c r="F31" s="119"/>
      <c r="G31" s="119"/>
      <c r="H31" s="118"/>
      <c r="I31" s="365"/>
      <c r="J31" s="313"/>
      <c r="K31" s="360"/>
      <c r="L31" s="119"/>
      <c r="M31" s="120"/>
    </row>
    <row r="32" spans="1:15" s="121" customFormat="1" ht="13.5" customHeight="1" x14ac:dyDescent="0.2">
      <c r="A32" s="311" t="s">
        <v>47</v>
      </c>
      <c r="B32" s="122"/>
      <c r="C32" s="122"/>
      <c r="D32" s="122"/>
      <c r="E32" s="122"/>
      <c r="F32" s="122"/>
      <c r="G32" s="122"/>
      <c r="H32" s="122"/>
      <c r="I32" s="368"/>
      <c r="J32" s="314"/>
      <c r="K32" s="361"/>
      <c r="L32" s="122"/>
      <c r="M32" s="123"/>
      <c r="O32" s="124"/>
    </row>
    <row r="33" spans="1:13" s="121" customFormat="1" ht="12.95" customHeight="1" x14ac:dyDescent="0.2">
      <c r="A33" s="342" t="s">
        <v>285</v>
      </c>
      <c r="B33" s="342"/>
      <c r="C33" s="342"/>
      <c r="D33" s="342"/>
      <c r="E33" s="342"/>
      <c r="F33" s="342"/>
      <c r="G33" s="342"/>
      <c r="H33" s="343"/>
      <c r="I33" s="369"/>
      <c r="J33" s="344"/>
      <c r="K33" s="362"/>
      <c r="L33" s="343"/>
      <c r="M33" s="162"/>
    </row>
    <row r="34" spans="1:13" s="121" customFormat="1" ht="12.95" customHeight="1" x14ac:dyDescent="0.2">
      <c r="A34" s="345" t="s">
        <v>273</v>
      </c>
      <c r="B34" s="345"/>
      <c r="C34" s="345"/>
      <c r="D34" s="345"/>
      <c r="E34" s="345"/>
      <c r="F34" s="345"/>
      <c r="G34" s="345"/>
      <c r="H34" s="345"/>
      <c r="I34" s="363"/>
      <c r="J34" s="344"/>
      <c r="K34" s="364"/>
      <c r="L34" s="345"/>
      <c r="M34" s="310"/>
    </row>
    <row r="35" spans="1:13" s="121" customFormat="1" ht="12.95" customHeight="1" x14ac:dyDescent="0.25">
      <c r="A35" s="346" t="s">
        <v>277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"/>
    </row>
    <row r="36" spans="1:13" ht="12.95" customHeight="1" x14ac:dyDescent="0.25">
      <c r="A36" s="513" t="s">
        <v>304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</row>
    <row r="40" spans="1:13" s="17" customFormat="1" ht="13.5" customHeight="1" x14ac:dyDescent="0.2">
      <c r="A40" s="25" t="s">
        <v>223</v>
      </c>
      <c r="B40" s="510" t="s">
        <v>300</v>
      </c>
      <c r="C40" s="510"/>
      <c r="D40" s="510"/>
      <c r="E40" s="487" t="s">
        <v>237</v>
      </c>
      <c r="F40" s="487"/>
      <c r="G40" s="487"/>
      <c r="H40" s="487"/>
    </row>
    <row r="41" spans="1:13" s="1" customFormat="1" ht="13.5" customHeight="1" x14ac:dyDescent="0.2">
      <c r="A41" s="27" t="s">
        <v>49</v>
      </c>
      <c r="B41" s="509" t="s">
        <v>302</v>
      </c>
      <c r="C41" s="509"/>
      <c r="D41" s="509"/>
      <c r="E41" s="488" t="s">
        <v>295</v>
      </c>
      <c r="F41" s="488"/>
      <c r="G41" s="488"/>
      <c r="H41" s="488"/>
    </row>
    <row r="42" spans="1:13" s="1" customFormat="1" ht="13.5" customHeight="1" x14ac:dyDescent="0.2">
      <c r="A42" s="29" t="s">
        <v>224</v>
      </c>
      <c r="B42" s="482" t="s">
        <v>305</v>
      </c>
      <c r="C42" s="482"/>
      <c r="D42" s="482"/>
      <c r="E42" s="507" t="s">
        <v>239</v>
      </c>
      <c r="F42" s="507"/>
      <c r="G42" s="507"/>
      <c r="H42" s="507"/>
    </row>
    <row r="43" spans="1:13" s="1" customFormat="1" ht="13.5" customHeight="1" x14ac:dyDescent="0.2">
      <c r="A43" s="31" t="s">
        <v>51</v>
      </c>
      <c r="B43" s="482" t="s">
        <v>51</v>
      </c>
      <c r="C43" s="482"/>
      <c r="D43" s="482"/>
      <c r="E43" s="482" t="s">
        <v>51</v>
      </c>
      <c r="F43" s="482"/>
      <c r="G43" s="482"/>
      <c r="H43" s="482"/>
    </row>
  </sheetData>
  <mergeCells count="23">
    <mergeCell ref="A2:G2"/>
    <mergeCell ref="A3:G3"/>
    <mergeCell ref="A4:G4"/>
    <mergeCell ref="D7:D8"/>
    <mergeCell ref="E7:E8"/>
    <mergeCell ref="F7:F8"/>
    <mergeCell ref="G7:G8"/>
    <mergeCell ref="B7:C7"/>
    <mergeCell ref="A7:A8"/>
    <mergeCell ref="E20:E21"/>
    <mergeCell ref="D20:D21"/>
    <mergeCell ref="A36:L36"/>
    <mergeCell ref="B40:D40"/>
    <mergeCell ref="F20:F21"/>
    <mergeCell ref="A20:A21"/>
    <mergeCell ref="B20:C20"/>
    <mergeCell ref="B43:D43"/>
    <mergeCell ref="B41:D41"/>
    <mergeCell ref="B42:D42"/>
    <mergeCell ref="E40:H40"/>
    <mergeCell ref="E41:H41"/>
    <mergeCell ref="E42:H42"/>
    <mergeCell ref="E43:H43"/>
  </mergeCells>
  <phoneticPr fontId="29" type="noConversion"/>
  <pageMargins left="0.511811024" right="0.511811024" top="0.36" bottom="0.33" header="0.31496062000000002" footer="0.31496062000000002"/>
  <pageSetup paperSize="9" scale="82" orientation="landscape" verticalDpi="597" r:id="rId1"/>
  <headerFooter alignWithMargins="0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8"/>
  <sheetViews>
    <sheetView showGridLines="0" topLeftCell="A37" zoomScale="130" zoomScaleNormal="130" workbookViewId="0">
      <selection activeCell="G60" sqref="G60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3.28515625" style="1" customWidth="1"/>
    <col min="7" max="8" width="19.570312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1.42578125" style="1" customWidth="1"/>
    <col min="14" max="14" width="19.5703125" style="24" customWidth="1"/>
    <col min="15" max="15" width="19.5703125" style="271" customWidth="1"/>
    <col min="16" max="16" width="14.28515625" style="1" bestFit="1" customWidth="1"/>
    <col min="17" max="17" width="12.140625" style="1" customWidth="1"/>
    <col min="18" max="18" width="12.5703125" style="1" customWidth="1"/>
    <col min="19" max="16384" width="6.85546875" style="1"/>
  </cols>
  <sheetData>
    <row r="1" spans="1:20" ht="30" customHeight="1" x14ac:dyDescent="0.2">
      <c r="A1" s="435" t="s">
        <v>188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</row>
    <row r="2" spans="1:20" ht="15" customHeight="1" x14ac:dyDescent="0.2">
      <c r="A2" s="436" t="s">
        <v>1</v>
      </c>
      <c r="B2" s="436"/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2"/>
    </row>
    <row r="3" spans="1:20" ht="18" customHeight="1" x14ac:dyDescent="0.2">
      <c r="A3" s="437" t="s">
        <v>272</v>
      </c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R3" s="266" t="s">
        <v>258</v>
      </c>
    </row>
    <row r="4" spans="1:20" ht="12" customHeight="1" x14ac:dyDescent="0.2">
      <c r="A4" s="192" t="s">
        <v>259</v>
      </c>
      <c r="B4" s="192"/>
      <c r="C4" s="192"/>
      <c r="D4" s="192"/>
      <c r="E4" s="192"/>
      <c r="F4" s="192"/>
      <c r="G4" s="192"/>
      <c r="H4" s="256"/>
      <c r="I4" s="192"/>
      <c r="J4" s="192"/>
      <c r="K4" s="192"/>
      <c r="L4" s="192"/>
      <c r="M4" s="192"/>
      <c r="N4" s="256"/>
      <c r="O4" s="268" t="s">
        <v>2</v>
      </c>
    </row>
    <row r="5" spans="1:20" ht="19.5" customHeight="1" x14ac:dyDescent="0.2">
      <c r="A5" s="467" t="s">
        <v>3</v>
      </c>
      <c r="B5" s="468"/>
      <c r="C5" s="468"/>
      <c r="D5" s="468"/>
      <c r="E5" s="468"/>
      <c r="F5" s="468"/>
      <c r="G5" s="468"/>
      <c r="H5" s="237"/>
      <c r="I5" s="467" t="s">
        <v>4</v>
      </c>
      <c r="J5" s="468"/>
      <c r="K5" s="468"/>
      <c r="L5" s="468"/>
      <c r="M5" s="468"/>
      <c r="N5" s="469"/>
      <c r="O5" s="269"/>
      <c r="P5" s="2"/>
    </row>
    <row r="6" spans="1:20" ht="16.5" customHeight="1" x14ac:dyDescent="0.2">
      <c r="A6" s="474" t="s">
        <v>5</v>
      </c>
      <c r="B6" s="475"/>
      <c r="C6" s="475"/>
      <c r="D6" s="475"/>
      <c r="E6" s="475"/>
      <c r="F6" s="476"/>
      <c r="G6" s="238" t="s">
        <v>6</v>
      </c>
      <c r="H6" s="236" t="s">
        <v>175</v>
      </c>
      <c r="I6" s="471" t="s">
        <v>5</v>
      </c>
      <c r="J6" s="472"/>
      <c r="K6" s="472"/>
      <c r="L6" s="472"/>
      <c r="M6" s="473"/>
      <c r="N6" s="238" t="s">
        <v>6</v>
      </c>
      <c r="O6" s="270" t="s">
        <v>175</v>
      </c>
      <c r="Q6" s="266"/>
      <c r="R6" s="266"/>
      <c r="S6" s="266"/>
      <c r="T6" s="266"/>
    </row>
    <row r="7" spans="1:20" ht="16.350000000000001" customHeight="1" x14ac:dyDescent="0.2">
      <c r="A7" s="460" t="s">
        <v>7</v>
      </c>
      <c r="B7" s="461"/>
      <c r="C7" s="461"/>
      <c r="D7" s="461"/>
      <c r="E7" s="461"/>
      <c r="F7" s="462"/>
      <c r="G7" s="239">
        <f>SUBTOTAL(9,G8:G19)</f>
        <v>6814712.7400000012</v>
      </c>
      <c r="H7" s="291">
        <f>SUBTOTAL(9,H8:H19)</f>
        <v>60131287.829999998</v>
      </c>
      <c r="I7" s="460" t="s">
        <v>8</v>
      </c>
      <c r="J7" s="461"/>
      <c r="K7" s="461"/>
      <c r="L7" s="461"/>
      <c r="M7" s="462"/>
      <c r="N7" s="239">
        <f>SUBTOTAL(9,N8:N19)</f>
        <v>41156414.920000002</v>
      </c>
      <c r="O7" s="298">
        <f>SUBTOTAL(9,O8:O19)</f>
        <v>53666590.829999998</v>
      </c>
      <c r="P7" s="8"/>
    </row>
    <row r="8" spans="1:20" ht="13.5" customHeight="1" x14ac:dyDescent="0.2">
      <c r="A8" s="464" t="s">
        <v>9</v>
      </c>
      <c r="B8" s="466"/>
      <c r="C8" s="465"/>
      <c r="D8" s="465"/>
      <c r="E8" s="465"/>
      <c r="F8" s="477"/>
      <c r="G8" s="240">
        <f>SUBTOTAL(9,G9:G11)</f>
        <v>0</v>
      </c>
      <c r="H8" s="291">
        <f>SUBTOTAL(9,H9:H11)</f>
        <v>6734630.2999999998</v>
      </c>
      <c r="I8" s="464" t="s">
        <v>9</v>
      </c>
      <c r="J8" s="465"/>
      <c r="K8" s="465"/>
      <c r="L8" s="465"/>
      <c r="M8" s="466"/>
      <c r="N8" s="240">
        <f>SUBTOTAL(9,N9:N11)</f>
        <v>236647.45</v>
      </c>
      <c r="O8" s="291">
        <f>SUBTOTAL(9,O9:O11)</f>
        <v>571481.29</v>
      </c>
    </row>
    <row r="9" spans="1:20" ht="13.5" customHeight="1" x14ac:dyDescent="0.2">
      <c r="A9" s="452" t="s">
        <v>10</v>
      </c>
      <c r="B9" s="453"/>
      <c r="C9" s="470"/>
      <c r="D9" s="470"/>
      <c r="E9" s="470"/>
      <c r="F9" s="455"/>
      <c r="G9" s="241">
        <f>+'B.F. 00'!D8+'B.F. 05'!D10</f>
        <v>0</v>
      </c>
      <c r="H9" s="292">
        <v>6734630.2999999998</v>
      </c>
      <c r="I9" s="452" t="s">
        <v>10</v>
      </c>
      <c r="J9" s="454"/>
      <c r="K9" s="454"/>
      <c r="L9" s="454"/>
      <c r="M9" s="453"/>
      <c r="N9" s="241">
        <f>+'B.F. 00'!K8+'B.F. 05'!K10</f>
        <v>236647.45</v>
      </c>
      <c r="O9" s="292">
        <v>571481.29</v>
      </c>
      <c r="P9" s="2"/>
    </row>
    <row r="10" spans="1:20" ht="13.5" customHeight="1" x14ac:dyDescent="0.2">
      <c r="A10" s="452" t="s">
        <v>11</v>
      </c>
      <c r="B10" s="453"/>
      <c r="C10" s="454"/>
      <c r="D10" s="454"/>
      <c r="E10" s="454"/>
      <c r="F10" s="455"/>
      <c r="G10" s="241">
        <f>+'B.F. 00'!D9+'B.F. 05'!D11</f>
        <v>0</v>
      </c>
      <c r="H10" s="293"/>
      <c r="I10" s="452" t="s">
        <v>11</v>
      </c>
      <c r="J10" s="454"/>
      <c r="K10" s="454"/>
      <c r="L10" s="454"/>
      <c r="M10" s="453"/>
      <c r="N10" s="241">
        <f>+'B.F. 00'!K9+'B.F. 05'!K11</f>
        <v>0</v>
      </c>
      <c r="O10" s="304"/>
      <c r="Q10" s="266"/>
      <c r="R10" s="266"/>
      <c r="S10" s="266"/>
      <c r="T10" s="266"/>
    </row>
    <row r="11" spans="1:20" ht="13.5" customHeight="1" x14ac:dyDescent="0.2">
      <c r="A11" s="452" t="s">
        <v>12</v>
      </c>
      <c r="B11" s="453"/>
      <c r="C11" s="454"/>
      <c r="D11" s="454"/>
      <c r="E11" s="454"/>
      <c r="F11" s="455"/>
      <c r="G11" s="241">
        <f>+'B.F. 00'!D10+'B.F. 05'!D12</f>
        <v>0</v>
      </c>
      <c r="H11" s="293"/>
      <c r="I11" s="452" t="s">
        <v>12</v>
      </c>
      <c r="J11" s="454"/>
      <c r="K11" s="454"/>
      <c r="L11" s="454"/>
      <c r="M11" s="453"/>
      <c r="N11" s="241">
        <f>+'B.F. 00'!K10+'B.F. 05'!K12</f>
        <v>0</v>
      </c>
      <c r="O11" s="304"/>
      <c r="P11" s="7"/>
    </row>
    <row r="12" spans="1:20" ht="13.5" customHeight="1" x14ac:dyDescent="0.2">
      <c r="A12" s="441" t="s">
        <v>13</v>
      </c>
      <c r="B12" s="442"/>
      <c r="C12" s="443"/>
      <c r="D12" s="443"/>
      <c r="E12" s="443"/>
      <c r="F12" s="444"/>
      <c r="G12" s="242">
        <f>SUBTOTAL(9,G13:G19)</f>
        <v>6814712.7400000012</v>
      </c>
      <c r="H12" s="294">
        <f>SUBTOTAL(9,H13:H19)</f>
        <v>53396657.530000001</v>
      </c>
      <c r="I12" s="441" t="s">
        <v>13</v>
      </c>
      <c r="J12" s="443"/>
      <c r="K12" s="443"/>
      <c r="L12" s="443"/>
      <c r="M12" s="442"/>
      <c r="N12" s="242">
        <f>SUBTOTAL(9,N13:N19)</f>
        <v>40919767.469999999</v>
      </c>
      <c r="O12" s="294">
        <f>SUBTOTAL(9,O13:O19)</f>
        <v>53095109.539999999</v>
      </c>
      <c r="P12" s="2"/>
    </row>
    <row r="13" spans="1:20" ht="13.5" customHeight="1" x14ac:dyDescent="0.2">
      <c r="A13" s="452" t="s">
        <v>14</v>
      </c>
      <c r="B13" s="453"/>
      <c r="C13" s="454"/>
      <c r="D13" s="454"/>
      <c r="E13" s="454"/>
      <c r="F13" s="455"/>
      <c r="G13" s="241">
        <f>+'B.F. 00'!D12+'B.F. 05'!D14</f>
        <v>0</v>
      </c>
      <c r="H13" s="293"/>
      <c r="I13" s="452" t="s">
        <v>14</v>
      </c>
      <c r="J13" s="454"/>
      <c r="K13" s="454"/>
      <c r="L13" s="454"/>
      <c r="M13" s="453"/>
      <c r="N13" s="241">
        <f>+'B.F. 00'!K12+'B.F. 05'!K14</f>
        <v>0</v>
      </c>
      <c r="O13" s="304"/>
    </row>
    <row r="14" spans="1:20" ht="13.5" customHeight="1" x14ac:dyDescent="0.2">
      <c r="A14" s="452" t="s">
        <v>15</v>
      </c>
      <c r="B14" s="453"/>
      <c r="C14" s="454"/>
      <c r="D14" s="454"/>
      <c r="E14" s="454"/>
      <c r="F14" s="455"/>
      <c r="G14" s="241">
        <f>+'B.F. 00'!D13+'B.F. 05'!D15</f>
        <v>0</v>
      </c>
      <c r="H14" s="293"/>
      <c r="I14" s="452" t="s">
        <v>15</v>
      </c>
      <c r="J14" s="454"/>
      <c r="K14" s="454"/>
      <c r="L14" s="454"/>
      <c r="M14" s="453"/>
      <c r="N14" s="241">
        <f>+'B.F. 00'!K13+'B.F. 05'!K15</f>
        <v>0</v>
      </c>
      <c r="O14" s="304"/>
    </row>
    <row r="15" spans="1:20" ht="13.5" customHeight="1" x14ac:dyDescent="0.2">
      <c r="A15" s="452" t="s">
        <v>16</v>
      </c>
      <c r="B15" s="453"/>
      <c r="C15" s="454"/>
      <c r="D15" s="454"/>
      <c r="E15" s="454"/>
      <c r="F15" s="455"/>
      <c r="G15" s="241">
        <f>+'B.F. 00'!D14+'B.F. 05'!D16</f>
        <v>0</v>
      </c>
      <c r="H15" s="293"/>
      <c r="I15" s="452" t="s">
        <v>16</v>
      </c>
      <c r="J15" s="454"/>
      <c r="K15" s="454"/>
      <c r="L15" s="454"/>
      <c r="M15" s="453"/>
      <c r="N15" s="241">
        <f>+'B.F. 00'!K14+'B.F. 05'!K16</f>
        <v>0</v>
      </c>
      <c r="O15" s="304"/>
    </row>
    <row r="16" spans="1:20" ht="13.5" customHeight="1" x14ac:dyDescent="0.2">
      <c r="A16" s="452" t="s">
        <v>17</v>
      </c>
      <c r="B16" s="453"/>
      <c r="C16" s="454"/>
      <c r="D16" s="454"/>
      <c r="E16" s="454"/>
      <c r="F16" s="455"/>
      <c r="G16" s="241">
        <f>+'B.F. 00'!D15+'B.F. 05'!D17</f>
        <v>0</v>
      </c>
      <c r="H16" s="293"/>
      <c r="I16" s="452" t="s">
        <v>17</v>
      </c>
      <c r="J16" s="454"/>
      <c r="K16" s="454"/>
      <c r="L16" s="454"/>
      <c r="M16" s="453"/>
      <c r="N16" s="241">
        <f>+'B.F. 00'!K15+'B.F. 05'!K17</f>
        <v>0</v>
      </c>
      <c r="O16" s="304"/>
    </row>
    <row r="17" spans="1:17" ht="13.5" customHeight="1" x14ac:dyDescent="0.2">
      <c r="A17" s="452" t="s">
        <v>18</v>
      </c>
      <c r="B17" s="453"/>
      <c r="C17" s="454"/>
      <c r="D17" s="454"/>
      <c r="E17" s="454"/>
      <c r="F17" s="455"/>
      <c r="G17" s="241">
        <f>'B.F. 00'!D16+'B.F. 05'!D18</f>
        <v>6814712.7400000012</v>
      </c>
      <c r="H17" s="292">
        <v>17640666.370000001</v>
      </c>
      <c r="I17" s="452" t="s">
        <v>18</v>
      </c>
      <c r="J17" s="454"/>
      <c r="K17" s="454"/>
      <c r="L17" s="454"/>
      <c r="M17" s="453"/>
      <c r="N17" s="241">
        <f>+'B.F. 00'!K16+'B.F. 05'!K18</f>
        <v>40919767.469999999</v>
      </c>
      <c r="O17" s="305">
        <v>53095109.539999999</v>
      </c>
    </row>
    <row r="18" spans="1:17" ht="13.5" customHeight="1" x14ac:dyDescent="0.2">
      <c r="A18" s="452" t="s">
        <v>19</v>
      </c>
      <c r="B18" s="453"/>
      <c r="C18" s="454"/>
      <c r="D18" s="454"/>
      <c r="E18" s="454"/>
      <c r="F18" s="455"/>
      <c r="G18" s="241">
        <f>+'B.F. 00'!D17+'B.F. 05'!D19</f>
        <v>0</v>
      </c>
      <c r="H18" s="293"/>
      <c r="I18" s="452" t="s">
        <v>19</v>
      </c>
      <c r="J18" s="454"/>
      <c r="K18" s="454"/>
      <c r="L18" s="454"/>
      <c r="M18" s="453"/>
      <c r="N18" s="241">
        <f>+'B.F. 00'!K17+'B.F. 05'!K19</f>
        <v>0</v>
      </c>
      <c r="O18" s="292"/>
    </row>
    <row r="19" spans="1:17" ht="13.5" customHeight="1" x14ac:dyDescent="0.2">
      <c r="A19" s="456" t="s">
        <v>20</v>
      </c>
      <c r="B19" s="457"/>
      <c r="C19" s="458"/>
      <c r="D19" s="458"/>
      <c r="E19" s="458"/>
      <c r="F19" s="459"/>
      <c r="G19" s="243">
        <f>+'B.F. 00'!D18+'B.F. 05'!D20</f>
        <v>0</v>
      </c>
      <c r="H19" s="295">
        <v>35755991.159999996</v>
      </c>
      <c r="I19" s="456" t="s">
        <v>20</v>
      </c>
      <c r="J19" s="458"/>
      <c r="K19" s="458"/>
      <c r="L19" s="458"/>
      <c r="M19" s="457"/>
      <c r="N19" s="243">
        <f>+'B.F. 00'!K18+'B.F. 05'!K20</f>
        <v>0</v>
      </c>
      <c r="O19" s="295"/>
    </row>
    <row r="20" spans="1:17" ht="16.350000000000001" customHeight="1" x14ac:dyDescent="0.2">
      <c r="A20" s="460" t="s">
        <v>21</v>
      </c>
      <c r="B20" s="461"/>
      <c r="C20" s="461"/>
      <c r="D20" s="461"/>
      <c r="E20" s="461"/>
      <c r="F20" s="462"/>
      <c r="G20" s="244">
        <f>SUM(G21:G24)</f>
        <v>316115.93</v>
      </c>
      <c r="H20" s="296">
        <f>SUM(H21:H24)</f>
        <v>190791.55</v>
      </c>
      <c r="I20" s="460" t="s">
        <v>22</v>
      </c>
      <c r="J20" s="461"/>
      <c r="K20" s="461"/>
      <c r="L20" s="461"/>
      <c r="M20" s="462"/>
      <c r="N20" s="245">
        <f>SUM(N21:N24)</f>
        <v>343065</v>
      </c>
      <c r="O20" s="298">
        <f>SUM(O21:O24)</f>
        <v>25258696.440000001</v>
      </c>
      <c r="P20" s="2"/>
    </row>
    <row r="21" spans="1:17" ht="13.5" customHeight="1" x14ac:dyDescent="0.2">
      <c r="A21" s="441" t="s">
        <v>23</v>
      </c>
      <c r="B21" s="442"/>
      <c r="C21" s="443"/>
      <c r="D21" s="443"/>
      <c r="E21" s="443"/>
      <c r="F21" s="444"/>
      <c r="G21" s="241">
        <f>'B.F. 00'!D20+'B.F. 05'!D22</f>
        <v>316115.93</v>
      </c>
      <c r="H21" s="297">
        <v>190791.55</v>
      </c>
      <c r="I21" s="464" t="s">
        <v>23</v>
      </c>
      <c r="J21" s="465"/>
      <c r="K21" s="465"/>
      <c r="L21" s="465"/>
      <c r="M21" s="466"/>
      <c r="N21" s="241">
        <f>+'B.F. 00'!K20+'B.F. 05'!K22</f>
        <v>343065</v>
      </c>
      <c r="O21" s="297">
        <v>25258696.440000001</v>
      </c>
    </row>
    <row r="22" spans="1:17" ht="13.5" customHeight="1" x14ac:dyDescent="0.2">
      <c r="A22" s="441" t="s">
        <v>24</v>
      </c>
      <c r="B22" s="442"/>
      <c r="C22" s="443"/>
      <c r="D22" s="443"/>
      <c r="E22" s="443"/>
      <c r="F22" s="444"/>
      <c r="G22" s="241">
        <f>+'B.F. 00'!D21+'B.F. 05'!D23</f>
        <v>0</v>
      </c>
      <c r="H22" s="293"/>
      <c r="I22" s="441" t="s">
        <v>24</v>
      </c>
      <c r="J22" s="443"/>
      <c r="K22" s="443"/>
      <c r="L22" s="443"/>
      <c r="M22" s="442"/>
      <c r="N22" s="241">
        <f>+'B.F. 00'!K21+'B.F. 05'!K23</f>
        <v>0</v>
      </c>
      <c r="O22" s="292"/>
    </row>
    <row r="23" spans="1:17" ht="13.5" customHeight="1" x14ac:dyDescent="0.2">
      <c r="A23" s="441" t="s">
        <v>25</v>
      </c>
      <c r="B23" s="442"/>
      <c r="C23" s="443"/>
      <c r="D23" s="443"/>
      <c r="E23" s="443"/>
      <c r="F23" s="444"/>
      <c r="G23" s="241">
        <f>+'B.F. 00'!D22+'B.F. 05'!D24</f>
        <v>0</v>
      </c>
      <c r="H23" s="293"/>
      <c r="I23" s="441" t="s">
        <v>25</v>
      </c>
      <c r="J23" s="443"/>
      <c r="K23" s="443"/>
      <c r="L23" s="443"/>
      <c r="M23" s="442"/>
      <c r="N23" s="241">
        <f>+'B.F. 00'!K22+'B.F. 05'!K24</f>
        <v>0</v>
      </c>
      <c r="O23" s="292"/>
    </row>
    <row r="24" spans="1:17" ht="13.5" customHeight="1" x14ac:dyDescent="0.2">
      <c r="A24" s="441" t="s">
        <v>26</v>
      </c>
      <c r="B24" s="442"/>
      <c r="C24" s="443"/>
      <c r="D24" s="443"/>
      <c r="E24" s="443"/>
      <c r="F24" s="444"/>
      <c r="G24" s="241">
        <f>+'B.F. 00'!D23+'B.F. 05'!D25</f>
        <v>0</v>
      </c>
      <c r="H24" s="293"/>
      <c r="I24" s="438" t="s">
        <v>26</v>
      </c>
      <c r="J24" s="439"/>
      <c r="K24" s="439"/>
      <c r="L24" s="439"/>
      <c r="M24" s="440"/>
      <c r="N24" s="241">
        <f>+'B.F. 00'!K23+'B.F. 05'!K25</f>
        <v>0</v>
      </c>
      <c r="O24" s="292"/>
    </row>
    <row r="25" spans="1:17" ht="16.350000000000001" customHeight="1" x14ac:dyDescent="0.2">
      <c r="A25" s="460" t="s">
        <v>27</v>
      </c>
      <c r="B25" s="461"/>
      <c r="C25" s="461"/>
      <c r="D25" s="461"/>
      <c r="E25" s="461"/>
      <c r="F25" s="462"/>
      <c r="G25" s="246">
        <f>SUBTOTAL(9,G26:G29)</f>
        <v>29078693.249999996</v>
      </c>
      <c r="H25" s="298">
        <f>SUBTOTAL(9,H26:H29)</f>
        <v>14664793.27</v>
      </c>
      <c r="I25" s="460" t="s">
        <v>28</v>
      </c>
      <c r="J25" s="461"/>
      <c r="K25" s="461"/>
      <c r="L25" s="461"/>
      <c r="M25" s="462"/>
      <c r="N25" s="246">
        <f>SUBTOTAL(9,N26:N29)</f>
        <v>2470424</v>
      </c>
      <c r="O25" s="298">
        <f>SUBTOTAL(9,O26:O29)</f>
        <v>16464995.35</v>
      </c>
    </row>
    <row r="26" spans="1:17" ht="13.5" customHeight="1" x14ac:dyDescent="0.2">
      <c r="A26" s="441" t="s">
        <v>269</v>
      </c>
      <c r="B26" s="442"/>
      <c r="C26" s="443"/>
      <c r="D26" s="443"/>
      <c r="E26" s="443"/>
      <c r="F26" s="444"/>
      <c r="G26" s="247">
        <f>+'B.F. 00'!D25+'B.F. 05'!D28</f>
        <v>18751044.329999998</v>
      </c>
      <c r="H26" s="299">
        <v>5910130.3099999996</v>
      </c>
      <c r="I26" s="464" t="s">
        <v>230</v>
      </c>
      <c r="J26" s="465"/>
      <c r="K26" s="465"/>
      <c r="L26" s="465"/>
      <c r="M26" s="466"/>
      <c r="N26" s="248">
        <f>+'B.F. 00'!K25+'B.F. 05'!K28</f>
        <v>1390063.27</v>
      </c>
      <c r="O26" s="299">
        <v>3031027.99</v>
      </c>
    </row>
    <row r="27" spans="1:17" ht="13.5" customHeight="1" x14ac:dyDescent="0.2">
      <c r="A27" s="441" t="s">
        <v>270</v>
      </c>
      <c r="B27" s="442"/>
      <c r="C27" s="443"/>
      <c r="D27" s="443"/>
      <c r="E27" s="443"/>
      <c r="F27" s="444"/>
      <c r="G27" s="248">
        <f>+'B.F. 00'!D27+'B.F. 05'!D30</f>
        <v>430922.52</v>
      </c>
      <c r="H27" s="300">
        <v>152288.07</v>
      </c>
      <c r="I27" s="441" t="s">
        <v>231</v>
      </c>
      <c r="J27" s="443"/>
      <c r="K27" s="443"/>
      <c r="L27" s="443"/>
      <c r="M27" s="442"/>
      <c r="N27" s="248">
        <f>+'B.F. 00'!K27+'B.F. 05'!K30</f>
        <v>79878.149999999994</v>
      </c>
      <c r="O27" s="300">
        <v>334917.27</v>
      </c>
    </row>
    <row r="28" spans="1:17" ht="13.5" customHeight="1" x14ac:dyDescent="0.2">
      <c r="A28" s="441" t="s">
        <v>37</v>
      </c>
      <c r="B28" s="442"/>
      <c r="C28" s="443"/>
      <c r="D28" s="443"/>
      <c r="E28" s="443"/>
      <c r="F28" s="444"/>
      <c r="G28" s="241">
        <f>+'B.F. 00'!D29+'B.F. 05'!D31</f>
        <v>0</v>
      </c>
      <c r="H28" s="300">
        <v>0</v>
      </c>
      <c r="I28" s="441" t="s">
        <v>37</v>
      </c>
      <c r="J28" s="443"/>
      <c r="K28" s="443"/>
      <c r="L28" s="443"/>
      <c r="M28" s="442"/>
      <c r="N28" s="241">
        <f>+'B.F. 00'!K29+'B.F. 05'!K31</f>
        <v>0</v>
      </c>
      <c r="O28" s="300">
        <v>0</v>
      </c>
    </row>
    <row r="29" spans="1:17" ht="13.5" customHeight="1" x14ac:dyDescent="0.2">
      <c r="A29" s="441" t="s">
        <v>38</v>
      </c>
      <c r="B29" s="442"/>
      <c r="C29" s="443"/>
      <c r="D29" s="443"/>
      <c r="E29" s="443"/>
      <c r="F29" s="444"/>
      <c r="G29" s="249">
        <f>+'B.F. 00'!D30+'B.F. 05'!D32</f>
        <v>9896726.3999999985</v>
      </c>
      <c r="H29" s="301">
        <v>8602374.8900000006</v>
      </c>
      <c r="I29" s="438" t="s">
        <v>39</v>
      </c>
      <c r="J29" s="439"/>
      <c r="K29" s="439"/>
      <c r="L29" s="439"/>
      <c r="M29" s="440"/>
      <c r="N29" s="241">
        <f>+'B.F. 00'!K30+'B.F. 05'!K32</f>
        <v>1000482.5800000001</v>
      </c>
      <c r="O29" s="301">
        <v>13099050.09</v>
      </c>
    </row>
    <row r="30" spans="1:17" ht="16.350000000000001" customHeight="1" x14ac:dyDescent="0.2">
      <c r="A30" s="460" t="s">
        <v>40</v>
      </c>
      <c r="B30" s="461"/>
      <c r="C30" s="461"/>
      <c r="D30" s="461"/>
      <c r="E30" s="461"/>
      <c r="F30" s="462"/>
      <c r="G30" s="246">
        <f>SUBTOTAL(9,G31:G32)</f>
        <v>230058548.22</v>
      </c>
      <c r="H30" s="298">
        <f>SUBTOTAL(9,H31:H32)</f>
        <v>250461958.19</v>
      </c>
      <c r="I30" s="460" t="s">
        <v>41</v>
      </c>
      <c r="J30" s="461"/>
      <c r="K30" s="461"/>
      <c r="L30" s="461"/>
      <c r="M30" s="462"/>
      <c r="N30" s="246">
        <f>SUM(N31:N32)</f>
        <v>222298166.22</v>
      </c>
      <c r="O30" s="298">
        <f>SUM(O31:O32)</f>
        <v>230058548.22</v>
      </c>
      <c r="Q30" s="15"/>
    </row>
    <row r="31" spans="1:17" ht="13.5" customHeight="1" x14ac:dyDescent="0.2">
      <c r="A31" s="441" t="s">
        <v>222</v>
      </c>
      <c r="B31" s="442"/>
      <c r="C31" s="443"/>
      <c r="D31" s="443"/>
      <c r="E31" s="443"/>
      <c r="F31" s="444"/>
      <c r="G31" s="250">
        <f>+'B.F. 05'!D35</f>
        <v>230058548.22</v>
      </c>
      <c r="H31" s="292">
        <v>250461958.19</v>
      </c>
      <c r="I31" s="441" t="s">
        <v>222</v>
      </c>
      <c r="J31" s="443"/>
      <c r="K31" s="443"/>
      <c r="L31" s="443"/>
      <c r="M31" s="442"/>
      <c r="N31" s="251">
        <f>+'B.F. 00'!K33+'B.F. 05'!K35</f>
        <v>222298166.22</v>
      </c>
      <c r="O31" s="292">
        <v>230058548.22</v>
      </c>
    </row>
    <row r="32" spans="1:17" ht="13.5" customHeight="1" x14ac:dyDescent="0.2">
      <c r="A32" s="441" t="s">
        <v>37</v>
      </c>
      <c r="B32" s="442"/>
      <c r="C32" s="443"/>
      <c r="D32" s="443"/>
      <c r="E32" s="443"/>
      <c r="F32" s="444"/>
      <c r="G32" s="252">
        <v>0</v>
      </c>
      <c r="H32" s="302"/>
      <c r="I32" s="438" t="s">
        <v>37</v>
      </c>
      <c r="J32" s="439"/>
      <c r="K32" s="439"/>
      <c r="L32" s="439"/>
      <c r="M32" s="440"/>
      <c r="N32" s="253"/>
      <c r="O32" s="304"/>
      <c r="P32" s="80" t="s">
        <v>233</v>
      </c>
      <c r="Q32" s="286" t="s">
        <v>232</v>
      </c>
    </row>
    <row r="33" spans="1:255" ht="16.350000000000001" customHeight="1" x14ac:dyDescent="0.2">
      <c r="A33" s="460" t="s">
        <v>241</v>
      </c>
      <c r="B33" s="461"/>
      <c r="C33" s="478"/>
      <c r="D33" s="478"/>
      <c r="E33" s="478"/>
      <c r="F33" s="479"/>
      <c r="G33" s="254">
        <f>G7+G20+G25+G30</f>
        <v>266268070.13999999</v>
      </c>
      <c r="H33" s="303">
        <f>H7+H20+H25+H30</f>
        <v>325448830.83999997</v>
      </c>
      <c r="I33" s="460" t="s">
        <v>242</v>
      </c>
      <c r="J33" s="461"/>
      <c r="K33" s="461"/>
      <c r="L33" s="461"/>
      <c r="M33" s="462"/>
      <c r="N33" s="254">
        <f>N7+N20+N25+N30</f>
        <v>266268070.13999999</v>
      </c>
      <c r="O33" s="303">
        <f>O7+O20+O25+O30</f>
        <v>325448830.83999997</v>
      </c>
      <c r="P33" s="267">
        <f>G33-N33</f>
        <v>0</v>
      </c>
      <c r="Q33" s="287">
        <f>H33-O33</f>
        <v>0</v>
      </c>
    </row>
    <row r="34" spans="1:255" s="121" customFormat="1" ht="13.5" customHeight="1" x14ac:dyDescent="0.2">
      <c r="A34" s="191" t="s">
        <v>46</v>
      </c>
      <c r="B34" s="118"/>
      <c r="C34" s="118"/>
      <c r="D34" s="118"/>
      <c r="E34" s="119"/>
      <c r="F34" s="119"/>
      <c r="G34" s="119"/>
      <c r="H34" s="119"/>
      <c r="I34" s="118"/>
      <c r="J34" s="118"/>
      <c r="K34" s="118"/>
      <c r="L34" s="119"/>
      <c r="M34" s="119"/>
      <c r="N34" s="120"/>
      <c r="O34" s="271"/>
    </row>
    <row r="35" spans="1:255" s="121" customFormat="1" ht="12.75" customHeight="1" x14ac:dyDescent="0.2">
      <c r="A35" s="255" t="s">
        <v>47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3"/>
      <c r="N35" s="123"/>
      <c r="O35" s="271"/>
    </row>
    <row r="36" spans="1:255" s="271" customFormat="1" ht="14.45" customHeight="1" x14ac:dyDescent="0.2">
      <c r="A36" s="480" t="s">
        <v>285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80"/>
      <c r="L36" s="480"/>
      <c r="M36" s="480"/>
      <c r="N36" s="326"/>
      <c r="O36" s="331"/>
    </row>
    <row r="37" spans="1:255" s="271" customFormat="1" ht="14.45" customHeight="1" x14ac:dyDescent="0.2">
      <c r="A37" s="481" t="s">
        <v>273</v>
      </c>
      <c r="B37" s="481"/>
      <c r="C37" s="481"/>
      <c r="D37" s="481"/>
      <c r="E37" s="481"/>
      <c r="F37" s="481"/>
      <c r="G37" s="481"/>
      <c r="H37" s="481"/>
      <c r="I37" s="481"/>
      <c r="J37" s="481"/>
      <c r="K37" s="481"/>
      <c r="L37" s="481"/>
      <c r="M37" s="481"/>
      <c r="N37" s="326"/>
      <c r="O37" s="331"/>
    </row>
    <row r="38" spans="1:255" s="271" customFormat="1" ht="14.45" customHeight="1" x14ac:dyDescent="0.2">
      <c r="A38" s="480" t="s">
        <v>287</v>
      </c>
      <c r="B38" s="480"/>
      <c r="C38" s="480"/>
      <c r="D38" s="480"/>
      <c r="E38" s="480"/>
      <c r="F38" s="480"/>
      <c r="G38" s="480"/>
      <c r="H38" s="480"/>
      <c r="I38" s="480"/>
      <c r="J38" s="480"/>
      <c r="K38" s="480"/>
      <c r="L38" s="480"/>
      <c r="M38" s="480"/>
      <c r="N38" s="326"/>
      <c r="O38" s="331"/>
    </row>
    <row r="39" spans="1:255" s="273" customFormat="1" ht="14.45" customHeight="1" x14ac:dyDescent="0.2">
      <c r="A39" s="449" t="s">
        <v>291</v>
      </c>
      <c r="B39" s="449"/>
      <c r="C39" s="449"/>
      <c r="D39" s="449"/>
      <c r="E39" s="449"/>
      <c r="F39" s="449"/>
      <c r="G39" s="449"/>
      <c r="H39" s="449"/>
      <c r="I39" s="449"/>
      <c r="J39" s="449"/>
      <c r="K39" s="449"/>
      <c r="L39" s="449"/>
      <c r="M39" s="449"/>
      <c r="N39" s="449"/>
      <c r="O39" s="331"/>
    </row>
    <row r="40" spans="1:255" s="273" customFormat="1" ht="14.45" customHeight="1" x14ac:dyDescent="0.2">
      <c r="A40" s="447" t="s">
        <v>293</v>
      </c>
      <c r="B40" s="447"/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332"/>
      <c r="O40" s="331"/>
      <c r="P40" s="321"/>
    </row>
    <row r="41" spans="1:255" s="273" customFormat="1" ht="14.45" customHeight="1" x14ac:dyDescent="0.2">
      <c r="A41" s="463" t="s">
        <v>283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332"/>
      <c r="O41" s="331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  <c r="BG41" s="322"/>
      <c r="BH41" s="322"/>
      <c r="BI41" s="322"/>
      <c r="BJ41" s="322"/>
      <c r="BK41" s="322"/>
      <c r="BL41" s="322"/>
      <c r="BM41" s="322"/>
      <c r="BN41" s="322"/>
      <c r="BO41" s="322"/>
      <c r="BP41" s="322"/>
      <c r="BQ41" s="322"/>
      <c r="BR41" s="322"/>
      <c r="BS41" s="322"/>
      <c r="BT41" s="322"/>
      <c r="BU41" s="322"/>
      <c r="BV41" s="322"/>
      <c r="BW41" s="322"/>
      <c r="BX41" s="322"/>
      <c r="BY41" s="322"/>
      <c r="BZ41" s="322"/>
      <c r="CA41" s="322"/>
      <c r="CB41" s="322"/>
      <c r="CC41" s="322"/>
      <c r="CD41" s="322"/>
      <c r="CE41" s="322"/>
      <c r="CF41" s="322"/>
      <c r="CG41" s="322"/>
      <c r="CH41" s="322"/>
      <c r="CI41" s="322"/>
      <c r="CJ41" s="322"/>
      <c r="CK41" s="322"/>
      <c r="CL41" s="322"/>
      <c r="CM41" s="322"/>
      <c r="CN41" s="322"/>
      <c r="CO41" s="322"/>
      <c r="CP41" s="322"/>
      <c r="CQ41" s="322"/>
      <c r="CR41" s="322"/>
      <c r="CS41" s="322"/>
      <c r="CT41" s="322"/>
      <c r="CU41" s="322"/>
      <c r="CV41" s="322"/>
      <c r="CW41" s="322"/>
      <c r="CX41" s="322"/>
      <c r="CY41" s="322"/>
      <c r="CZ41" s="322"/>
      <c r="DA41" s="322"/>
      <c r="DB41" s="322"/>
      <c r="DC41" s="322"/>
      <c r="DD41" s="322"/>
      <c r="DE41" s="322"/>
      <c r="DF41" s="322"/>
      <c r="DG41" s="322"/>
      <c r="DH41" s="322"/>
      <c r="DI41" s="322"/>
      <c r="DJ41" s="322"/>
      <c r="DK41" s="322"/>
      <c r="DL41" s="322"/>
      <c r="DM41" s="322"/>
      <c r="DN41" s="322"/>
      <c r="DO41" s="322"/>
      <c r="DP41" s="322"/>
      <c r="DQ41" s="322"/>
      <c r="DR41" s="322"/>
      <c r="DS41" s="322"/>
      <c r="DT41" s="322"/>
      <c r="DU41" s="322"/>
      <c r="DV41" s="322"/>
      <c r="DW41" s="322"/>
      <c r="DX41" s="322"/>
      <c r="DY41" s="322"/>
      <c r="DZ41" s="322"/>
      <c r="EA41" s="322"/>
      <c r="EB41" s="322"/>
      <c r="EC41" s="322"/>
      <c r="ED41" s="322"/>
      <c r="EE41" s="322"/>
      <c r="EF41" s="322"/>
      <c r="EG41" s="322"/>
      <c r="EH41" s="322"/>
      <c r="EI41" s="322"/>
      <c r="EJ41" s="322"/>
      <c r="EK41" s="322"/>
      <c r="EL41" s="322"/>
      <c r="EM41" s="322"/>
      <c r="EN41" s="322"/>
      <c r="EO41" s="322"/>
      <c r="EP41" s="322"/>
      <c r="EQ41" s="322"/>
      <c r="ER41" s="322"/>
      <c r="ES41" s="322"/>
      <c r="ET41" s="322"/>
      <c r="EU41" s="322"/>
      <c r="EV41" s="322"/>
      <c r="EW41" s="322"/>
      <c r="EX41" s="322"/>
      <c r="EY41" s="322"/>
      <c r="EZ41" s="322"/>
      <c r="FA41" s="322"/>
      <c r="FB41" s="322"/>
      <c r="FC41" s="322"/>
      <c r="FD41" s="322"/>
      <c r="FE41" s="322"/>
      <c r="FF41" s="322"/>
      <c r="FG41" s="322"/>
      <c r="FH41" s="322"/>
      <c r="FI41" s="322"/>
      <c r="FJ41" s="322"/>
      <c r="FK41" s="322"/>
      <c r="FL41" s="322"/>
      <c r="FM41" s="322"/>
      <c r="FN41" s="322"/>
      <c r="FO41" s="322"/>
      <c r="FP41" s="322"/>
      <c r="FQ41" s="322"/>
      <c r="FR41" s="322"/>
      <c r="FS41" s="322"/>
      <c r="FT41" s="322"/>
      <c r="FU41" s="322"/>
      <c r="FV41" s="322"/>
      <c r="FW41" s="322"/>
      <c r="FX41" s="322"/>
      <c r="FY41" s="322"/>
      <c r="FZ41" s="322"/>
      <c r="GA41" s="322"/>
      <c r="GB41" s="322"/>
      <c r="GC41" s="322"/>
      <c r="GD41" s="322"/>
      <c r="GE41" s="322"/>
      <c r="GF41" s="322"/>
      <c r="GG41" s="322"/>
      <c r="GH41" s="322"/>
      <c r="GI41" s="322"/>
      <c r="GJ41" s="322"/>
      <c r="GK41" s="322"/>
      <c r="GL41" s="322"/>
      <c r="GM41" s="322"/>
      <c r="GN41" s="322"/>
      <c r="GO41" s="322"/>
      <c r="GP41" s="322"/>
      <c r="GQ41" s="322"/>
      <c r="GR41" s="322"/>
      <c r="GS41" s="322"/>
      <c r="GT41" s="322"/>
      <c r="GU41" s="322"/>
      <c r="GV41" s="322"/>
      <c r="GW41" s="322"/>
      <c r="GX41" s="322"/>
      <c r="GY41" s="322"/>
      <c r="GZ41" s="322"/>
      <c r="HA41" s="322"/>
      <c r="HB41" s="322"/>
      <c r="HC41" s="322"/>
      <c r="HD41" s="322"/>
      <c r="HE41" s="322"/>
      <c r="HF41" s="322"/>
      <c r="HG41" s="322"/>
      <c r="HH41" s="322"/>
      <c r="HI41" s="322"/>
      <c r="HJ41" s="322"/>
      <c r="HK41" s="322"/>
      <c r="HL41" s="322"/>
      <c r="HM41" s="322"/>
      <c r="HN41" s="322"/>
      <c r="HO41" s="322"/>
      <c r="HP41" s="322"/>
      <c r="HQ41" s="322"/>
      <c r="HR41" s="322"/>
      <c r="HS41" s="322"/>
      <c r="HT41" s="322"/>
      <c r="HU41" s="322"/>
      <c r="HV41" s="322"/>
      <c r="HW41" s="322"/>
      <c r="HX41" s="322"/>
      <c r="HY41" s="322"/>
      <c r="HZ41" s="322"/>
      <c r="IA41" s="322"/>
      <c r="IB41" s="322"/>
      <c r="IC41" s="322"/>
      <c r="ID41" s="322"/>
      <c r="IE41" s="322"/>
      <c r="IF41" s="322"/>
      <c r="IG41" s="322"/>
      <c r="IH41" s="322"/>
      <c r="II41" s="322"/>
      <c r="IJ41" s="322"/>
      <c r="IK41" s="322"/>
      <c r="IL41" s="322"/>
      <c r="IM41" s="322"/>
      <c r="IN41" s="322"/>
      <c r="IO41" s="322"/>
      <c r="IP41" s="322"/>
      <c r="IQ41" s="322"/>
      <c r="IR41" s="322"/>
      <c r="IS41" s="322"/>
      <c r="IT41" s="322"/>
      <c r="IU41" s="322"/>
    </row>
    <row r="42" spans="1:255" s="273" customFormat="1" ht="14.45" customHeight="1" x14ac:dyDescent="0.2">
      <c r="A42" s="447" t="s">
        <v>288</v>
      </c>
      <c r="B42" s="447"/>
      <c r="C42" s="447"/>
      <c r="D42" s="447"/>
      <c r="E42" s="447"/>
      <c r="F42" s="447"/>
      <c r="G42" s="447"/>
      <c r="H42" s="447"/>
      <c r="I42" s="447"/>
      <c r="J42" s="447"/>
      <c r="K42" s="447"/>
      <c r="L42" s="447"/>
      <c r="M42" s="447"/>
      <c r="N42" s="333"/>
      <c r="O42" s="33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  <c r="BG42" s="322"/>
      <c r="BH42" s="322"/>
      <c r="BI42" s="322"/>
      <c r="BJ42" s="322"/>
      <c r="BK42" s="322"/>
      <c r="BL42" s="322"/>
      <c r="BM42" s="322"/>
      <c r="BN42" s="322"/>
      <c r="BO42" s="322"/>
      <c r="BP42" s="322"/>
      <c r="BQ42" s="322"/>
      <c r="BR42" s="322"/>
      <c r="BS42" s="322"/>
      <c r="BT42" s="322"/>
      <c r="BU42" s="322"/>
      <c r="BV42" s="322"/>
      <c r="BW42" s="322"/>
      <c r="BX42" s="322"/>
      <c r="BY42" s="322"/>
      <c r="BZ42" s="322"/>
      <c r="CA42" s="322"/>
      <c r="CB42" s="322"/>
      <c r="CC42" s="322"/>
      <c r="CD42" s="322"/>
      <c r="CE42" s="322"/>
      <c r="CF42" s="322"/>
      <c r="CG42" s="322"/>
      <c r="CH42" s="322"/>
      <c r="CI42" s="322"/>
      <c r="CJ42" s="322"/>
      <c r="CK42" s="322"/>
      <c r="CL42" s="322"/>
      <c r="CM42" s="322"/>
      <c r="CN42" s="322"/>
      <c r="CO42" s="322"/>
      <c r="CP42" s="322"/>
      <c r="CQ42" s="322"/>
      <c r="CR42" s="322"/>
      <c r="CS42" s="322"/>
      <c r="CT42" s="322"/>
      <c r="CU42" s="322"/>
      <c r="CV42" s="322"/>
      <c r="CW42" s="322"/>
      <c r="CX42" s="322"/>
      <c r="CY42" s="322"/>
      <c r="CZ42" s="322"/>
      <c r="DA42" s="322"/>
      <c r="DB42" s="322"/>
      <c r="DC42" s="322"/>
      <c r="DD42" s="322"/>
      <c r="DE42" s="322"/>
      <c r="DF42" s="322"/>
      <c r="DG42" s="322"/>
      <c r="DH42" s="322"/>
      <c r="DI42" s="322"/>
      <c r="DJ42" s="322"/>
      <c r="DK42" s="322"/>
      <c r="DL42" s="322"/>
      <c r="DM42" s="322"/>
      <c r="DN42" s="322"/>
      <c r="DO42" s="322"/>
      <c r="DP42" s="322"/>
      <c r="DQ42" s="322"/>
      <c r="DR42" s="322"/>
      <c r="DS42" s="322"/>
      <c r="DT42" s="322"/>
      <c r="DU42" s="322"/>
      <c r="DV42" s="322"/>
      <c r="DW42" s="322"/>
      <c r="DX42" s="322"/>
      <c r="DY42" s="322"/>
      <c r="DZ42" s="322"/>
      <c r="EA42" s="322"/>
      <c r="EB42" s="322"/>
      <c r="EC42" s="322"/>
      <c r="ED42" s="322"/>
      <c r="EE42" s="322"/>
      <c r="EF42" s="322"/>
      <c r="EG42" s="322"/>
      <c r="EH42" s="322"/>
      <c r="EI42" s="322"/>
      <c r="EJ42" s="322"/>
      <c r="EK42" s="322"/>
      <c r="EL42" s="322"/>
      <c r="EM42" s="322"/>
      <c r="EN42" s="322"/>
      <c r="EO42" s="322"/>
      <c r="EP42" s="322"/>
      <c r="EQ42" s="322"/>
      <c r="ER42" s="322"/>
      <c r="ES42" s="322"/>
      <c r="ET42" s="322"/>
      <c r="EU42" s="322"/>
      <c r="EV42" s="322"/>
      <c r="EW42" s="322"/>
      <c r="EX42" s="322"/>
      <c r="EY42" s="322"/>
      <c r="EZ42" s="322"/>
      <c r="FA42" s="322"/>
      <c r="FB42" s="322"/>
      <c r="FC42" s="322"/>
      <c r="FD42" s="322"/>
      <c r="FE42" s="322"/>
      <c r="FF42" s="322"/>
      <c r="FG42" s="322"/>
      <c r="FH42" s="322"/>
      <c r="FI42" s="322"/>
      <c r="FJ42" s="322"/>
      <c r="FK42" s="322"/>
      <c r="FL42" s="322"/>
      <c r="FM42" s="322"/>
      <c r="FN42" s="322"/>
      <c r="FO42" s="322"/>
      <c r="FP42" s="322"/>
      <c r="FQ42" s="322"/>
      <c r="FR42" s="322"/>
      <c r="FS42" s="322"/>
      <c r="FT42" s="322"/>
      <c r="FU42" s="322"/>
      <c r="FV42" s="322"/>
      <c r="FW42" s="322"/>
      <c r="FX42" s="322"/>
      <c r="FY42" s="322"/>
      <c r="FZ42" s="322"/>
      <c r="GA42" s="322"/>
      <c r="GB42" s="322"/>
      <c r="GC42" s="322"/>
      <c r="GD42" s="322"/>
      <c r="GE42" s="322"/>
      <c r="GF42" s="322"/>
      <c r="GG42" s="322"/>
      <c r="GH42" s="322"/>
      <c r="GI42" s="322"/>
      <c r="GJ42" s="322"/>
      <c r="GK42" s="322"/>
      <c r="GL42" s="322"/>
      <c r="GM42" s="322"/>
      <c r="GN42" s="322"/>
      <c r="GO42" s="322"/>
      <c r="GP42" s="322"/>
      <c r="GQ42" s="322"/>
      <c r="GR42" s="322"/>
      <c r="GS42" s="322"/>
      <c r="GT42" s="322"/>
      <c r="GU42" s="322"/>
      <c r="GV42" s="322"/>
      <c r="GW42" s="322"/>
      <c r="GX42" s="322"/>
      <c r="GY42" s="322"/>
      <c r="GZ42" s="322"/>
      <c r="HA42" s="322"/>
      <c r="HB42" s="322"/>
      <c r="HC42" s="322"/>
      <c r="HD42" s="322"/>
      <c r="HE42" s="322"/>
      <c r="HF42" s="322"/>
      <c r="HG42" s="322"/>
      <c r="HH42" s="322"/>
      <c r="HI42" s="322"/>
      <c r="HJ42" s="322"/>
      <c r="HK42" s="322"/>
      <c r="HL42" s="322"/>
      <c r="HM42" s="322"/>
      <c r="HN42" s="322"/>
      <c r="HO42" s="322"/>
      <c r="HP42" s="322"/>
      <c r="HQ42" s="322"/>
      <c r="HR42" s="322"/>
      <c r="HS42" s="322"/>
      <c r="HT42" s="322"/>
      <c r="HU42" s="322"/>
      <c r="HV42" s="322"/>
      <c r="HW42" s="322"/>
      <c r="HX42" s="322"/>
      <c r="HY42" s="322"/>
      <c r="HZ42" s="322"/>
      <c r="IA42" s="322"/>
      <c r="IB42" s="322"/>
      <c r="IC42" s="322"/>
      <c r="ID42" s="322"/>
      <c r="IE42" s="322"/>
      <c r="IF42" s="322"/>
      <c r="IG42" s="322"/>
      <c r="IH42" s="322"/>
      <c r="II42" s="322"/>
      <c r="IJ42" s="322"/>
      <c r="IK42" s="322"/>
      <c r="IL42" s="322"/>
      <c r="IM42" s="322"/>
      <c r="IN42" s="322"/>
      <c r="IO42" s="322"/>
      <c r="IP42" s="322"/>
      <c r="IQ42" s="322"/>
      <c r="IR42" s="322"/>
      <c r="IS42" s="322"/>
      <c r="IT42" s="322"/>
      <c r="IU42" s="322"/>
    </row>
    <row r="43" spans="1:255" s="273" customFormat="1" ht="14.45" customHeight="1" x14ac:dyDescent="0.2">
      <c r="A43" s="448" t="s">
        <v>281</v>
      </c>
      <c r="B43" s="448"/>
      <c r="C43" s="448"/>
      <c r="D43" s="448"/>
      <c r="E43" s="448"/>
      <c r="F43" s="448"/>
      <c r="G43" s="448"/>
      <c r="H43" s="448"/>
      <c r="I43" s="448"/>
      <c r="J43" s="448"/>
      <c r="K43" s="448"/>
      <c r="L43" s="448"/>
      <c r="M43" s="448"/>
      <c r="N43" s="332"/>
      <c r="O43" s="331"/>
      <c r="P43" s="321"/>
    </row>
    <row r="44" spans="1:255" s="273" customFormat="1" ht="14.45" customHeight="1" x14ac:dyDescent="0.2">
      <c r="A44" s="447" t="s">
        <v>289</v>
      </c>
      <c r="B44" s="447"/>
      <c r="C44" s="447"/>
      <c r="D44" s="447"/>
      <c r="E44" s="447"/>
      <c r="F44" s="447"/>
      <c r="G44" s="447"/>
      <c r="H44" s="447"/>
      <c r="I44" s="447"/>
      <c r="J44" s="447"/>
      <c r="K44" s="447"/>
      <c r="L44" s="447"/>
      <c r="M44" s="447"/>
      <c r="N44" s="337"/>
      <c r="O44" s="335"/>
      <c r="P44" s="321"/>
    </row>
    <row r="45" spans="1:255" s="319" customFormat="1" ht="14.45" customHeight="1" x14ac:dyDescent="0.2">
      <c r="A45" s="448" t="s">
        <v>282</v>
      </c>
      <c r="B45" s="448"/>
      <c r="C45" s="448"/>
      <c r="D45" s="448"/>
      <c r="E45" s="448"/>
      <c r="F45" s="448"/>
      <c r="G45" s="448"/>
      <c r="H45" s="448"/>
      <c r="I45" s="448"/>
      <c r="J45" s="448"/>
      <c r="K45" s="448"/>
      <c r="L45" s="448"/>
      <c r="M45" s="448"/>
      <c r="N45" s="448"/>
      <c r="O45" s="448"/>
    </row>
    <row r="46" spans="1:255" s="273" customFormat="1" ht="14.45" customHeight="1" x14ac:dyDescent="0.2">
      <c r="A46" s="449" t="s">
        <v>286</v>
      </c>
      <c r="B46" s="449"/>
      <c r="C46" s="449"/>
      <c r="D46" s="449"/>
      <c r="E46" s="449"/>
      <c r="F46" s="449"/>
      <c r="G46" s="449"/>
      <c r="H46" s="449"/>
      <c r="I46" s="449"/>
      <c r="J46" s="449"/>
      <c r="K46" s="449"/>
      <c r="L46" s="449"/>
      <c r="M46" s="449"/>
      <c r="N46" s="449"/>
      <c r="O46" s="331"/>
      <c r="P46" s="321"/>
    </row>
    <row r="47" spans="1:255" s="273" customFormat="1" ht="14.45" customHeight="1" x14ac:dyDescent="0.2">
      <c r="A47" s="449" t="s">
        <v>290</v>
      </c>
      <c r="B47" s="449"/>
      <c r="C47" s="449"/>
      <c r="D47" s="449"/>
      <c r="E47" s="449"/>
      <c r="F47" s="449"/>
      <c r="G47" s="449"/>
      <c r="H47" s="449"/>
      <c r="I47" s="449"/>
      <c r="J47" s="449"/>
      <c r="K47" s="449"/>
      <c r="L47" s="449"/>
      <c r="M47" s="337"/>
      <c r="N47" s="334"/>
      <c r="O47" s="331"/>
      <c r="P47" s="323"/>
    </row>
    <row r="48" spans="1:255" s="273" customFormat="1" ht="14.45" customHeight="1" x14ac:dyDescent="0.2">
      <c r="A48" s="526"/>
      <c r="B48" s="526"/>
      <c r="C48" s="526"/>
      <c r="D48" s="526"/>
      <c r="E48" s="526"/>
      <c r="F48" s="526"/>
      <c r="G48" s="526"/>
      <c r="H48" s="526"/>
      <c r="I48" s="526"/>
      <c r="J48" s="526"/>
      <c r="K48" s="526"/>
      <c r="L48" s="526"/>
      <c r="M48" s="526"/>
      <c r="P48" s="323"/>
    </row>
    <row r="49" spans="1:255" s="273" customFormat="1" ht="14.45" customHeight="1" x14ac:dyDescent="0.2">
      <c r="A49" s="527" t="s">
        <v>292</v>
      </c>
      <c r="B49" s="527"/>
      <c r="C49" s="527"/>
      <c r="D49" s="527"/>
      <c r="E49" s="527"/>
      <c r="F49" s="527"/>
      <c r="G49" s="527"/>
      <c r="H49" s="527"/>
      <c r="I49" s="527"/>
      <c r="J49" s="527"/>
      <c r="K49" s="527"/>
      <c r="L49" s="527"/>
      <c r="M49" s="527"/>
      <c r="N49" s="527"/>
      <c r="O49" s="322"/>
      <c r="P49" s="322"/>
      <c r="Q49" s="322"/>
      <c r="R49" s="322"/>
      <c r="S49" s="322"/>
      <c r="T49" s="322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  <c r="BE49" s="322"/>
      <c r="BF49" s="322"/>
      <c r="BG49" s="322"/>
      <c r="BH49" s="322"/>
      <c r="BI49" s="322"/>
      <c r="BJ49" s="322"/>
      <c r="BK49" s="322"/>
      <c r="BL49" s="322"/>
      <c r="BM49" s="322"/>
      <c r="BN49" s="322"/>
      <c r="BO49" s="322"/>
      <c r="BP49" s="322"/>
      <c r="BQ49" s="322"/>
      <c r="BR49" s="322"/>
      <c r="BS49" s="322"/>
      <c r="BT49" s="322"/>
      <c r="BU49" s="322"/>
      <c r="BV49" s="322"/>
      <c r="BW49" s="322"/>
      <c r="BX49" s="322"/>
      <c r="BY49" s="322"/>
      <c r="BZ49" s="322"/>
      <c r="CA49" s="322"/>
      <c r="CB49" s="322"/>
      <c r="CC49" s="322"/>
      <c r="CD49" s="322"/>
      <c r="CE49" s="322"/>
      <c r="CF49" s="322"/>
      <c r="CG49" s="322"/>
      <c r="CH49" s="322"/>
      <c r="CI49" s="322"/>
      <c r="CJ49" s="322"/>
      <c r="CK49" s="322"/>
      <c r="CL49" s="322"/>
      <c r="CM49" s="322"/>
      <c r="CN49" s="322"/>
      <c r="CO49" s="322"/>
      <c r="CP49" s="322"/>
      <c r="CQ49" s="322"/>
      <c r="CR49" s="322"/>
      <c r="CS49" s="322"/>
      <c r="CT49" s="322"/>
      <c r="CU49" s="322"/>
      <c r="CV49" s="322"/>
      <c r="CW49" s="322"/>
      <c r="CX49" s="322"/>
      <c r="CY49" s="322"/>
      <c r="CZ49" s="322"/>
      <c r="DA49" s="322"/>
      <c r="DB49" s="322"/>
      <c r="DC49" s="322"/>
      <c r="DD49" s="322"/>
      <c r="DE49" s="322"/>
      <c r="DF49" s="322"/>
      <c r="DG49" s="322"/>
      <c r="DH49" s="322"/>
      <c r="DI49" s="322"/>
      <c r="DJ49" s="322"/>
      <c r="DK49" s="322"/>
      <c r="DL49" s="322"/>
      <c r="DM49" s="322"/>
      <c r="DN49" s="322"/>
      <c r="DO49" s="322"/>
      <c r="DP49" s="322"/>
      <c r="DQ49" s="322"/>
      <c r="DR49" s="322"/>
      <c r="DS49" s="322"/>
      <c r="DT49" s="322"/>
      <c r="DU49" s="322"/>
      <c r="DV49" s="322"/>
      <c r="DW49" s="322"/>
      <c r="DX49" s="322"/>
      <c r="DY49" s="322"/>
      <c r="DZ49" s="322"/>
      <c r="EA49" s="322"/>
      <c r="EB49" s="322"/>
      <c r="EC49" s="322"/>
      <c r="ED49" s="322"/>
      <c r="EE49" s="322"/>
      <c r="EF49" s="322"/>
      <c r="EG49" s="322"/>
      <c r="EH49" s="322"/>
      <c r="EI49" s="322"/>
      <c r="EJ49" s="322"/>
      <c r="EK49" s="322"/>
      <c r="EL49" s="322"/>
      <c r="EM49" s="322"/>
      <c r="EN49" s="322"/>
      <c r="EO49" s="322"/>
      <c r="EP49" s="322"/>
      <c r="EQ49" s="322"/>
      <c r="ER49" s="322"/>
      <c r="ES49" s="322"/>
      <c r="ET49" s="322"/>
      <c r="EU49" s="322"/>
      <c r="EV49" s="322"/>
      <c r="EW49" s="322"/>
      <c r="EX49" s="322"/>
      <c r="EY49" s="322"/>
      <c r="EZ49" s="322"/>
      <c r="FA49" s="322"/>
      <c r="FB49" s="322"/>
      <c r="FC49" s="322"/>
      <c r="FD49" s="322"/>
      <c r="FE49" s="322"/>
      <c r="FF49" s="322"/>
      <c r="FG49" s="322"/>
      <c r="FH49" s="322"/>
      <c r="FI49" s="322"/>
      <c r="FJ49" s="322"/>
      <c r="FK49" s="322"/>
      <c r="FL49" s="322"/>
      <c r="FM49" s="322"/>
      <c r="FN49" s="322"/>
      <c r="FO49" s="322"/>
      <c r="FP49" s="322"/>
      <c r="FQ49" s="322"/>
      <c r="FR49" s="322"/>
      <c r="FS49" s="322"/>
      <c r="FT49" s="322"/>
      <c r="FU49" s="322"/>
      <c r="FV49" s="322"/>
      <c r="FW49" s="322"/>
      <c r="FX49" s="322"/>
      <c r="FY49" s="322"/>
      <c r="FZ49" s="322"/>
      <c r="GA49" s="322"/>
      <c r="GB49" s="322"/>
      <c r="GC49" s="322"/>
      <c r="GD49" s="322"/>
      <c r="GE49" s="322"/>
      <c r="GF49" s="322"/>
      <c r="GG49" s="322"/>
      <c r="GH49" s="322"/>
      <c r="GI49" s="322"/>
      <c r="GJ49" s="322"/>
      <c r="GK49" s="322"/>
      <c r="GL49" s="322"/>
      <c r="GM49" s="322"/>
      <c r="GN49" s="322"/>
      <c r="GO49" s="322"/>
      <c r="GP49" s="322"/>
      <c r="GQ49" s="322"/>
      <c r="GR49" s="322"/>
      <c r="GS49" s="322"/>
      <c r="GT49" s="322"/>
      <c r="GU49" s="322"/>
      <c r="GV49" s="322"/>
      <c r="GW49" s="322"/>
      <c r="GX49" s="322"/>
      <c r="GY49" s="322"/>
      <c r="GZ49" s="322"/>
      <c r="HA49" s="322"/>
      <c r="HB49" s="322"/>
      <c r="HC49" s="322"/>
      <c r="HD49" s="322"/>
      <c r="HE49" s="322"/>
      <c r="HF49" s="322"/>
      <c r="HG49" s="322"/>
      <c r="HH49" s="322"/>
      <c r="HI49" s="322"/>
      <c r="HJ49" s="322"/>
      <c r="HK49" s="322"/>
      <c r="HL49" s="322"/>
      <c r="HM49" s="322"/>
      <c r="HN49" s="322"/>
      <c r="HO49" s="322"/>
      <c r="HP49" s="322"/>
      <c r="HQ49" s="322"/>
      <c r="HR49" s="322"/>
      <c r="HS49" s="322"/>
      <c r="HT49" s="322"/>
      <c r="HU49" s="322"/>
      <c r="HV49" s="322"/>
      <c r="HW49" s="322"/>
      <c r="HX49" s="322"/>
      <c r="HY49" s="322"/>
      <c r="HZ49" s="322"/>
      <c r="IA49" s="322"/>
      <c r="IB49" s="322"/>
      <c r="IC49" s="322"/>
      <c r="ID49" s="322"/>
      <c r="IE49" s="322"/>
      <c r="IF49" s="322"/>
      <c r="IG49" s="322"/>
      <c r="IH49" s="322"/>
      <c r="II49" s="322"/>
      <c r="IJ49" s="322"/>
      <c r="IK49" s="322"/>
      <c r="IL49" s="322"/>
      <c r="IM49" s="322"/>
      <c r="IN49" s="322"/>
      <c r="IO49" s="322"/>
      <c r="IP49" s="322"/>
      <c r="IQ49" s="322"/>
      <c r="IR49" s="322"/>
      <c r="IS49" s="322"/>
      <c r="IT49" s="322"/>
      <c r="IU49" s="322"/>
    </row>
    <row r="50" spans="1:255" s="273" customFormat="1" ht="14.45" customHeight="1" x14ac:dyDescent="0.2">
      <c r="A50" s="526"/>
      <c r="B50" s="526"/>
      <c r="C50" s="526"/>
      <c r="D50" s="526"/>
      <c r="E50" s="526"/>
      <c r="F50" s="526"/>
      <c r="G50" s="526"/>
      <c r="H50" s="526"/>
      <c r="I50" s="526"/>
      <c r="J50" s="526"/>
      <c r="K50" s="526"/>
      <c r="L50" s="526"/>
      <c r="M50" s="526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  <c r="BE50" s="322"/>
      <c r="BF50" s="322"/>
      <c r="BG50" s="322"/>
      <c r="BH50" s="322"/>
      <c r="BI50" s="322"/>
      <c r="BJ50" s="322"/>
      <c r="BK50" s="322"/>
      <c r="BL50" s="322"/>
      <c r="BM50" s="322"/>
      <c r="BN50" s="322"/>
      <c r="BO50" s="322"/>
      <c r="BP50" s="322"/>
      <c r="BQ50" s="322"/>
      <c r="BR50" s="322"/>
      <c r="BS50" s="322"/>
      <c r="BT50" s="322"/>
      <c r="BU50" s="322"/>
      <c r="BV50" s="322"/>
      <c r="BW50" s="322"/>
      <c r="BX50" s="322"/>
      <c r="BY50" s="322"/>
      <c r="BZ50" s="322"/>
      <c r="CA50" s="322"/>
      <c r="CB50" s="322"/>
      <c r="CC50" s="322"/>
      <c r="CD50" s="322"/>
      <c r="CE50" s="322"/>
      <c r="CF50" s="322"/>
      <c r="CG50" s="322"/>
      <c r="CH50" s="322"/>
      <c r="CI50" s="322"/>
      <c r="CJ50" s="322"/>
      <c r="CK50" s="322"/>
      <c r="CL50" s="322"/>
      <c r="CM50" s="322"/>
      <c r="CN50" s="322"/>
      <c r="CO50" s="322"/>
      <c r="CP50" s="322"/>
      <c r="CQ50" s="322"/>
      <c r="CR50" s="322"/>
      <c r="CS50" s="322"/>
      <c r="CT50" s="322"/>
      <c r="CU50" s="322"/>
      <c r="CV50" s="322"/>
      <c r="CW50" s="322"/>
      <c r="CX50" s="322"/>
      <c r="CY50" s="322"/>
      <c r="CZ50" s="322"/>
      <c r="DA50" s="322"/>
      <c r="DB50" s="322"/>
      <c r="DC50" s="322"/>
      <c r="DD50" s="322"/>
      <c r="DE50" s="322"/>
      <c r="DF50" s="322"/>
      <c r="DG50" s="322"/>
      <c r="DH50" s="322"/>
      <c r="DI50" s="322"/>
      <c r="DJ50" s="322"/>
      <c r="DK50" s="322"/>
      <c r="DL50" s="322"/>
      <c r="DM50" s="322"/>
      <c r="DN50" s="322"/>
      <c r="DO50" s="322"/>
      <c r="DP50" s="322"/>
      <c r="DQ50" s="322"/>
      <c r="DR50" s="322"/>
      <c r="DS50" s="322"/>
      <c r="DT50" s="322"/>
      <c r="DU50" s="322"/>
      <c r="DV50" s="322"/>
      <c r="DW50" s="322"/>
      <c r="DX50" s="322"/>
      <c r="DY50" s="322"/>
      <c r="DZ50" s="322"/>
      <c r="EA50" s="322"/>
      <c r="EB50" s="322"/>
      <c r="EC50" s="322"/>
      <c r="ED50" s="322"/>
      <c r="EE50" s="322"/>
      <c r="EF50" s="322"/>
      <c r="EG50" s="322"/>
      <c r="EH50" s="322"/>
      <c r="EI50" s="322"/>
      <c r="EJ50" s="322"/>
      <c r="EK50" s="322"/>
      <c r="EL50" s="322"/>
      <c r="EM50" s="322"/>
      <c r="EN50" s="322"/>
      <c r="EO50" s="322"/>
      <c r="EP50" s="322"/>
      <c r="EQ50" s="322"/>
      <c r="ER50" s="322"/>
      <c r="ES50" s="322"/>
      <c r="ET50" s="322"/>
      <c r="EU50" s="322"/>
      <c r="EV50" s="322"/>
      <c r="EW50" s="322"/>
      <c r="EX50" s="322"/>
      <c r="EY50" s="322"/>
      <c r="EZ50" s="322"/>
      <c r="FA50" s="322"/>
      <c r="FB50" s="322"/>
      <c r="FC50" s="322"/>
      <c r="FD50" s="322"/>
      <c r="FE50" s="322"/>
      <c r="FF50" s="322"/>
      <c r="FG50" s="322"/>
      <c r="FH50" s="322"/>
      <c r="FI50" s="322"/>
      <c r="FJ50" s="322"/>
      <c r="FK50" s="322"/>
      <c r="FL50" s="322"/>
      <c r="FM50" s="322"/>
      <c r="FN50" s="322"/>
      <c r="FO50" s="322"/>
      <c r="FP50" s="322"/>
      <c r="FQ50" s="322"/>
      <c r="FR50" s="322"/>
      <c r="FS50" s="322"/>
      <c r="FT50" s="322"/>
      <c r="FU50" s="322"/>
      <c r="FV50" s="322"/>
      <c r="FW50" s="322"/>
      <c r="FX50" s="322"/>
      <c r="FY50" s="322"/>
      <c r="FZ50" s="322"/>
      <c r="GA50" s="322"/>
      <c r="GB50" s="322"/>
      <c r="GC50" s="322"/>
      <c r="GD50" s="322"/>
      <c r="GE50" s="322"/>
      <c r="GF50" s="322"/>
      <c r="GG50" s="322"/>
      <c r="GH50" s="322"/>
      <c r="GI50" s="322"/>
      <c r="GJ50" s="322"/>
      <c r="GK50" s="322"/>
      <c r="GL50" s="322"/>
      <c r="GM50" s="322"/>
      <c r="GN50" s="322"/>
      <c r="GO50" s="322"/>
      <c r="GP50" s="322"/>
      <c r="GQ50" s="322"/>
      <c r="GR50" s="322"/>
      <c r="GS50" s="322"/>
      <c r="GT50" s="322"/>
      <c r="GU50" s="322"/>
      <c r="GV50" s="322"/>
      <c r="GW50" s="322"/>
      <c r="GX50" s="322"/>
      <c r="GY50" s="322"/>
      <c r="GZ50" s="322"/>
      <c r="HA50" s="322"/>
      <c r="HB50" s="322"/>
      <c r="HC50" s="322"/>
      <c r="HD50" s="322"/>
      <c r="HE50" s="322"/>
      <c r="HF50" s="322"/>
      <c r="HG50" s="322"/>
      <c r="HH50" s="322"/>
      <c r="HI50" s="322"/>
      <c r="HJ50" s="322"/>
      <c r="HK50" s="322"/>
      <c r="HL50" s="322"/>
      <c r="HM50" s="322"/>
      <c r="HN50" s="322"/>
      <c r="HO50" s="322"/>
      <c r="HP50" s="322"/>
      <c r="HQ50" s="322"/>
      <c r="HR50" s="322"/>
      <c r="HS50" s="322"/>
      <c r="HT50" s="322"/>
      <c r="HU50" s="322"/>
      <c r="HV50" s="322"/>
      <c r="HW50" s="322"/>
      <c r="HX50" s="322"/>
      <c r="HY50" s="322"/>
      <c r="HZ50" s="322"/>
      <c r="IA50" s="322"/>
      <c r="IB50" s="322"/>
      <c r="IC50" s="322"/>
      <c r="ID50" s="322"/>
      <c r="IE50" s="322"/>
      <c r="IF50" s="322"/>
      <c r="IG50" s="322"/>
      <c r="IH50" s="322"/>
      <c r="II50" s="322"/>
      <c r="IJ50" s="322"/>
      <c r="IK50" s="322"/>
      <c r="IL50" s="322"/>
      <c r="IM50" s="322"/>
      <c r="IN50" s="322"/>
      <c r="IO50" s="322"/>
      <c r="IP50" s="322"/>
      <c r="IQ50" s="322"/>
      <c r="IR50" s="322"/>
      <c r="IS50" s="322"/>
      <c r="IT50" s="322"/>
      <c r="IU50" s="322"/>
    </row>
    <row r="51" spans="1:255" s="196" customFormat="1" ht="14.45" customHeight="1" x14ac:dyDescent="0.2">
      <c r="A51" s="450"/>
      <c r="B51" s="450"/>
      <c r="C51" s="450"/>
      <c r="D51" s="450"/>
      <c r="E51" s="450"/>
      <c r="F51" s="450"/>
      <c r="G51" s="450"/>
      <c r="H51" s="450"/>
      <c r="I51" s="450"/>
      <c r="J51" s="450"/>
      <c r="K51" s="450"/>
      <c r="L51" s="450"/>
      <c r="M51" s="450"/>
      <c r="N51" s="450"/>
      <c r="O51" s="322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4"/>
      <c r="AW51" s="324"/>
      <c r="AX51" s="324"/>
      <c r="AY51" s="324"/>
      <c r="AZ51" s="324"/>
      <c r="BA51" s="324"/>
      <c r="BB51" s="324"/>
      <c r="BC51" s="324"/>
      <c r="BD51" s="324"/>
      <c r="BE51" s="324"/>
      <c r="BF51" s="324"/>
      <c r="BG51" s="324"/>
      <c r="BH51" s="324"/>
      <c r="BI51" s="324"/>
      <c r="BJ51" s="324"/>
      <c r="BK51" s="324"/>
      <c r="BL51" s="324"/>
      <c r="BM51" s="324"/>
      <c r="BN51" s="324"/>
      <c r="BO51" s="324"/>
      <c r="BP51" s="324"/>
      <c r="BQ51" s="324"/>
      <c r="BR51" s="324"/>
      <c r="BS51" s="324"/>
      <c r="BT51" s="324"/>
      <c r="BU51" s="324"/>
      <c r="BV51" s="324"/>
      <c r="BW51" s="324"/>
      <c r="BX51" s="324"/>
      <c r="BY51" s="324"/>
      <c r="BZ51" s="324"/>
      <c r="CA51" s="324"/>
      <c r="CB51" s="324"/>
      <c r="CC51" s="324"/>
      <c r="CD51" s="324"/>
      <c r="CE51" s="324"/>
      <c r="CF51" s="324"/>
      <c r="CG51" s="324"/>
      <c r="CH51" s="324"/>
      <c r="CI51" s="324"/>
      <c r="CJ51" s="324"/>
      <c r="CK51" s="324"/>
      <c r="CL51" s="324"/>
      <c r="CM51" s="324"/>
      <c r="CN51" s="324"/>
      <c r="CO51" s="324"/>
      <c r="CP51" s="324"/>
      <c r="CQ51" s="324"/>
      <c r="CR51" s="324"/>
      <c r="CS51" s="324"/>
      <c r="CT51" s="324"/>
      <c r="CU51" s="324"/>
      <c r="CV51" s="324"/>
      <c r="CW51" s="324"/>
      <c r="CX51" s="324"/>
      <c r="CY51" s="324"/>
      <c r="CZ51" s="324"/>
      <c r="DA51" s="324"/>
      <c r="DB51" s="324"/>
      <c r="DC51" s="324"/>
      <c r="DD51" s="324"/>
      <c r="DE51" s="324"/>
      <c r="DF51" s="324"/>
      <c r="DG51" s="324"/>
      <c r="DH51" s="324"/>
      <c r="DI51" s="324"/>
      <c r="DJ51" s="324"/>
      <c r="DK51" s="324"/>
      <c r="DL51" s="324"/>
      <c r="DM51" s="324"/>
      <c r="DN51" s="324"/>
      <c r="DO51" s="324"/>
      <c r="DP51" s="324"/>
      <c r="DQ51" s="324"/>
      <c r="DR51" s="324"/>
      <c r="DS51" s="324"/>
      <c r="DT51" s="324"/>
      <c r="DU51" s="324"/>
      <c r="DV51" s="324"/>
      <c r="DW51" s="324"/>
      <c r="DX51" s="324"/>
      <c r="DY51" s="324"/>
      <c r="DZ51" s="324"/>
      <c r="EA51" s="324"/>
      <c r="EB51" s="324"/>
      <c r="EC51" s="324"/>
      <c r="ED51" s="324"/>
      <c r="EE51" s="324"/>
      <c r="EF51" s="324"/>
      <c r="EG51" s="324"/>
      <c r="EH51" s="324"/>
      <c r="EI51" s="324"/>
      <c r="EJ51" s="324"/>
      <c r="EK51" s="324"/>
      <c r="EL51" s="324"/>
      <c r="EM51" s="324"/>
      <c r="EN51" s="324"/>
      <c r="EO51" s="324"/>
      <c r="EP51" s="324"/>
      <c r="EQ51" s="324"/>
      <c r="ER51" s="324"/>
      <c r="ES51" s="324"/>
      <c r="ET51" s="324"/>
      <c r="EU51" s="324"/>
      <c r="EV51" s="324"/>
      <c r="EW51" s="324"/>
      <c r="EX51" s="324"/>
      <c r="EY51" s="324"/>
      <c r="EZ51" s="324"/>
      <c r="FA51" s="324"/>
      <c r="FB51" s="324"/>
      <c r="FC51" s="324"/>
      <c r="FD51" s="324"/>
      <c r="FE51" s="324"/>
      <c r="FF51" s="324"/>
      <c r="FG51" s="324"/>
      <c r="FH51" s="324"/>
      <c r="FI51" s="324"/>
      <c r="FJ51" s="324"/>
      <c r="FK51" s="324"/>
      <c r="FL51" s="324"/>
      <c r="FM51" s="324"/>
      <c r="FN51" s="324"/>
      <c r="FO51" s="324"/>
      <c r="FP51" s="324"/>
      <c r="FQ51" s="324"/>
      <c r="FR51" s="324"/>
      <c r="FS51" s="324"/>
      <c r="FT51" s="324"/>
      <c r="FU51" s="324"/>
      <c r="FV51" s="324"/>
      <c r="FW51" s="324"/>
      <c r="FX51" s="324"/>
      <c r="FY51" s="324"/>
      <c r="FZ51" s="324"/>
      <c r="GA51" s="324"/>
      <c r="GB51" s="324"/>
      <c r="GC51" s="324"/>
      <c r="GD51" s="324"/>
      <c r="GE51" s="324"/>
      <c r="GF51" s="324"/>
      <c r="GG51" s="324"/>
      <c r="GH51" s="324"/>
      <c r="GI51" s="324"/>
      <c r="GJ51" s="324"/>
      <c r="GK51" s="324"/>
      <c r="GL51" s="324"/>
      <c r="GM51" s="324"/>
      <c r="GN51" s="324"/>
      <c r="GO51" s="324"/>
      <c r="GP51" s="324"/>
      <c r="GQ51" s="324"/>
      <c r="GR51" s="324"/>
      <c r="GS51" s="324"/>
      <c r="GT51" s="324"/>
      <c r="GU51" s="324"/>
      <c r="GV51" s="324"/>
      <c r="GW51" s="324"/>
      <c r="GX51" s="324"/>
      <c r="GY51" s="324"/>
      <c r="GZ51" s="324"/>
      <c r="HA51" s="324"/>
      <c r="HB51" s="324"/>
      <c r="HC51" s="324"/>
      <c r="HD51" s="324"/>
      <c r="HE51" s="324"/>
      <c r="HF51" s="324"/>
      <c r="HG51" s="324"/>
      <c r="HH51" s="324"/>
      <c r="HI51" s="324"/>
      <c r="HJ51" s="324"/>
      <c r="HK51" s="324"/>
      <c r="HL51" s="324"/>
      <c r="HM51" s="324"/>
      <c r="HN51" s="324"/>
      <c r="HO51" s="324"/>
      <c r="HP51" s="324"/>
      <c r="HQ51" s="324"/>
      <c r="HR51" s="324"/>
      <c r="HS51" s="324"/>
      <c r="HT51" s="324"/>
      <c r="HU51" s="324"/>
      <c r="HV51" s="324"/>
      <c r="HW51" s="324"/>
      <c r="HX51" s="324"/>
      <c r="HY51" s="324"/>
      <c r="HZ51" s="324"/>
      <c r="IA51" s="324"/>
      <c r="IB51" s="324"/>
      <c r="IC51" s="324"/>
      <c r="ID51" s="324"/>
      <c r="IE51" s="324"/>
      <c r="IF51" s="324"/>
      <c r="IG51" s="324"/>
      <c r="IH51" s="324"/>
      <c r="II51" s="324"/>
      <c r="IJ51" s="324"/>
      <c r="IK51" s="324"/>
      <c r="IL51" s="324"/>
      <c r="IM51" s="324"/>
      <c r="IN51" s="324"/>
      <c r="IO51" s="324"/>
      <c r="IP51" s="324"/>
      <c r="IQ51" s="324"/>
      <c r="IR51" s="324"/>
      <c r="IS51" s="324"/>
      <c r="IT51" s="324"/>
      <c r="IU51" s="324"/>
    </row>
    <row r="52" spans="1:255" s="196" customFormat="1" ht="14.45" customHeight="1" x14ac:dyDescent="0.2">
      <c r="A52" s="450"/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  <c r="N52" s="450"/>
      <c r="O52" s="322"/>
      <c r="P52" s="324"/>
      <c r="Q52" s="324"/>
      <c r="R52" s="324"/>
      <c r="S52" s="324"/>
      <c r="T52" s="324"/>
      <c r="U52" s="324"/>
      <c r="V52" s="324"/>
      <c r="W52" s="324"/>
      <c r="X52" s="324"/>
      <c r="Y52" s="324"/>
      <c r="Z52" s="324"/>
      <c r="AA52" s="324"/>
      <c r="AB52" s="324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324"/>
      <c r="AV52" s="324"/>
      <c r="AW52" s="324"/>
      <c r="AX52" s="324"/>
      <c r="AY52" s="324"/>
      <c r="AZ52" s="324"/>
      <c r="BA52" s="324"/>
      <c r="BB52" s="324"/>
      <c r="BC52" s="324"/>
      <c r="BD52" s="324"/>
      <c r="BE52" s="324"/>
      <c r="BF52" s="324"/>
      <c r="BG52" s="324"/>
      <c r="BH52" s="324"/>
      <c r="BI52" s="324"/>
      <c r="BJ52" s="324"/>
      <c r="BK52" s="324"/>
      <c r="BL52" s="324"/>
      <c r="BM52" s="324"/>
      <c r="BN52" s="324"/>
      <c r="BO52" s="324"/>
      <c r="BP52" s="324"/>
      <c r="BQ52" s="324"/>
      <c r="BR52" s="324"/>
      <c r="BS52" s="324"/>
      <c r="BT52" s="324"/>
      <c r="BU52" s="324"/>
      <c r="BV52" s="324"/>
      <c r="BW52" s="324"/>
      <c r="BX52" s="324"/>
      <c r="BY52" s="324"/>
      <c r="BZ52" s="324"/>
      <c r="CA52" s="324"/>
      <c r="CB52" s="324"/>
      <c r="CC52" s="324"/>
      <c r="CD52" s="324"/>
      <c r="CE52" s="324"/>
      <c r="CF52" s="324"/>
      <c r="CG52" s="324"/>
      <c r="CH52" s="324"/>
      <c r="CI52" s="324"/>
      <c r="CJ52" s="324"/>
      <c r="CK52" s="324"/>
      <c r="CL52" s="324"/>
      <c r="CM52" s="324"/>
      <c r="CN52" s="324"/>
      <c r="CO52" s="324"/>
      <c r="CP52" s="324"/>
      <c r="CQ52" s="324"/>
      <c r="CR52" s="324"/>
      <c r="CS52" s="324"/>
      <c r="CT52" s="324"/>
      <c r="CU52" s="324"/>
      <c r="CV52" s="324"/>
      <c r="CW52" s="324"/>
      <c r="CX52" s="324"/>
      <c r="CY52" s="324"/>
      <c r="CZ52" s="324"/>
      <c r="DA52" s="324"/>
      <c r="DB52" s="324"/>
      <c r="DC52" s="324"/>
      <c r="DD52" s="324"/>
      <c r="DE52" s="324"/>
      <c r="DF52" s="324"/>
      <c r="DG52" s="324"/>
      <c r="DH52" s="324"/>
      <c r="DI52" s="324"/>
      <c r="DJ52" s="324"/>
      <c r="DK52" s="324"/>
      <c r="DL52" s="324"/>
      <c r="DM52" s="324"/>
      <c r="DN52" s="324"/>
      <c r="DO52" s="324"/>
      <c r="DP52" s="324"/>
      <c r="DQ52" s="324"/>
      <c r="DR52" s="324"/>
      <c r="DS52" s="324"/>
      <c r="DT52" s="324"/>
      <c r="DU52" s="324"/>
      <c r="DV52" s="324"/>
      <c r="DW52" s="324"/>
      <c r="DX52" s="324"/>
      <c r="DY52" s="324"/>
      <c r="DZ52" s="324"/>
      <c r="EA52" s="324"/>
      <c r="EB52" s="324"/>
      <c r="EC52" s="324"/>
      <c r="ED52" s="324"/>
      <c r="EE52" s="324"/>
      <c r="EF52" s="324"/>
      <c r="EG52" s="324"/>
      <c r="EH52" s="324"/>
      <c r="EI52" s="324"/>
      <c r="EJ52" s="324"/>
      <c r="EK52" s="324"/>
      <c r="EL52" s="324"/>
      <c r="EM52" s="324"/>
      <c r="EN52" s="324"/>
      <c r="EO52" s="324"/>
      <c r="EP52" s="324"/>
      <c r="EQ52" s="324"/>
      <c r="ER52" s="324"/>
      <c r="ES52" s="324"/>
      <c r="ET52" s="324"/>
      <c r="EU52" s="324"/>
      <c r="EV52" s="324"/>
      <c r="EW52" s="324"/>
      <c r="EX52" s="324"/>
      <c r="EY52" s="324"/>
      <c r="EZ52" s="324"/>
      <c r="FA52" s="324"/>
      <c r="FB52" s="324"/>
      <c r="FC52" s="324"/>
      <c r="FD52" s="324"/>
      <c r="FE52" s="324"/>
      <c r="FF52" s="324"/>
      <c r="FG52" s="324"/>
      <c r="FH52" s="324"/>
      <c r="FI52" s="324"/>
      <c r="FJ52" s="324"/>
      <c r="FK52" s="324"/>
      <c r="FL52" s="324"/>
      <c r="FM52" s="324"/>
      <c r="FN52" s="324"/>
      <c r="FO52" s="324"/>
      <c r="FP52" s="324"/>
      <c r="FQ52" s="324"/>
      <c r="FR52" s="324"/>
      <c r="FS52" s="324"/>
      <c r="FT52" s="324"/>
      <c r="FU52" s="324"/>
      <c r="FV52" s="324"/>
      <c r="FW52" s="324"/>
      <c r="FX52" s="324"/>
      <c r="FY52" s="324"/>
      <c r="FZ52" s="324"/>
      <c r="GA52" s="324"/>
      <c r="GB52" s="324"/>
      <c r="GC52" s="324"/>
      <c r="GD52" s="324"/>
      <c r="GE52" s="324"/>
      <c r="GF52" s="324"/>
      <c r="GG52" s="324"/>
      <c r="GH52" s="324"/>
      <c r="GI52" s="324"/>
      <c r="GJ52" s="324"/>
      <c r="GK52" s="324"/>
      <c r="GL52" s="324"/>
      <c r="GM52" s="324"/>
      <c r="GN52" s="324"/>
      <c r="GO52" s="324"/>
      <c r="GP52" s="324"/>
      <c r="GQ52" s="324"/>
      <c r="GR52" s="324"/>
      <c r="GS52" s="324"/>
      <c r="GT52" s="324"/>
      <c r="GU52" s="324"/>
      <c r="GV52" s="324"/>
      <c r="GW52" s="324"/>
      <c r="GX52" s="324"/>
      <c r="GY52" s="324"/>
      <c r="GZ52" s="324"/>
      <c r="HA52" s="324"/>
      <c r="HB52" s="324"/>
      <c r="HC52" s="324"/>
      <c r="HD52" s="324"/>
      <c r="HE52" s="324"/>
      <c r="HF52" s="324"/>
      <c r="HG52" s="324"/>
      <c r="HH52" s="324"/>
      <c r="HI52" s="324"/>
      <c r="HJ52" s="324"/>
      <c r="HK52" s="324"/>
      <c r="HL52" s="324"/>
      <c r="HM52" s="324"/>
      <c r="HN52" s="324"/>
      <c r="HO52" s="324"/>
      <c r="HP52" s="324"/>
      <c r="HQ52" s="324"/>
      <c r="HR52" s="324"/>
      <c r="HS52" s="324"/>
      <c r="HT52" s="324"/>
      <c r="HU52" s="324"/>
      <c r="HV52" s="324"/>
      <c r="HW52" s="324"/>
      <c r="HX52" s="324"/>
      <c r="HY52" s="324"/>
      <c r="HZ52" s="324"/>
      <c r="IA52" s="324"/>
      <c r="IB52" s="324"/>
      <c r="IC52" s="324"/>
      <c r="ID52" s="324"/>
      <c r="IE52" s="324"/>
      <c r="IF52" s="324"/>
      <c r="IG52" s="324"/>
      <c r="IH52" s="324"/>
      <c r="II52" s="324"/>
      <c r="IJ52" s="324"/>
      <c r="IK52" s="324"/>
      <c r="IL52" s="324"/>
      <c r="IM52" s="324"/>
      <c r="IN52" s="324"/>
      <c r="IO52" s="324"/>
      <c r="IP52" s="324"/>
      <c r="IQ52" s="324"/>
      <c r="IR52" s="324"/>
      <c r="IS52" s="324"/>
      <c r="IT52" s="324"/>
      <c r="IU52" s="324"/>
    </row>
    <row r="53" spans="1:255" s="193" customFormat="1" ht="14.45" customHeight="1" x14ac:dyDescent="0.2">
      <c r="A53" s="450"/>
      <c r="B53" s="450"/>
      <c r="C53" s="450"/>
      <c r="D53" s="450"/>
      <c r="E53" s="450"/>
      <c r="F53" s="450"/>
      <c r="G53" s="450"/>
      <c r="H53" s="450"/>
      <c r="I53" s="450"/>
      <c r="J53" s="450"/>
      <c r="K53" s="450"/>
      <c r="L53" s="450"/>
      <c r="M53" s="450"/>
      <c r="N53" s="450"/>
      <c r="O53" s="272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194"/>
      <c r="CB53" s="194"/>
      <c r="CC53" s="194"/>
      <c r="CD53" s="194"/>
      <c r="CE53" s="194"/>
      <c r="CF53" s="194"/>
      <c r="CG53" s="194"/>
      <c r="CH53" s="194"/>
      <c r="CI53" s="194"/>
      <c r="CJ53" s="194"/>
      <c r="CK53" s="194"/>
      <c r="CL53" s="194"/>
      <c r="CM53" s="194"/>
      <c r="CN53" s="194"/>
      <c r="CO53" s="194"/>
      <c r="CP53" s="194"/>
      <c r="CQ53" s="194"/>
      <c r="CR53" s="194"/>
      <c r="CS53" s="194"/>
      <c r="CT53" s="194"/>
      <c r="CU53" s="194"/>
      <c r="CV53" s="194"/>
      <c r="CW53" s="194"/>
      <c r="CX53" s="194"/>
      <c r="CY53" s="194"/>
      <c r="CZ53" s="194"/>
      <c r="DA53" s="194"/>
      <c r="DB53" s="194"/>
      <c r="DC53" s="194"/>
      <c r="DD53" s="194"/>
      <c r="DE53" s="194"/>
      <c r="DF53" s="194"/>
      <c r="DG53" s="194"/>
      <c r="DH53" s="194"/>
      <c r="DI53" s="194"/>
      <c r="DJ53" s="194"/>
      <c r="DK53" s="194"/>
      <c r="DL53" s="194"/>
      <c r="DM53" s="194"/>
      <c r="DN53" s="194"/>
      <c r="DO53" s="194"/>
      <c r="DP53" s="194"/>
      <c r="DQ53" s="194"/>
      <c r="DR53" s="194"/>
      <c r="DS53" s="194"/>
      <c r="DT53" s="194"/>
      <c r="DU53" s="194"/>
      <c r="DV53" s="194"/>
      <c r="DW53" s="194"/>
      <c r="DX53" s="194"/>
      <c r="DY53" s="194"/>
      <c r="DZ53" s="194"/>
      <c r="EA53" s="194"/>
      <c r="EB53" s="194"/>
      <c r="EC53" s="194"/>
      <c r="ED53" s="194"/>
      <c r="EE53" s="194"/>
      <c r="EF53" s="194"/>
      <c r="EG53" s="194"/>
      <c r="EH53" s="194"/>
      <c r="EI53" s="194"/>
      <c r="EJ53" s="194"/>
      <c r="EK53" s="194"/>
      <c r="EL53" s="194"/>
      <c r="EM53" s="194"/>
      <c r="EN53" s="194"/>
      <c r="EO53" s="194"/>
      <c r="EP53" s="194"/>
      <c r="EQ53" s="194"/>
      <c r="ER53" s="194"/>
      <c r="ES53" s="194"/>
      <c r="ET53" s="194"/>
      <c r="EU53" s="194"/>
      <c r="EV53" s="194"/>
      <c r="EW53" s="194"/>
      <c r="EX53" s="194"/>
      <c r="EY53" s="194"/>
      <c r="EZ53" s="194"/>
      <c r="FA53" s="194"/>
      <c r="FB53" s="194"/>
      <c r="FC53" s="194"/>
      <c r="FD53" s="194"/>
      <c r="FE53" s="194"/>
      <c r="FF53" s="194"/>
      <c r="FG53" s="194"/>
      <c r="FH53" s="194"/>
      <c r="FI53" s="194"/>
      <c r="FJ53" s="194"/>
      <c r="FK53" s="194"/>
      <c r="FL53" s="194"/>
      <c r="FM53" s="194"/>
      <c r="FN53" s="194"/>
      <c r="FO53" s="194"/>
      <c r="FP53" s="194"/>
      <c r="FQ53" s="194"/>
      <c r="FR53" s="194"/>
      <c r="FS53" s="194"/>
      <c r="FT53" s="194"/>
      <c r="FU53" s="194"/>
      <c r="FV53" s="194"/>
      <c r="FW53" s="194"/>
      <c r="FX53" s="194"/>
      <c r="FY53" s="194"/>
      <c r="FZ53" s="194"/>
      <c r="GA53" s="194"/>
      <c r="GB53" s="194"/>
      <c r="GC53" s="194"/>
      <c r="GD53" s="194"/>
      <c r="GE53" s="194"/>
      <c r="GF53" s="194"/>
      <c r="GG53" s="194"/>
      <c r="GH53" s="194"/>
      <c r="GI53" s="194"/>
      <c r="GJ53" s="194"/>
      <c r="GK53" s="194"/>
      <c r="GL53" s="194"/>
      <c r="GM53" s="194"/>
      <c r="GN53" s="194"/>
      <c r="GO53" s="194"/>
      <c r="GP53" s="194"/>
      <c r="GQ53" s="194"/>
      <c r="GR53" s="194"/>
      <c r="GS53" s="194"/>
      <c r="GT53" s="194"/>
      <c r="GU53" s="194"/>
      <c r="GV53" s="194"/>
      <c r="GW53" s="194"/>
      <c r="GX53" s="194"/>
      <c r="GY53" s="194"/>
      <c r="GZ53" s="194"/>
      <c r="HA53" s="194"/>
      <c r="HB53" s="194"/>
      <c r="HC53" s="194"/>
      <c r="HD53" s="194"/>
      <c r="HE53" s="194"/>
      <c r="HF53" s="194"/>
      <c r="HG53" s="194"/>
      <c r="HH53" s="194"/>
      <c r="HI53" s="194"/>
      <c r="HJ53" s="194"/>
      <c r="HK53" s="194"/>
      <c r="HL53" s="194"/>
      <c r="HM53" s="194"/>
      <c r="HN53" s="194"/>
      <c r="HO53" s="194"/>
      <c r="HP53" s="194"/>
      <c r="HQ53" s="194"/>
      <c r="HR53" s="194"/>
      <c r="HS53" s="194"/>
      <c r="HT53" s="194"/>
      <c r="HU53" s="194"/>
      <c r="HV53" s="194"/>
      <c r="HW53" s="194"/>
      <c r="HX53" s="194"/>
      <c r="HY53" s="194"/>
      <c r="HZ53" s="194"/>
      <c r="IA53" s="194"/>
      <c r="IB53" s="194"/>
      <c r="IC53" s="194"/>
      <c r="ID53" s="194"/>
      <c r="IE53" s="194"/>
      <c r="IF53" s="194"/>
      <c r="IG53" s="194"/>
      <c r="IH53" s="194"/>
      <c r="II53" s="194"/>
      <c r="IJ53" s="194"/>
      <c r="IK53" s="194"/>
      <c r="IL53" s="194"/>
      <c r="IM53" s="194"/>
      <c r="IN53" s="194"/>
      <c r="IO53" s="194"/>
      <c r="IP53" s="194"/>
      <c r="IQ53" s="194"/>
      <c r="IR53" s="194"/>
      <c r="IS53" s="194"/>
      <c r="IT53" s="194"/>
      <c r="IU53" s="194"/>
    </row>
    <row r="54" spans="1:255" s="193" customFormat="1" ht="12.2" customHeight="1" x14ac:dyDescent="0.2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O54" s="272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4"/>
      <c r="BQ54" s="194"/>
      <c r="BR54" s="194"/>
      <c r="BS54" s="194"/>
      <c r="BT54" s="194"/>
      <c r="BU54" s="194"/>
      <c r="BV54" s="194"/>
      <c r="BW54" s="194"/>
      <c r="BX54" s="194"/>
      <c r="BY54" s="194"/>
      <c r="BZ54" s="194"/>
      <c r="CA54" s="194"/>
      <c r="CB54" s="194"/>
      <c r="CC54" s="194"/>
      <c r="CD54" s="194"/>
      <c r="CE54" s="194"/>
      <c r="CF54" s="194"/>
      <c r="CG54" s="194"/>
      <c r="CH54" s="194"/>
      <c r="CI54" s="194"/>
      <c r="CJ54" s="194"/>
      <c r="CK54" s="194"/>
      <c r="CL54" s="194"/>
      <c r="CM54" s="194"/>
      <c r="CN54" s="194"/>
      <c r="CO54" s="194"/>
      <c r="CP54" s="194"/>
      <c r="CQ54" s="194"/>
      <c r="CR54" s="194"/>
      <c r="CS54" s="194"/>
      <c r="CT54" s="194"/>
      <c r="CU54" s="194"/>
      <c r="CV54" s="194"/>
      <c r="CW54" s="194"/>
      <c r="CX54" s="194"/>
      <c r="CY54" s="194"/>
      <c r="CZ54" s="194"/>
      <c r="DA54" s="194"/>
      <c r="DB54" s="194"/>
      <c r="DC54" s="194"/>
      <c r="DD54" s="194"/>
      <c r="DE54" s="194"/>
      <c r="DF54" s="194"/>
      <c r="DG54" s="194"/>
      <c r="DH54" s="194"/>
      <c r="DI54" s="194"/>
      <c r="DJ54" s="194"/>
      <c r="DK54" s="194"/>
      <c r="DL54" s="194"/>
      <c r="DM54" s="194"/>
      <c r="DN54" s="194"/>
      <c r="DO54" s="194"/>
      <c r="DP54" s="194"/>
      <c r="DQ54" s="194"/>
      <c r="DR54" s="194"/>
      <c r="DS54" s="194"/>
      <c r="DT54" s="194"/>
      <c r="DU54" s="194"/>
      <c r="DV54" s="194"/>
      <c r="DW54" s="194"/>
      <c r="DX54" s="194"/>
      <c r="DY54" s="194"/>
      <c r="DZ54" s="194"/>
      <c r="EA54" s="194"/>
      <c r="EB54" s="194"/>
      <c r="EC54" s="194"/>
      <c r="ED54" s="194"/>
      <c r="EE54" s="194"/>
      <c r="EF54" s="194"/>
      <c r="EG54" s="194"/>
      <c r="EH54" s="194"/>
      <c r="EI54" s="194"/>
      <c r="EJ54" s="194"/>
      <c r="EK54" s="194"/>
      <c r="EL54" s="194"/>
      <c r="EM54" s="194"/>
      <c r="EN54" s="194"/>
      <c r="EO54" s="194"/>
      <c r="EP54" s="194"/>
      <c r="EQ54" s="194"/>
      <c r="ER54" s="194"/>
      <c r="ES54" s="194"/>
      <c r="ET54" s="194"/>
      <c r="EU54" s="194"/>
      <c r="EV54" s="194"/>
      <c r="EW54" s="194"/>
      <c r="EX54" s="194"/>
      <c r="EY54" s="194"/>
      <c r="EZ54" s="194"/>
      <c r="FA54" s="194"/>
      <c r="FB54" s="194"/>
      <c r="FC54" s="194"/>
      <c r="FD54" s="194"/>
      <c r="FE54" s="194"/>
      <c r="FF54" s="194"/>
      <c r="FG54" s="194"/>
      <c r="FH54" s="194"/>
      <c r="FI54" s="194"/>
      <c r="FJ54" s="194"/>
      <c r="FK54" s="194"/>
      <c r="FL54" s="194"/>
      <c r="FM54" s="194"/>
      <c r="FN54" s="194"/>
      <c r="FO54" s="194"/>
      <c r="FP54" s="194"/>
      <c r="FQ54" s="194"/>
      <c r="FR54" s="194"/>
      <c r="FS54" s="194"/>
      <c r="FT54" s="194"/>
      <c r="FU54" s="194"/>
      <c r="FV54" s="194"/>
      <c r="FW54" s="194"/>
      <c r="FX54" s="194"/>
      <c r="FY54" s="194"/>
      <c r="FZ54" s="194"/>
      <c r="GA54" s="194"/>
      <c r="GB54" s="194"/>
      <c r="GC54" s="194"/>
      <c r="GD54" s="194"/>
      <c r="GE54" s="194"/>
      <c r="GF54" s="194"/>
      <c r="GG54" s="194"/>
      <c r="GH54" s="194"/>
      <c r="GI54" s="194"/>
      <c r="GJ54" s="194"/>
      <c r="GK54" s="194"/>
      <c r="GL54" s="194"/>
      <c r="GM54" s="194"/>
      <c r="GN54" s="194"/>
      <c r="GO54" s="194"/>
      <c r="GP54" s="194"/>
      <c r="GQ54" s="194"/>
      <c r="GR54" s="194"/>
      <c r="GS54" s="194"/>
      <c r="GT54" s="194"/>
      <c r="GU54" s="194"/>
      <c r="GV54" s="194"/>
      <c r="GW54" s="194"/>
      <c r="GX54" s="194"/>
      <c r="GY54" s="194"/>
      <c r="GZ54" s="194"/>
      <c r="HA54" s="194"/>
      <c r="HB54" s="194"/>
      <c r="HC54" s="194"/>
      <c r="HD54" s="194"/>
      <c r="HE54" s="194"/>
      <c r="HF54" s="194"/>
      <c r="HG54" s="194"/>
      <c r="HH54" s="194"/>
      <c r="HI54" s="194"/>
      <c r="HJ54" s="194"/>
      <c r="HK54" s="194"/>
      <c r="HL54" s="194"/>
      <c r="HM54" s="194"/>
      <c r="HN54" s="194"/>
      <c r="HO54" s="194"/>
      <c r="HP54" s="194"/>
      <c r="HQ54" s="194"/>
      <c r="HR54" s="194"/>
      <c r="HS54" s="194"/>
      <c r="HT54" s="194"/>
      <c r="HU54" s="194"/>
      <c r="HV54" s="194"/>
      <c r="HW54" s="194"/>
      <c r="HX54" s="194"/>
      <c r="HY54" s="194"/>
      <c r="HZ54" s="194"/>
      <c r="IA54" s="194"/>
      <c r="IB54" s="194"/>
      <c r="IC54" s="194"/>
      <c r="ID54" s="194"/>
      <c r="IE54" s="194"/>
      <c r="IF54" s="194"/>
      <c r="IG54" s="194"/>
      <c r="IH54" s="194"/>
      <c r="II54" s="194"/>
      <c r="IJ54" s="194"/>
      <c r="IK54" s="194"/>
      <c r="IL54" s="194"/>
      <c r="IM54" s="194"/>
      <c r="IN54" s="194"/>
      <c r="IO54" s="194"/>
      <c r="IP54" s="194"/>
      <c r="IQ54" s="194"/>
      <c r="IR54" s="194"/>
      <c r="IS54" s="194"/>
      <c r="IT54" s="194"/>
      <c r="IU54" s="194"/>
    </row>
    <row r="55" spans="1:255" s="121" customFormat="1" ht="11.25" customHeight="1" x14ac:dyDescent="0.2">
      <c r="A55" s="128"/>
      <c r="B55" s="128"/>
      <c r="C55" s="128"/>
      <c r="D55" s="128"/>
      <c r="E55" s="128"/>
      <c r="F55" s="128"/>
      <c r="G55" s="320"/>
      <c r="H55" s="320"/>
      <c r="I55" s="128"/>
      <c r="J55" s="128"/>
      <c r="K55" s="128"/>
      <c r="L55" s="128"/>
      <c r="M55" s="128"/>
      <c r="N55" s="128"/>
      <c r="O55" s="272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  <c r="CH55" s="128"/>
      <c r="CI55" s="128"/>
      <c r="CJ55" s="128"/>
      <c r="CK55" s="128"/>
      <c r="CL55" s="128"/>
      <c r="CM55" s="128"/>
      <c r="CN55" s="128"/>
      <c r="CO55" s="128"/>
      <c r="CP55" s="128"/>
      <c r="CQ55" s="128"/>
      <c r="CR55" s="128"/>
      <c r="CS55" s="128"/>
      <c r="CT55" s="128"/>
      <c r="CU55" s="128"/>
      <c r="CV55" s="128"/>
      <c r="CW55" s="128"/>
      <c r="CX55" s="128"/>
      <c r="CY55" s="128"/>
      <c r="CZ55" s="128"/>
      <c r="DA55" s="128"/>
      <c r="DB55" s="128"/>
      <c r="DC55" s="128"/>
      <c r="DD55" s="128"/>
      <c r="DE55" s="128"/>
      <c r="DF55" s="128"/>
      <c r="DG55" s="128"/>
      <c r="DH55" s="128"/>
      <c r="DI55" s="128"/>
      <c r="DJ55" s="128"/>
      <c r="DK55" s="128"/>
      <c r="DL55" s="128"/>
      <c r="DM55" s="128"/>
      <c r="DN55" s="128"/>
      <c r="DO55" s="128"/>
      <c r="DP55" s="128"/>
      <c r="DQ55" s="128"/>
      <c r="DR55" s="128"/>
      <c r="DS55" s="128"/>
      <c r="DT55" s="128"/>
      <c r="DU55" s="128"/>
      <c r="DV55" s="128"/>
      <c r="DW55" s="128"/>
      <c r="DX55" s="128"/>
      <c r="DY55" s="128"/>
      <c r="DZ55" s="128"/>
      <c r="EA55" s="128"/>
      <c r="EB55" s="128"/>
      <c r="EC55" s="128"/>
      <c r="ED55" s="128"/>
      <c r="EE55" s="128"/>
      <c r="EF55" s="128"/>
      <c r="EG55" s="128"/>
      <c r="EH55" s="128"/>
      <c r="EI55" s="128"/>
      <c r="EJ55" s="128"/>
      <c r="EK55" s="128"/>
      <c r="EL55" s="128"/>
      <c r="EM55" s="128"/>
      <c r="EN55" s="128"/>
      <c r="EO55" s="128"/>
      <c r="EP55" s="128"/>
      <c r="EQ55" s="128"/>
      <c r="ER55" s="128"/>
      <c r="ES55" s="128"/>
      <c r="ET55" s="128"/>
      <c r="EU55" s="128"/>
      <c r="EV55" s="128"/>
      <c r="EW55" s="128"/>
      <c r="EX55" s="128"/>
      <c r="EY55" s="128"/>
      <c r="EZ55" s="128"/>
      <c r="FA55" s="128"/>
      <c r="FB55" s="128"/>
      <c r="FC55" s="128"/>
      <c r="FD55" s="128"/>
      <c r="FE55" s="128"/>
      <c r="FF55" s="128"/>
      <c r="FG55" s="128"/>
      <c r="FH55" s="128"/>
      <c r="FI55" s="128"/>
      <c r="FJ55" s="128"/>
      <c r="FK55" s="128"/>
      <c r="FL55" s="128"/>
      <c r="FM55" s="128"/>
      <c r="FN55" s="128"/>
      <c r="FO55" s="128"/>
      <c r="FP55" s="128"/>
      <c r="FQ55" s="128"/>
      <c r="FR55" s="128"/>
      <c r="FS55" s="128"/>
      <c r="FT55" s="128"/>
      <c r="FU55" s="128"/>
      <c r="FV55" s="128"/>
      <c r="FW55" s="128"/>
      <c r="FX55" s="128"/>
      <c r="FY55" s="128"/>
      <c r="FZ55" s="128"/>
      <c r="GA55" s="128"/>
      <c r="GB55" s="128"/>
      <c r="GC55" s="128"/>
      <c r="GD55" s="128"/>
      <c r="GE55" s="128"/>
      <c r="GF55" s="128"/>
      <c r="GG55" s="128"/>
      <c r="GH55" s="128"/>
      <c r="GI55" s="128"/>
      <c r="GJ55" s="128"/>
      <c r="GK55" s="128"/>
      <c r="GL55" s="128"/>
      <c r="GM55" s="128"/>
      <c r="GN55" s="128"/>
      <c r="GO55" s="128"/>
      <c r="GP55" s="128"/>
      <c r="GQ55" s="128"/>
      <c r="GR55" s="128"/>
      <c r="GS55" s="128"/>
      <c r="GT55" s="128"/>
      <c r="GU55" s="128"/>
      <c r="GV55" s="128"/>
      <c r="GW55" s="128"/>
      <c r="GX55" s="128"/>
      <c r="GY55" s="128"/>
      <c r="GZ55" s="128"/>
      <c r="HA55" s="128"/>
      <c r="HB55" s="128"/>
      <c r="HC55" s="128"/>
      <c r="HD55" s="128"/>
      <c r="HE55" s="128"/>
      <c r="HF55" s="128"/>
      <c r="HG55" s="128"/>
      <c r="HH55" s="128"/>
      <c r="HI55" s="128"/>
      <c r="HJ55" s="128"/>
      <c r="HK55" s="128"/>
      <c r="HL55" s="128"/>
      <c r="HM55" s="128"/>
      <c r="HN55" s="128"/>
      <c r="HO55" s="128"/>
      <c r="HP55" s="128"/>
      <c r="HQ55" s="128"/>
      <c r="HR55" s="128"/>
      <c r="HS55" s="128"/>
      <c r="HT55" s="128"/>
      <c r="HU55" s="128"/>
      <c r="HV55" s="128"/>
      <c r="HW55" s="128"/>
      <c r="HX55" s="128"/>
      <c r="HY55" s="128"/>
      <c r="HZ55" s="128"/>
      <c r="IA55" s="128"/>
      <c r="IB55" s="128"/>
      <c r="IC55" s="128"/>
      <c r="ID55" s="128"/>
      <c r="IE55" s="128"/>
      <c r="IF55" s="128"/>
      <c r="IG55" s="128"/>
      <c r="IH55" s="128"/>
      <c r="II55" s="128"/>
      <c r="IJ55" s="128"/>
      <c r="IK55" s="128"/>
      <c r="IL55" s="128"/>
      <c r="IM55" s="128"/>
      <c r="IN55" s="128"/>
      <c r="IO55" s="128"/>
      <c r="IP55" s="128"/>
      <c r="IQ55" s="128"/>
      <c r="IR55" s="128"/>
      <c r="IS55" s="128"/>
      <c r="IT55" s="128"/>
      <c r="IU55" s="128"/>
    </row>
    <row r="56" spans="1:255" s="121" customFormat="1" ht="11.25" customHeight="1" x14ac:dyDescent="0.2">
      <c r="A56" s="31"/>
      <c r="B56" s="31"/>
      <c r="C56" s="25" t="s">
        <v>223</v>
      </c>
      <c r="D56" s="25"/>
      <c r="E56" s="25"/>
      <c r="F56" s="31"/>
      <c r="G56" s="199"/>
      <c r="H56" s="187" t="s">
        <v>300</v>
      </c>
      <c r="I56" s="187"/>
      <c r="J56" s="187"/>
      <c r="K56" s="199"/>
      <c r="L56" s="199"/>
      <c r="M56" s="187"/>
      <c r="N56" s="25" t="s">
        <v>237</v>
      </c>
      <c r="O56" s="274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  <c r="CN56" s="128"/>
      <c r="CO56" s="128"/>
      <c r="CP56" s="128"/>
      <c r="CQ56" s="128"/>
      <c r="CR56" s="128"/>
      <c r="CS56" s="128"/>
      <c r="CT56" s="128"/>
      <c r="CU56" s="128"/>
      <c r="CV56" s="128"/>
      <c r="CW56" s="128"/>
      <c r="CX56" s="128"/>
      <c r="CY56" s="128"/>
      <c r="CZ56" s="128"/>
      <c r="DA56" s="128"/>
      <c r="DB56" s="128"/>
      <c r="DC56" s="128"/>
      <c r="DD56" s="128"/>
      <c r="DE56" s="128"/>
      <c r="DF56" s="128"/>
      <c r="DG56" s="128"/>
      <c r="DH56" s="128"/>
      <c r="DI56" s="128"/>
      <c r="DJ56" s="128"/>
      <c r="DK56" s="128"/>
      <c r="DL56" s="128"/>
      <c r="DM56" s="128"/>
      <c r="DN56" s="128"/>
      <c r="DO56" s="128"/>
      <c r="DP56" s="128"/>
      <c r="DQ56" s="128"/>
      <c r="DR56" s="128"/>
      <c r="DS56" s="128"/>
      <c r="DT56" s="128"/>
      <c r="DU56" s="128"/>
      <c r="DV56" s="128"/>
      <c r="DW56" s="128"/>
      <c r="DX56" s="128"/>
      <c r="DY56" s="128"/>
      <c r="DZ56" s="128"/>
      <c r="EA56" s="128"/>
      <c r="EB56" s="128"/>
      <c r="EC56" s="128"/>
      <c r="ED56" s="128"/>
      <c r="EE56" s="128"/>
      <c r="EF56" s="128"/>
      <c r="EG56" s="128"/>
      <c r="EH56" s="128"/>
      <c r="EI56" s="128"/>
      <c r="EJ56" s="128"/>
      <c r="EK56" s="128"/>
      <c r="EL56" s="128"/>
      <c r="EM56" s="128"/>
      <c r="EN56" s="128"/>
      <c r="EO56" s="128"/>
      <c r="EP56" s="128"/>
      <c r="EQ56" s="128"/>
      <c r="ER56" s="128"/>
      <c r="ES56" s="128"/>
      <c r="ET56" s="128"/>
      <c r="EU56" s="128"/>
      <c r="EV56" s="128"/>
      <c r="EW56" s="128"/>
      <c r="EX56" s="128"/>
      <c r="EY56" s="128"/>
      <c r="EZ56" s="128"/>
      <c r="FA56" s="128"/>
      <c r="FB56" s="128"/>
      <c r="FC56" s="128"/>
      <c r="FD56" s="128"/>
      <c r="FE56" s="128"/>
      <c r="FF56" s="128"/>
      <c r="FG56" s="128"/>
      <c r="FH56" s="128"/>
      <c r="FI56" s="128"/>
      <c r="FJ56" s="128"/>
      <c r="FK56" s="128"/>
      <c r="FL56" s="128"/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28"/>
      <c r="FZ56" s="128"/>
      <c r="GA56" s="128"/>
      <c r="GB56" s="128"/>
      <c r="GC56" s="128"/>
      <c r="GD56" s="128"/>
      <c r="GE56" s="128"/>
      <c r="GF56" s="128"/>
      <c r="GG56" s="128"/>
      <c r="GH56" s="128"/>
      <c r="GI56" s="128"/>
      <c r="GJ56" s="128"/>
      <c r="GK56" s="128"/>
      <c r="GL56" s="128"/>
      <c r="GM56" s="128"/>
      <c r="GN56" s="128"/>
      <c r="GO56" s="128"/>
      <c r="GP56" s="128"/>
      <c r="GQ56" s="128"/>
      <c r="GR56" s="128"/>
      <c r="GS56" s="128"/>
      <c r="GT56" s="128"/>
      <c r="GU56" s="128"/>
      <c r="GV56" s="128"/>
      <c r="GW56" s="128"/>
      <c r="GX56" s="128"/>
      <c r="GY56" s="128"/>
      <c r="GZ56" s="128"/>
      <c r="HA56" s="128"/>
      <c r="HB56" s="128"/>
      <c r="HC56" s="128"/>
      <c r="HD56" s="128"/>
      <c r="HE56" s="128"/>
      <c r="HF56" s="128"/>
      <c r="HG56" s="128"/>
      <c r="HH56" s="128"/>
      <c r="HI56" s="128"/>
      <c r="HJ56" s="128"/>
      <c r="HK56" s="128"/>
      <c r="HL56" s="128"/>
      <c r="HM56" s="128"/>
      <c r="HN56" s="128"/>
      <c r="HO56" s="128"/>
      <c r="HP56" s="128"/>
      <c r="HQ56" s="128"/>
      <c r="HR56" s="128"/>
      <c r="HS56" s="128"/>
      <c r="HT56" s="128"/>
      <c r="HU56" s="128"/>
      <c r="HV56" s="128"/>
      <c r="HW56" s="128"/>
      <c r="HX56" s="128"/>
      <c r="HY56" s="128"/>
      <c r="HZ56" s="128"/>
      <c r="IA56" s="128"/>
      <c r="IB56" s="128"/>
      <c r="IC56" s="128"/>
      <c r="ID56" s="128"/>
      <c r="IE56" s="128"/>
      <c r="IF56" s="128"/>
      <c r="IG56" s="128"/>
      <c r="IH56" s="128"/>
      <c r="II56" s="128"/>
      <c r="IJ56" s="128"/>
      <c r="IK56" s="128"/>
      <c r="IL56" s="128"/>
      <c r="IM56" s="128"/>
      <c r="IN56" s="128"/>
      <c r="IO56" s="128"/>
      <c r="IP56" s="128"/>
      <c r="IQ56" s="128"/>
      <c r="IR56" s="128"/>
      <c r="IS56" s="128"/>
      <c r="IT56" s="128"/>
      <c r="IU56" s="128"/>
    </row>
    <row r="57" spans="1:255" s="17" customFormat="1" ht="13.5" customHeight="1" x14ac:dyDescent="0.2">
      <c r="A57" s="325"/>
      <c r="B57" s="325"/>
      <c r="C57" s="27" t="s">
        <v>49</v>
      </c>
      <c r="D57" s="27"/>
      <c r="E57" s="27"/>
      <c r="F57" s="325"/>
      <c r="G57" s="509" t="s">
        <v>303</v>
      </c>
      <c r="H57" s="509"/>
      <c r="I57" s="509"/>
      <c r="J57" s="27"/>
      <c r="K57" s="200"/>
      <c r="L57" s="200"/>
      <c r="M57" s="27"/>
      <c r="N57" s="185" t="s">
        <v>229</v>
      </c>
      <c r="O57" s="275"/>
    </row>
    <row r="58" spans="1:255" ht="13.5" customHeight="1" x14ac:dyDescent="0.2">
      <c r="A58" s="31"/>
      <c r="B58" s="31"/>
      <c r="C58" s="29" t="s">
        <v>224</v>
      </c>
      <c r="D58" s="29"/>
      <c r="E58" s="29"/>
      <c r="F58" s="31"/>
      <c r="G58" s="80"/>
      <c r="H58" s="29" t="s">
        <v>305</v>
      </c>
      <c r="I58" s="29"/>
      <c r="J58" s="29"/>
      <c r="K58" s="80"/>
      <c r="L58" s="80"/>
      <c r="M58" s="29"/>
      <c r="N58" s="184" t="s">
        <v>239</v>
      </c>
      <c r="O58" s="276"/>
    </row>
    <row r="59" spans="1:255" ht="13.5" customHeight="1" x14ac:dyDescent="0.2">
      <c r="A59" s="31"/>
      <c r="B59" s="31"/>
      <c r="C59" s="31" t="s">
        <v>51</v>
      </c>
      <c r="D59" s="31"/>
      <c r="E59" s="31"/>
      <c r="F59" s="31"/>
      <c r="G59" s="80"/>
      <c r="H59" s="29" t="s">
        <v>51</v>
      </c>
      <c r="I59" s="29"/>
      <c r="J59" s="29"/>
      <c r="K59" s="80"/>
      <c r="L59" s="80"/>
      <c r="M59" s="29"/>
      <c r="N59" s="29" t="s">
        <v>51</v>
      </c>
      <c r="O59" s="277"/>
    </row>
    <row r="60" spans="1:255" ht="13.5" customHeight="1" x14ac:dyDescent="0.2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277"/>
    </row>
    <row r="61" spans="1:255" ht="13.5" customHeight="1" x14ac:dyDescent="0.2">
      <c r="N61" s="1"/>
    </row>
    <row r="63" spans="1:255" ht="13.5" customHeight="1" x14ac:dyDescent="0.2">
      <c r="E63" s="201"/>
      <c r="F63" s="17"/>
      <c r="G63" s="17"/>
      <c r="H63" s="17"/>
      <c r="I63" s="17"/>
      <c r="J63" s="17"/>
      <c r="K63" s="17"/>
    </row>
    <row r="65" spans="1:14" ht="13.5" customHeight="1" x14ac:dyDescent="0.2">
      <c r="B65" s="2"/>
    </row>
    <row r="66" spans="1:14" ht="11.25" customHeight="1" x14ac:dyDescent="0.2">
      <c r="B66" s="32"/>
    </row>
    <row r="67" spans="1:14" ht="24" customHeight="1" x14ac:dyDescent="0.2">
      <c r="A67" s="446"/>
      <c r="B67" s="446"/>
      <c r="C67" s="446"/>
      <c r="D67" s="446"/>
      <c r="E67" s="446"/>
      <c r="F67" s="446"/>
      <c r="G67" s="446"/>
      <c r="H67" s="446"/>
      <c r="I67" s="446"/>
      <c r="J67" s="446"/>
      <c r="K67" s="446"/>
      <c r="L67" s="446"/>
      <c r="M67" s="446"/>
      <c r="N67" s="446"/>
    </row>
    <row r="68" spans="1:14" ht="34.5" customHeight="1" x14ac:dyDescent="0.2">
      <c r="A68" s="445"/>
      <c r="B68" s="445"/>
      <c r="C68" s="445"/>
      <c r="D68" s="445"/>
      <c r="E68" s="445"/>
      <c r="F68" s="445"/>
      <c r="G68" s="445"/>
      <c r="H68" s="445"/>
      <c r="I68" s="445"/>
      <c r="J68" s="445"/>
      <c r="K68" s="445"/>
      <c r="L68" s="445"/>
      <c r="M68" s="445"/>
      <c r="N68" s="445"/>
    </row>
  </sheetData>
  <mergeCells count="82">
    <mergeCell ref="A50:M50"/>
    <mergeCell ref="A67:N67"/>
    <mergeCell ref="A68:N68"/>
    <mergeCell ref="A49:N49"/>
    <mergeCell ref="A51:N51"/>
    <mergeCell ref="A52:N52"/>
    <mergeCell ref="A53:N53"/>
    <mergeCell ref="G57:I57"/>
    <mergeCell ref="A43:M43"/>
    <mergeCell ref="A42:M42"/>
    <mergeCell ref="A46:N46"/>
    <mergeCell ref="A47:L47"/>
    <mergeCell ref="A48:M48"/>
    <mergeCell ref="A44:M44"/>
    <mergeCell ref="A45:O45"/>
    <mergeCell ref="A36:M36"/>
    <mergeCell ref="A37:M37"/>
    <mergeCell ref="A38:M38"/>
    <mergeCell ref="A41:M41"/>
    <mergeCell ref="A40:M40"/>
    <mergeCell ref="A39:N39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6:F6"/>
    <mergeCell ref="I6:M6"/>
    <mergeCell ref="A1:O1"/>
    <mergeCell ref="A2:O2"/>
    <mergeCell ref="A3:O3"/>
    <mergeCell ref="A5:G5"/>
    <mergeCell ref="I5:N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51181102362204722" right="0.51181102362204722" top="0.11811023622047245" bottom="0.78740157480314965" header="0.31496062992125984" footer="0.31496062992125984"/>
  <pageSetup paperSize="9" scale="60" orientation="landscape" verticalDpi="597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V60"/>
  <sheetViews>
    <sheetView showGridLines="0" zoomScale="130" zoomScaleNormal="130" workbookViewId="0">
      <selection activeCell="P38" sqref="P38"/>
    </sheetView>
  </sheetViews>
  <sheetFormatPr defaultColWidth="6.85546875" defaultRowHeight="13.5" customHeight="1" x14ac:dyDescent="0.2"/>
  <cols>
    <col min="1" max="1" width="13.7109375" style="1" customWidth="1"/>
    <col min="2" max="2" width="11.140625" style="1" customWidth="1"/>
    <col min="3" max="3" width="12.85546875" style="1" bestFit="1" customWidth="1"/>
    <col min="4" max="7" width="7.28515625" style="1" customWidth="1"/>
    <col min="8" max="9" width="15.140625" style="1" customWidth="1"/>
    <col min="10" max="14" width="9.85546875" style="1" customWidth="1"/>
    <col min="15" max="15" width="7.28515625" style="1" customWidth="1"/>
    <col min="16" max="16" width="15.7109375" style="1" bestFit="1" customWidth="1"/>
    <col min="17" max="17" width="15.5703125" style="24" customWidth="1"/>
    <col min="18" max="18" width="14.42578125" style="1" bestFit="1" customWidth="1"/>
    <col min="19" max="19" width="12" style="1" bestFit="1" customWidth="1"/>
    <col min="20" max="20" width="9" style="1" bestFit="1" customWidth="1"/>
    <col min="21" max="23" width="6.85546875" style="1"/>
    <col min="24" max="24" width="15.5703125" style="1" customWidth="1"/>
    <col min="25" max="16384" width="6.85546875" style="1"/>
  </cols>
  <sheetData>
    <row r="1" spans="2:19" ht="13.5" customHeight="1" x14ac:dyDescent="0.2">
      <c r="B1" s="543" t="s">
        <v>188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</row>
    <row r="2" spans="2:19" ht="15" customHeight="1" x14ac:dyDescent="0.2">
      <c r="B2" s="488" t="s">
        <v>1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</row>
    <row r="3" spans="2:19" ht="15" customHeight="1" x14ac:dyDescent="0.2">
      <c r="B3" s="544" t="s">
        <v>236</v>
      </c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  <c r="O3" s="544"/>
      <c r="P3" s="544"/>
      <c r="Q3" s="544"/>
    </row>
    <row r="4" spans="2:19" ht="13.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Q4" s="1"/>
    </row>
    <row r="5" spans="2:19" ht="13.5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 t="s">
        <v>2</v>
      </c>
    </row>
    <row r="6" spans="2:19" ht="19.5" customHeight="1" x14ac:dyDescent="0.2">
      <c r="B6" s="404" t="s">
        <v>3</v>
      </c>
      <c r="C6" s="405"/>
      <c r="D6" s="405"/>
      <c r="E6" s="405"/>
      <c r="F6" s="405"/>
      <c r="G6" s="405"/>
      <c r="H6" s="405"/>
      <c r="I6" s="130"/>
      <c r="J6" s="545" t="s">
        <v>4</v>
      </c>
      <c r="K6" s="546"/>
      <c r="L6" s="546"/>
      <c r="M6" s="546"/>
      <c r="N6" s="546"/>
      <c r="O6" s="546"/>
      <c r="P6" s="546"/>
      <c r="Q6" s="406"/>
    </row>
    <row r="7" spans="2:19" ht="23.25" customHeight="1" x14ac:dyDescent="0.2">
      <c r="B7" s="398" t="s">
        <v>5</v>
      </c>
      <c r="C7" s="432"/>
      <c r="D7" s="432"/>
      <c r="E7" s="432"/>
      <c r="F7" s="432"/>
      <c r="G7" s="409"/>
      <c r="H7" s="5" t="s">
        <v>6</v>
      </c>
      <c r="I7" s="129" t="s">
        <v>175</v>
      </c>
      <c r="J7" s="540" t="s">
        <v>5</v>
      </c>
      <c r="K7" s="423"/>
      <c r="L7" s="423"/>
      <c r="M7" s="423"/>
      <c r="N7" s="423"/>
      <c r="O7" s="423"/>
      <c r="P7" s="5" t="s">
        <v>6</v>
      </c>
      <c r="Q7" s="131" t="s">
        <v>175</v>
      </c>
    </row>
    <row r="8" spans="2:19" ht="17.25" customHeight="1" x14ac:dyDescent="0.2">
      <c r="B8" s="407" t="s">
        <v>7</v>
      </c>
      <c r="C8" s="408"/>
      <c r="D8" s="408"/>
      <c r="E8" s="408"/>
      <c r="F8" s="408"/>
      <c r="G8" s="409"/>
      <c r="H8" s="14">
        <f>H9+H14</f>
        <v>8707024.9000000004</v>
      </c>
      <c r="I8" s="14">
        <f>I9+I14</f>
        <v>102475301.34</v>
      </c>
      <c r="J8" s="541" t="s">
        <v>8</v>
      </c>
      <c r="K8" s="541"/>
      <c r="L8" s="541"/>
      <c r="M8" s="541"/>
      <c r="N8" s="541"/>
      <c r="O8" s="542"/>
      <c r="P8" s="14">
        <f>P9+P14</f>
        <v>48185781.039999999</v>
      </c>
      <c r="Q8" s="14">
        <f>Q9+Q14</f>
        <v>63937969.740000002</v>
      </c>
      <c r="R8" s="7"/>
      <c r="S8" s="8"/>
    </row>
    <row r="9" spans="2:19" ht="15.75" customHeight="1" x14ac:dyDescent="0.2">
      <c r="B9" s="410" t="s">
        <v>9</v>
      </c>
      <c r="C9" s="411"/>
      <c r="D9" s="411"/>
      <c r="E9" s="411"/>
      <c r="F9" s="411"/>
      <c r="G9" s="423"/>
      <c r="H9" s="6">
        <f>SUM(H10:H12)</f>
        <v>0</v>
      </c>
      <c r="I9" s="176">
        <f>SUM(I10:I12)</f>
        <v>30742590.369999997</v>
      </c>
      <c r="J9" s="418" t="s">
        <v>9</v>
      </c>
      <c r="K9" s="418"/>
      <c r="L9" s="418"/>
      <c r="M9" s="418"/>
      <c r="N9" s="418"/>
      <c r="O9" s="428"/>
      <c r="P9" s="6">
        <f>SUM(P10:P12)</f>
        <v>37480.47</v>
      </c>
      <c r="Q9" s="12">
        <f>Q10</f>
        <v>1332368.43</v>
      </c>
      <c r="R9" s="10"/>
    </row>
    <row r="10" spans="2:19" ht="15" customHeight="1" x14ac:dyDescent="0.2">
      <c r="B10" s="413" t="s">
        <v>10</v>
      </c>
      <c r="C10" s="414"/>
      <c r="D10" s="414"/>
      <c r="E10" s="414"/>
      <c r="F10" s="414"/>
      <c r="G10" s="538"/>
      <c r="H10" s="11"/>
      <c r="I10" s="11">
        <v>30742590.369999997</v>
      </c>
      <c r="J10" s="416" t="s">
        <v>10</v>
      </c>
      <c r="K10" s="414"/>
      <c r="L10" s="414"/>
      <c r="M10" s="414"/>
      <c r="N10" s="414"/>
      <c r="O10" s="538"/>
      <c r="P10" s="11">
        <v>37480.47</v>
      </c>
      <c r="Q10" s="11">
        <v>1332368.43</v>
      </c>
      <c r="R10" s="7"/>
    </row>
    <row r="11" spans="2:19" ht="13.5" customHeight="1" x14ac:dyDescent="0.2">
      <c r="B11" s="413" t="s">
        <v>11</v>
      </c>
      <c r="C11" s="416"/>
      <c r="D11" s="416"/>
      <c r="E11" s="416"/>
      <c r="F11" s="416"/>
      <c r="G11" s="538"/>
      <c r="H11" s="11">
        <v>0</v>
      </c>
      <c r="I11" s="11">
        <v>0</v>
      </c>
      <c r="J11" s="416" t="s">
        <v>11</v>
      </c>
      <c r="K11" s="416"/>
      <c r="L11" s="416"/>
      <c r="M11" s="416"/>
      <c r="N11" s="416"/>
      <c r="O11" s="538"/>
      <c r="P11" s="11">
        <v>0</v>
      </c>
      <c r="Q11" s="11">
        <v>0</v>
      </c>
    </row>
    <row r="12" spans="2:19" ht="13.5" customHeight="1" x14ac:dyDescent="0.2">
      <c r="B12" s="413" t="s">
        <v>12</v>
      </c>
      <c r="C12" s="416"/>
      <c r="D12" s="416"/>
      <c r="E12" s="416"/>
      <c r="F12" s="416"/>
      <c r="G12" s="538"/>
      <c r="H12" s="11">
        <v>0</v>
      </c>
      <c r="I12" s="11">
        <v>0</v>
      </c>
      <c r="J12" s="416" t="s">
        <v>12</v>
      </c>
      <c r="K12" s="416"/>
      <c r="L12" s="416"/>
      <c r="M12" s="416"/>
      <c r="N12" s="416"/>
      <c r="O12" s="538"/>
      <c r="P12" s="11">
        <v>0</v>
      </c>
      <c r="Q12" s="11">
        <v>0</v>
      </c>
    </row>
    <row r="13" spans="2:19" ht="13.5" customHeight="1" x14ac:dyDescent="0.2">
      <c r="B13" s="173"/>
      <c r="C13" s="174"/>
      <c r="D13" s="174"/>
      <c r="E13" s="174"/>
      <c r="F13" s="174"/>
      <c r="G13" s="175"/>
      <c r="H13" s="11"/>
      <c r="I13" s="133"/>
      <c r="J13" s="174"/>
      <c r="K13" s="174"/>
      <c r="L13" s="174"/>
      <c r="M13" s="174"/>
      <c r="N13" s="174"/>
      <c r="O13" s="175"/>
      <c r="P13" s="11"/>
      <c r="Q13" s="11">
        <f>SUM(Q10:Q11)</f>
        <v>1332368.43</v>
      </c>
    </row>
    <row r="14" spans="2:19" ht="13.5" customHeight="1" x14ac:dyDescent="0.2">
      <c r="B14" s="417" t="s">
        <v>13</v>
      </c>
      <c r="C14" s="418"/>
      <c r="D14" s="418"/>
      <c r="E14" s="418"/>
      <c r="F14" s="418"/>
      <c r="G14" s="428"/>
      <c r="H14" s="12">
        <f>SUM(H15:H21)</f>
        <v>8707024.9000000004</v>
      </c>
      <c r="I14" s="176">
        <f>SUM(I15:I21)</f>
        <v>71732710.969999999</v>
      </c>
      <c r="J14" s="418" t="s">
        <v>13</v>
      </c>
      <c r="K14" s="418"/>
      <c r="L14" s="418"/>
      <c r="M14" s="418"/>
      <c r="N14" s="418"/>
      <c r="O14" s="428"/>
      <c r="P14" s="12">
        <f>SUM(P15:P21)</f>
        <v>48148300.57</v>
      </c>
      <c r="Q14" s="12">
        <f>SUM(Q15:Q21)</f>
        <v>62605601.310000002</v>
      </c>
      <c r="S14" s="2"/>
    </row>
    <row r="15" spans="2:19" ht="13.5" customHeight="1" x14ac:dyDescent="0.2">
      <c r="B15" s="413" t="s">
        <v>14</v>
      </c>
      <c r="C15" s="414"/>
      <c r="D15" s="414"/>
      <c r="E15" s="414"/>
      <c r="F15" s="414"/>
      <c r="G15" s="538"/>
      <c r="H15" s="11">
        <v>0</v>
      </c>
      <c r="I15" s="11">
        <v>0</v>
      </c>
      <c r="J15" s="416" t="s">
        <v>14</v>
      </c>
      <c r="K15" s="414"/>
      <c r="L15" s="414"/>
      <c r="M15" s="414"/>
      <c r="N15" s="414"/>
      <c r="O15" s="538"/>
      <c r="P15" s="11">
        <v>0</v>
      </c>
      <c r="Q15" s="11">
        <v>0</v>
      </c>
    </row>
    <row r="16" spans="2:19" ht="13.5" customHeight="1" x14ac:dyDescent="0.2">
      <c r="B16" s="413" t="s">
        <v>15</v>
      </c>
      <c r="C16" s="416"/>
      <c r="D16" s="416"/>
      <c r="E16" s="416"/>
      <c r="F16" s="416"/>
      <c r="G16" s="538"/>
      <c r="H16" s="11">
        <v>0</v>
      </c>
      <c r="I16" s="11">
        <v>0</v>
      </c>
      <c r="J16" s="416" t="s">
        <v>15</v>
      </c>
      <c r="K16" s="416"/>
      <c r="L16" s="416"/>
      <c r="M16" s="416"/>
      <c r="N16" s="416"/>
      <c r="O16" s="538"/>
      <c r="P16" s="11">
        <v>0</v>
      </c>
      <c r="Q16" s="11">
        <v>0</v>
      </c>
    </row>
    <row r="17" spans="2:24" ht="13.5" customHeight="1" x14ac:dyDescent="0.2">
      <c r="B17" s="413" t="s">
        <v>16</v>
      </c>
      <c r="C17" s="416"/>
      <c r="D17" s="416"/>
      <c r="E17" s="416"/>
      <c r="F17" s="416"/>
      <c r="G17" s="538"/>
      <c r="H17" s="11">
        <v>0</v>
      </c>
      <c r="I17" s="11">
        <v>0</v>
      </c>
      <c r="J17" s="416" t="s">
        <v>16</v>
      </c>
      <c r="K17" s="416"/>
      <c r="L17" s="416"/>
      <c r="M17" s="416"/>
      <c r="N17" s="416"/>
      <c r="O17" s="538"/>
      <c r="P17" s="11">
        <v>0</v>
      </c>
      <c r="Q17" s="11">
        <v>0</v>
      </c>
    </row>
    <row r="18" spans="2:24" ht="13.5" customHeight="1" x14ac:dyDescent="0.2">
      <c r="B18" s="413" t="s">
        <v>17</v>
      </c>
      <c r="C18" s="416"/>
      <c r="D18" s="416"/>
      <c r="E18" s="416"/>
      <c r="F18" s="416"/>
      <c r="G18" s="538"/>
      <c r="H18" s="11">
        <v>0</v>
      </c>
      <c r="I18" s="11">
        <v>0</v>
      </c>
      <c r="J18" s="416" t="s">
        <v>17</v>
      </c>
      <c r="K18" s="416"/>
      <c r="L18" s="416"/>
      <c r="M18" s="416"/>
      <c r="N18" s="416"/>
      <c r="O18" s="538"/>
      <c r="P18" s="11">
        <v>0</v>
      </c>
      <c r="Q18" s="11">
        <v>0</v>
      </c>
    </row>
    <row r="19" spans="2:24" ht="13.5" customHeight="1" x14ac:dyDescent="0.2">
      <c r="B19" s="413" t="s">
        <v>18</v>
      </c>
      <c r="C19" s="416"/>
      <c r="D19" s="416"/>
      <c r="E19" s="416"/>
      <c r="F19" s="416"/>
      <c r="G19" s="538"/>
      <c r="H19" s="11">
        <v>8707024.9000000004</v>
      </c>
      <c r="I19" s="11">
        <v>71727264.400000006</v>
      </c>
      <c r="J19" s="416" t="s">
        <v>18</v>
      </c>
      <c r="K19" s="416"/>
      <c r="L19" s="416"/>
      <c r="M19" s="416"/>
      <c r="N19" s="416"/>
      <c r="O19" s="538"/>
      <c r="P19" s="11">
        <v>48148300.57</v>
      </c>
      <c r="Q19" s="11">
        <v>62605601.310000002</v>
      </c>
    </row>
    <row r="20" spans="2:24" ht="13.5" customHeight="1" x14ac:dyDescent="0.2">
      <c r="B20" s="413" t="s">
        <v>19</v>
      </c>
      <c r="C20" s="416"/>
      <c r="D20" s="416"/>
      <c r="E20" s="416"/>
      <c r="F20" s="416"/>
      <c r="G20" s="538"/>
      <c r="H20" s="11">
        <v>0</v>
      </c>
      <c r="I20" s="11">
        <v>0</v>
      </c>
      <c r="J20" s="416" t="s">
        <v>19</v>
      </c>
      <c r="K20" s="416"/>
      <c r="L20" s="416"/>
      <c r="M20" s="416"/>
      <c r="N20" s="416"/>
      <c r="O20" s="538"/>
      <c r="P20" s="11">
        <v>0</v>
      </c>
      <c r="Q20" s="11">
        <v>0</v>
      </c>
    </row>
    <row r="21" spans="2:24" ht="13.5" customHeight="1" x14ac:dyDescent="0.2">
      <c r="B21" s="420" t="s">
        <v>20</v>
      </c>
      <c r="C21" s="421"/>
      <c r="D21" s="421"/>
      <c r="E21" s="421"/>
      <c r="F21" s="421"/>
      <c r="G21" s="539"/>
      <c r="H21" s="13"/>
      <c r="I21" s="13">
        <v>5446.57</v>
      </c>
      <c r="J21" s="421" t="s">
        <v>20</v>
      </c>
      <c r="K21" s="421"/>
      <c r="L21" s="421"/>
      <c r="M21" s="421"/>
      <c r="N21" s="421"/>
      <c r="O21" s="539"/>
      <c r="P21" s="13"/>
      <c r="Q21" s="13">
        <v>0</v>
      </c>
    </row>
    <row r="22" spans="2:24" ht="21.75" customHeight="1" x14ac:dyDescent="0.2">
      <c r="B22" s="407" t="s">
        <v>21</v>
      </c>
      <c r="C22" s="408"/>
      <c r="D22" s="408"/>
      <c r="E22" s="408"/>
      <c r="F22" s="408"/>
      <c r="G22" s="409"/>
      <c r="H22" s="176">
        <f>SUM(H23:H26)</f>
        <v>174010.14</v>
      </c>
      <c r="I22" s="176">
        <f>SUM(I23:I26)</f>
        <v>1080991.44</v>
      </c>
      <c r="J22" s="408" t="s">
        <v>22</v>
      </c>
      <c r="K22" s="408"/>
      <c r="L22" s="408"/>
      <c r="M22" s="408"/>
      <c r="N22" s="408"/>
      <c r="O22" s="432"/>
      <c r="P22" s="14">
        <f>SUM(P23:P26)</f>
        <v>17665905.57</v>
      </c>
      <c r="Q22" s="12">
        <f>SUM(Q23:Q26)</f>
        <v>33401737.650000002</v>
      </c>
      <c r="S22" s="2"/>
    </row>
    <row r="23" spans="2:24" ht="13.5" customHeight="1" x14ac:dyDescent="0.2">
      <c r="B23" s="410" t="s">
        <v>23</v>
      </c>
      <c r="C23" s="423"/>
      <c r="D23" s="423"/>
      <c r="E23" s="423"/>
      <c r="F23" s="423"/>
      <c r="G23" s="412"/>
      <c r="H23" s="9">
        <v>174010.14</v>
      </c>
      <c r="I23" s="9">
        <v>1080991.44</v>
      </c>
      <c r="J23" s="411" t="s">
        <v>23</v>
      </c>
      <c r="K23" s="411"/>
      <c r="L23" s="411"/>
      <c r="M23" s="411"/>
      <c r="N23" s="411"/>
      <c r="O23" s="412"/>
      <c r="P23" s="9">
        <v>17665905.57</v>
      </c>
      <c r="Q23" s="9">
        <v>33401737.650000002</v>
      </c>
    </row>
    <row r="24" spans="2:24" ht="13.5" customHeight="1" x14ac:dyDescent="0.2">
      <c r="B24" s="417" t="s">
        <v>24</v>
      </c>
      <c r="C24" s="418"/>
      <c r="D24" s="418"/>
      <c r="E24" s="418"/>
      <c r="F24" s="418"/>
      <c r="G24" s="419"/>
      <c r="H24" s="11">
        <v>0</v>
      </c>
      <c r="I24" s="11">
        <v>0</v>
      </c>
      <c r="J24" s="418" t="s">
        <v>24</v>
      </c>
      <c r="K24" s="418"/>
      <c r="L24" s="418"/>
      <c r="M24" s="418"/>
      <c r="N24" s="418"/>
      <c r="O24" s="419"/>
      <c r="P24" s="11">
        <v>0</v>
      </c>
      <c r="Q24" s="11">
        <v>0</v>
      </c>
    </row>
    <row r="25" spans="2:24" ht="13.5" customHeight="1" x14ac:dyDescent="0.2">
      <c r="B25" s="417" t="s">
        <v>25</v>
      </c>
      <c r="C25" s="418"/>
      <c r="D25" s="418"/>
      <c r="E25" s="418"/>
      <c r="F25" s="418"/>
      <c r="G25" s="419"/>
      <c r="H25" s="11">
        <v>0</v>
      </c>
      <c r="I25" s="11">
        <v>0</v>
      </c>
      <c r="J25" s="418" t="s">
        <v>25</v>
      </c>
      <c r="K25" s="418"/>
      <c r="L25" s="418"/>
      <c r="M25" s="418"/>
      <c r="N25" s="418"/>
      <c r="O25" s="419"/>
      <c r="P25" s="11">
        <v>0</v>
      </c>
      <c r="Q25" s="11">
        <v>0</v>
      </c>
    </row>
    <row r="26" spans="2:24" ht="13.5" customHeight="1" x14ac:dyDescent="0.2">
      <c r="B26" s="424" t="s">
        <v>26</v>
      </c>
      <c r="C26" s="425"/>
      <c r="D26" s="425"/>
      <c r="E26" s="425"/>
      <c r="F26" s="425"/>
      <c r="G26" s="427"/>
      <c r="H26" s="11">
        <v>0</v>
      </c>
      <c r="I26" s="11">
        <v>0</v>
      </c>
      <c r="J26" s="426" t="s">
        <v>26</v>
      </c>
      <c r="K26" s="426"/>
      <c r="L26" s="426"/>
      <c r="M26" s="426"/>
      <c r="N26" s="426"/>
      <c r="O26" s="427"/>
      <c r="P26" s="11">
        <v>0</v>
      </c>
      <c r="Q26" s="11">
        <v>0</v>
      </c>
    </row>
    <row r="27" spans="2:24" ht="20.25" customHeight="1" x14ac:dyDescent="0.2">
      <c r="B27" s="407" t="s">
        <v>27</v>
      </c>
      <c r="C27" s="408"/>
      <c r="D27" s="408"/>
      <c r="E27" s="408"/>
      <c r="F27" s="408"/>
      <c r="G27" s="409"/>
      <c r="H27" s="14">
        <f>SUM(H28:H31)</f>
        <v>36972877.100000001</v>
      </c>
      <c r="I27" s="14">
        <f>SUM(I28:I31)</f>
        <v>22623131.350000001</v>
      </c>
      <c r="J27" s="408" t="s">
        <v>28</v>
      </c>
      <c r="K27" s="408"/>
      <c r="L27" s="408"/>
      <c r="M27" s="408"/>
      <c r="N27" s="408"/>
      <c r="O27" s="409"/>
      <c r="P27" s="14">
        <f>SUM(P28:P31)</f>
        <v>4301889.0200000005</v>
      </c>
      <c r="Q27" s="14">
        <f>SUM(Q28:Q31)</f>
        <v>36193008.179999992</v>
      </c>
      <c r="R27" s="8"/>
    </row>
    <row r="28" spans="2:24" ht="13.5" customHeight="1" x14ac:dyDescent="0.2">
      <c r="B28" s="417" t="s">
        <v>220</v>
      </c>
      <c r="C28" s="536"/>
      <c r="D28" s="418"/>
      <c r="E28" s="418"/>
      <c r="F28" s="418"/>
      <c r="G28" s="428"/>
      <c r="H28" s="9">
        <f>33176.64+31260426.36</f>
        <v>31293603</v>
      </c>
      <c r="I28" s="132">
        <f>366611.23+11078820.31</f>
        <v>11445431.540000001</v>
      </c>
      <c r="J28" s="410" t="s">
        <v>230</v>
      </c>
      <c r="K28" s="411"/>
      <c r="L28" s="411"/>
      <c r="M28" s="411"/>
      <c r="N28" s="411"/>
      <c r="O28" s="537"/>
      <c r="P28" s="132">
        <f>153175.99+2810690</f>
        <v>2963865.99</v>
      </c>
      <c r="Q28" s="132">
        <f>32649.34+844095.9</f>
        <v>876745.24</v>
      </c>
    </row>
    <row r="29" spans="2:24" ht="13.5" customHeight="1" x14ac:dyDescent="0.2">
      <c r="B29" s="417" t="s">
        <v>221</v>
      </c>
      <c r="C29" s="536"/>
      <c r="D29" s="418"/>
      <c r="E29" s="418"/>
      <c r="F29" s="418"/>
      <c r="G29" s="428"/>
      <c r="H29" s="11">
        <f>1227.1+232753.85</f>
        <v>233980.95</v>
      </c>
      <c r="I29" s="133">
        <f>17477.76+349038</f>
        <v>366515.76</v>
      </c>
      <c r="J29" s="417" t="s">
        <v>231</v>
      </c>
      <c r="K29" s="418"/>
      <c r="L29" s="418"/>
      <c r="M29" s="418"/>
      <c r="N29" s="418"/>
      <c r="O29" s="536"/>
      <c r="P29" s="133">
        <f>17757.42+317159.85</f>
        <v>334917.26999999996</v>
      </c>
      <c r="Q29" s="133">
        <f>100342.32+30415.85</f>
        <v>130758.17000000001</v>
      </c>
    </row>
    <row r="30" spans="2:24" ht="13.5" customHeight="1" x14ac:dyDescent="0.2">
      <c r="B30" s="417" t="s">
        <v>37</v>
      </c>
      <c r="C30" s="536"/>
      <c r="D30" s="418"/>
      <c r="E30" s="418"/>
      <c r="F30" s="418"/>
      <c r="G30" s="428"/>
      <c r="H30" s="11">
        <v>0</v>
      </c>
      <c r="I30" s="133">
        <v>0</v>
      </c>
      <c r="J30" s="417" t="s">
        <v>37</v>
      </c>
      <c r="K30" s="418"/>
      <c r="L30" s="418"/>
      <c r="M30" s="418"/>
      <c r="N30" s="418"/>
      <c r="O30" s="536"/>
      <c r="P30" s="133">
        <v>0</v>
      </c>
      <c r="Q30" s="133">
        <v>0</v>
      </c>
    </row>
    <row r="31" spans="2:24" ht="13.5" customHeight="1" x14ac:dyDescent="0.2">
      <c r="B31" s="417" t="s">
        <v>38</v>
      </c>
      <c r="C31" s="536"/>
      <c r="D31" s="418"/>
      <c r="E31" s="418"/>
      <c r="F31" s="418"/>
      <c r="G31" s="428"/>
      <c r="H31" s="13">
        <v>5445293.1500000004</v>
      </c>
      <c r="I31" s="134">
        <v>10811184.050000003</v>
      </c>
      <c r="J31" s="424" t="s">
        <v>39</v>
      </c>
      <c r="K31" s="426"/>
      <c r="L31" s="426"/>
      <c r="M31" s="426"/>
      <c r="N31" s="426"/>
      <c r="O31" s="431"/>
      <c r="P31" s="134">
        <v>1003105.76</v>
      </c>
      <c r="Q31" s="134">
        <v>35185504.769999996</v>
      </c>
    </row>
    <row r="32" spans="2:24" ht="20.25" customHeight="1" x14ac:dyDescent="0.2">
      <c r="B32" s="407" t="s">
        <v>40</v>
      </c>
      <c r="C32" s="408"/>
      <c r="D32" s="408"/>
      <c r="E32" s="408"/>
      <c r="F32" s="408"/>
      <c r="G32" s="409"/>
      <c r="H32" s="14">
        <f>SUM(H33:H34)</f>
        <v>250461958.19</v>
      </c>
      <c r="I32" s="14">
        <f>SUM(I33:I34)</f>
        <v>257815249.62999997</v>
      </c>
      <c r="J32" s="408" t="s">
        <v>41</v>
      </c>
      <c r="K32" s="408"/>
      <c r="L32" s="408"/>
      <c r="M32" s="408"/>
      <c r="N32" s="408"/>
      <c r="O32" s="409"/>
      <c r="P32" s="14">
        <f>P33</f>
        <v>226162294.69999999</v>
      </c>
      <c r="Q32" s="14">
        <f>SUM(Q33:Q34)</f>
        <v>250461958.19</v>
      </c>
      <c r="R32" s="2"/>
      <c r="T32" s="15"/>
      <c r="W32" s="23" t="s">
        <v>232</v>
      </c>
      <c r="X32" s="24" t="s">
        <v>233</v>
      </c>
    </row>
    <row r="33" spans="2:256" ht="19.5" customHeight="1" x14ac:dyDescent="0.2">
      <c r="B33" s="410" t="s">
        <v>222</v>
      </c>
      <c r="C33" s="423"/>
      <c r="D33" s="423"/>
      <c r="E33" s="423"/>
      <c r="F33" s="423"/>
      <c r="G33" s="412"/>
      <c r="H33" s="11">
        <v>250461958.19</v>
      </c>
      <c r="I33" s="11">
        <v>257815249.62999997</v>
      </c>
      <c r="J33" s="411" t="s">
        <v>222</v>
      </c>
      <c r="K33" s="423"/>
      <c r="L33" s="423"/>
      <c r="M33" s="423"/>
      <c r="N33" s="423"/>
      <c r="O33" s="412"/>
      <c r="P33" s="11">
        <v>226162294.69999999</v>
      </c>
      <c r="Q33" s="11">
        <v>250461958.19</v>
      </c>
    </row>
    <row r="34" spans="2:256" ht="14.25" customHeight="1" x14ac:dyDescent="0.2">
      <c r="B34" s="424" t="s">
        <v>37</v>
      </c>
      <c r="C34" s="426"/>
      <c r="D34" s="426"/>
      <c r="E34" s="426"/>
      <c r="F34" s="426"/>
      <c r="G34" s="427"/>
      <c r="H34" s="80" t="s">
        <v>234</v>
      </c>
      <c r="I34" s="180" t="s">
        <v>234</v>
      </c>
      <c r="J34" s="424" t="s">
        <v>37</v>
      </c>
      <c r="K34" s="426"/>
      <c r="L34" s="426"/>
      <c r="M34" s="426"/>
      <c r="N34" s="426"/>
      <c r="O34" s="431"/>
      <c r="P34" s="80" t="s">
        <v>234</v>
      </c>
      <c r="Q34" s="181" t="s">
        <v>234</v>
      </c>
      <c r="W34" s="7">
        <f>I35-Q35</f>
        <v>0</v>
      </c>
      <c r="X34" s="149">
        <f>H35-P35</f>
        <v>0</v>
      </c>
    </row>
    <row r="35" spans="2:256" ht="13.5" customHeight="1" x14ac:dyDescent="0.2">
      <c r="B35" s="407" t="s">
        <v>44</v>
      </c>
      <c r="C35" s="432"/>
      <c r="D35" s="432"/>
      <c r="E35" s="432"/>
      <c r="F35" s="432"/>
      <c r="G35" s="409"/>
      <c r="H35" s="179">
        <f>H8+H22+H27+H32</f>
        <v>296315870.32999998</v>
      </c>
      <c r="I35" s="179">
        <f>I8+I22+I27+I32</f>
        <v>383994673.75999999</v>
      </c>
      <c r="J35" s="408" t="s">
        <v>45</v>
      </c>
      <c r="K35" s="432"/>
      <c r="L35" s="432"/>
      <c r="M35" s="432"/>
      <c r="N35" s="432"/>
      <c r="O35" s="409"/>
      <c r="P35" s="179">
        <f>P8+P22+P27+P32</f>
        <v>296315870.32999998</v>
      </c>
      <c r="Q35" s="178">
        <f>Q8+Q22++Q27+Q32</f>
        <v>383994673.75999999</v>
      </c>
      <c r="W35" s="121"/>
      <c r="X35" s="121"/>
    </row>
    <row r="36" spans="2:256" s="121" customFormat="1" ht="13.5" customHeight="1" x14ac:dyDescent="0.2">
      <c r="B36" s="117" t="s">
        <v>46</v>
      </c>
      <c r="C36" s="118"/>
      <c r="D36" s="118"/>
      <c r="E36" s="118"/>
      <c r="F36" s="119"/>
      <c r="G36" s="119"/>
      <c r="H36" s="119"/>
      <c r="J36" s="118"/>
      <c r="K36" s="118"/>
      <c r="L36" s="119"/>
      <c r="M36" s="119"/>
      <c r="N36" s="119"/>
      <c r="O36" s="120"/>
    </row>
    <row r="37" spans="2:256" s="121" customFormat="1" ht="4.5" customHeight="1" x14ac:dyDescent="0.2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3"/>
      <c r="Q37" s="124"/>
    </row>
    <row r="38" spans="2:256" s="121" customFormat="1" ht="12.75" x14ac:dyDescent="0.2">
      <c r="B38" s="117" t="s">
        <v>47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  <c r="Q38" s="177"/>
    </row>
    <row r="39" spans="2:256" s="121" customFormat="1" ht="11.25" customHeight="1" x14ac:dyDescent="0.2">
      <c r="B39" s="532" t="s">
        <v>48</v>
      </c>
      <c r="C39" s="532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</row>
    <row r="40" spans="2:256" s="121" customFormat="1" ht="11.25" customHeight="1" x14ac:dyDescent="0.2">
      <c r="B40" s="532" t="s">
        <v>213</v>
      </c>
      <c r="C40" s="532"/>
      <c r="D40" s="532"/>
      <c r="E40" s="532"/>
      <c r="F40" s="532"/>
      <c r="G40" s="532"/>
      <c r="H40" s="532"/>
      <c r="I40" s="532"/>
      <c r="J40" s="532"/>
      <c r="K40" s="532"/>
      <c r="L40" s="532"/>
      <c r="M40" s="532"/>
      <c r="N40" s="532"/>
      <c r="O40" s="532"/>
    </row>
    <row r="41" spans="2:256" s="121" customFormat="1" ht="11.25" customHeight="1" x14ac:dyDescent="0.2">
      <c r="B41" s="532" t="s">
        <v>191</v>
      </c>
      <c r="C41" s="532"/>
      <c r="D41" s="532"/>
      <c r="E41" s="532"/>
      <c r="F41" s="532"/>
      <c r="G41" s="532"/>
      <c r="H41" s="532"/>
      <c r="I41" s="532"/>
      <c r="J41" s="532"/>
      <c r="K41" s="532"/>
      <c r="L41" s="532"/>
      <c r="M41" s="532"/>
      <c r="N41" s="532"/>
      <c r="O41" s="532"/>
    </row>
    <row r="42" spans="2:256" s="121" customFormat="1" ht="11.25" customHeight="1" x14ac:dyDescent="0.2">
      <c r="B42" s="534" t="s">
        <v>226</v>
      </c>
      <c r="C42" s="534"/>
      <c r="D42" s="534"/>
      <c r="E42" s="534"/>
      <c r="F42" s="534"/>
      <c r="G42" s="534"/>
      <c r="H42" s="534"/>
      <c r="I42" s="534"/>
      <c r="J42" s="534"/>
      <c r="K42" s="534"/>
      <c r="L42" s="534"/>
      <c r="M42" s="534"/>
      <c r="N42" s="534"/>
      <c r="O42" s="534"/>
    </row>
    <row r="43" spans="2:256" s="121" customFormat="1" ht="11.25" customHeight="1" x14ac:dyDescent="0.2">
      <c r="B43" s="531" t="s">
        <v>185</v>
      </c>
      <c r="C43" s="531"/>
      <c r="D43" s="531"/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</row>
    <row r="44" spans="2:256" s="121" customFormat="1" ht="11.25" customHeight="1" x14ac:dyDescent="0.2">
      <c r="B44" s="533" t="s">
        <v>211</v>
      </c>
      <c r="C44" s="533"/>
      <c r="D44" s="533"/>
      <c r="E44" s="533"/>
      <c r="F44" s="533"/>
      <c r="G44" s="533"/>
      <c r="H44" s="533"/>
      <c r="I44" s="533"/>
      <c r="J44" s="533"/>
      <c r="K44" s="533"/>
      <c r="L44" s="533"/>
      <c r="M44" s="533"/>
      <c r="N44" s="533"/>
      <c r="O44" s="533"/>
      <c r="Q44" s="152"/>
    </row>
    <row r="45" spans="2:256" s="121" customFormat="1" ht="11.25" customHeight="1" x14ac:dyDescent="0.2">
      <c r="B45" s="535" t="s">
        <v>227</v>
      </c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35"/>
      <c r="N45" s="535"/>
      <c r="O45" s="535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8"/>
      <c r="CZ45" s="128"/>
      <c r="DA45" s="128"/>
      <c r="DB45" s="128"/>
      <c r="DC45" s="128"/>
      <c r="DD45" s="128"/>
      <c r="DE45" s="128"/>
      <c r="DF45" s="128"/>
      <c r="DG45" s="128"/>
      <c r="DH45" s="128"/>
      <c r="DI45" s="128"/>
      <c r="DJ45" s="128"/>
      <c r="DK45" s="128"/>
      <c r="DL45" s="128"/>
      <c r="DM45" s="128"/>
      <c r="DN45" s="128"/>
      <c r="DO45" s="128"/>
      <c r="DP45" s="128"/>
      <c r="DQ45" s="128"/>
      <c r="DR45" s="128"/>
      <c r="DS45" s="128"/>
      <c r="DT45" s="128"/>
      <c r="DU45" s="128"/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8"/>
      <c r="FE45" s="128"/>
      <c r="FF45" s="128"/>
      <c r="FG45" s="128"/>
      <c r="FH45" s="128"/>
      <c r="FI45" s="128"/>
      <c r="FJ45" s="128"/>
      <c r="FK45" s="128"/>
      <c r="FL45" s="128"/>
      <c r="FM45" s="128"/>
      <c r="FN45" s="128"/>
      <c r="FO45" s="128"/>
      <c r="FP45" s="128"/>
      <c r="FQ45" s="128"/>
      <c r="FR45" s="128"/>
      <c r="FS45" s="128"/>
      <c r="FT45" s="128"/>
      <c r="FU45" s="128"/>
      <c r="FV45" s="128"/>
      <c r="FW45" s="128"/>
      <c r="FX45" s="128"/>
      <c r="FY45" s="128"/>
      <c r="FZ45" s="128"/>
      <c r="GA45" s="128"/>
      <c r="GB45" s="128"/>
      <c r="GC45" s="128"/>
      <c r="GD45" s="128"/>
      <c r="GE45" s="128"/>
      <c r="GF45" s="128"/>
      <c r="GG45" s="128"/>
      <c r="GH45" s="128"/>
      <c r="GI45" s="128"/>
      <c r="GJ45" s="128"/>
      <c r="GK45" s="128"/>
      <c r="GL45" s="128"/>
      <c r="GM45" s="128"/>
      <c r="GN45" s="128"/>
      <c r="GO45" s="128"/>
      <c r="GP45" s="128"/>
      <c r="GQ45" s="128"/>
      <c r="GR45" s="128"/>
      <c r="GS45" s="128"/>
      <c r="GT45" s="128"/>
      <c r="GU45" s="128"/>
      <c r="GV45" s="128"/>
      <c r="GW45" s="128"/>
      <c r="GX45" s="128"/>
      <c r="GY45" s="128"/>
      <c r="GZ45" s="128"/>
      <c r="HA45" s="128"/>
      <c r="HB45" s="128"/>
      <c r="HC45" s="128"/>
      <c r="HD45" s="128"/>
      <c r="HE45" s="128"/>
      <c r="HF45" s="128"/>
      <c r="HG45" s="128"/>
      <c r="HH45" s="128"/>
      <c r="HI45" s="128"/>
      <c r="HJ45" s="128"/>
      <c r="HK45" s="128"/>
      <c r="HL45" s="128"/>
      <c r="HM45" s="128"/>
      <c r="HN45" s="128"/>
      <c r="HO45" s="128"/>
      <c r="HP45" s="128"/>
      <c r="HQ45" s="128"/>
      <c r="HR45" s="128"/>
      <c r="HS45" s="128"/>
      <c r="HT45" s="128"/>
      <c r="HU45" s="128"/>
      <c r="HV45" s="128"/>
      <c r="HW45" s="128"/>
      <c r="HX45" s="128"/>
      <c r="HY45" s="128"/>
      <c r="HZ45" s="128"/>
      <c r="IA45" s="128"/>
      <c r="IB45" s="128"/>
      <c r="IC45" s="128"/>
      <c r="ID45" s="128"/>
      <c r="IE45" s="128"/>
      <c r="IF45" s="128"/>
      <c r="IG45" s="128"/>
      <c r="IH45" s="128"/>
      <c r="II45" s="128"/>
      <c r="IJ45" s="128"/>
      <c r="IK45" s="128"/>
      <c r="IL45" s="128"/>
      <c r="IM45" s="128"/>
      <c r="IN45" s="128"/>
      <c r="IO45" s="128"/>
      <c r="IP45" s="128"/>
      <c r="IQ45" s="128"/>
      <c r="IR45" s="128"/>
      <c r="IS45" s="128"/>
      <c r="IT45" s="128"/>
      <c r="IU45" s="128"/>
      <c r="IV45" s="128"/>
    </row>
    <row r="46" spans="2:256" s="121" customFormat="1" ht="11.25" customHeight="1" x14ac:dyDescent="0.2">
      <c r="B46" s="531" t="s">
        <v>177</v>
      </c>
      <c r="C46" s="531"/>
      <c r="D46" s="531"/>
      <c r="E46" s="531"/>
      <c r="F46" s="531"/>
      <c r="G46" s="531"/>
      <c r="H46" s="531"/>
      <c r="I46" s="531"/>
      <c r="J46" s="531"/>
      <c r="K46" s="531"/>
      <c r="L46" s="531"/>
      <c r="M46" s="531"/>
      <c r="N46" s="531"/>
      <c r="O46" s="531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8"/>
      <c r="DG46" s="128"/>
      <c r="DH46" s="128"/>
      <c r="DI46" s="128"/>
      <c r="DJ46" s="128"/>
      <c r="DK46" s="128"/>
      <c r="DL46" s="128"/>
      <c r="DM46" s="128"/>
      <c r="DN46" s="128"/>
      <c r="DO46" s="128"/>
      <c r="DP46" s="128"/>
      <c r="DQ46" s="128"/>
      <c r="DR46" s="128"/>
      <c r="DS46" s="128"/>
      <c r="DT46" s="128"/>
      <c r="DU46" s="128"/>
      <c r="DV46" s="128"/>
      <c r="DW46" s="128"/>
      <c r="DX46" s="128"/>
      <c r="DY46" s="128"/>
      <c r="DZ46" s="128"/>
      <c r="EA46" s="128"/>
      <c r="EB46" s="128"/>
      <c r="EC46" s="128"/>
      <c r="ED46" s="128"/>
      <c r="EE46" s="128"/>
      <c r="EF46" s="128"/>
      <c r="EG46" s="128"/>
      <c r="EH46" s="128"/>
      <c r="EI46" s="128"/>
      <c r="EJ46" s="128"/>
      <c r="EK46" s="128"/>
      <c r="EL46" s="128"/>
      <c r="EM46" s="128"/>
      <c r="EN46" s="128"/>
      <c r="EO46" s="128"/>
      <c r="EP46" s="128"/>
      <c r="EQ46" s="128"/>
      <c r="ER46" s="128"/>
      <c r="ES46" s="128"/>
      <c r="ET46" s="128"/>
      <c r="EU46" s="128"/>
      <c r="EV46" s="128"/>
      <c r="EW46" s="128"/>
      <c r="EX46" s="128"/>
      <c r="EY46" s="128"/>
      <c r="EZ46" s="128"/>
      <c r="FA46" s="128"/>
      <c r="FB46" s="128"/>
      <c r="FC46" s="128"/>
      <c r="FD46" s="128"/>
      <c r="FE46" s="128"/>
      <c r="FF46" s="128"/>
      <c r="FG46" s="128"/>
      <c r="FH46" s="128"/>
      <c r="FI46" s="128"/>
      <c r="FJ46" s="128"/>
      <c r="FK46" s="128"/>
      <c r="FL46" s="128"/>
      <c r="FM46" s="128"/>
      <c r="FN46" s="128"/>
      <c r="FO46" s="128"/>
      <c r="FP46" s="128"/>
      <c r="FQ46" s="128"/>
      <c r="FR46" s="128"/>
      <c r="FS46" s="128"/>
      <c r="FT46" s="128"/>
      <c r="FU46" s="128"/>
      <c r="FV46" s="128"/>
      <c r="FW46" s="128"/>
      <c r="FX46" s="128"/>
      <c r="FY46" s="128"/>
      <c r="FZ46" s="128"/>
      <c r="GA46" s="128"/>
      <c r="GB46" s="128"/>
      <c r="GC46" s="128"/>
      <c r="GD46" s="128"/>
      <c r="GE46" s="128"/>
      <c r="GF46" s="128"/>
      <c r="GG46" s="128"/>
      <c r="GH46" s="128"/>
      <c r="GI46" s="128"/>
      <c r="GJ46" s="128"/>
      <c r="GK46" s="128"/>
      <c r="GL46" s="128"/>
      <c r="GM46" s="128"/>
      <c r="GN46" s="128"/>
      <c r="GO46" s="128"/>
      <c r="GP46" s="128"/>
      <c r="GQ46" s="128"/>
      <c r="GR46" s="128"/>
      <c r="GS46" s="128"/>
      <c r="GT46" s="128"/>
      <c r="GU46" s="128"/>
      <c r="GV46" s="128"/>
      <c r="GW46" s="128"/>
      <c r="GX46" s="128"/>
      <c r="GY46" s="128"/>
      <c r="GZ46" s="128"/>
      <c r="HA46" s="128"/>
      <c r="HB46" s="128"/>
      <c r="HC46" s="128"/>
      <c r="HD46" s="128"/>
      <c r="HE46" s="128"/>
      <c r="HF46" s="128"/>
      <c r="HG46" s="128"/>
      <c r="HH46" s="128"/>
      <c r="HI46" s="128"/>
      <c r="HJ46" s="128"/>
      <c r="HK46" s="128"/>
      <c r="HL46" s="128"/>
      <c r="HM46" s="128"/>
      <c r="HN46" s="128"/>
      <c r="HO46" s="128"/>
      <c r="HP46" s="128"/>
      <c r="HQ46" s="128"/>
      <c r="HR46" s="128"/>
      <c r="HS46" s="128"/>
      <c r="HT46" s="128"/>
      <c r="HU46" s="128"/>
      <c r="HV46" s="128"/>
      <c r="HW46" s="128"/>
      <c r="HX46" s="128"/>
      <c r="HY46" s="128"/>
      <c r="HZ46" s="128"/>
      <c r="IA46" s="128"/>
      <c r="IB46" s="128"/>
      <c r="IC46" s="128"/>
      <c r="ID46" s="128"/>
      <c r="IE46" s="128"/>
      <c r="IF46" s="128"/>
      <c r="IG46" s="128"/>
      <c r="IH46" s="128"/>
      <c r="II46" s="128"/>
      <c r="IJ46" s="128"/>
      <c r="IK46" s="128"/>
      <c r="IL46" s="128"/>
      <c r="IM46" s="128"/>
      <c r="IN46" s="128"/>
      <c r="IO46" s="128"/>
      <c r="IP46" s="128"/>
      <c r="IQ46" s="128"/>
      <c r="IR46" s="128"/>
      <c r="IS46" s="128"/>
      <c r="IT46" s="128"/>
      <c r="IU46" s="128"/>
      <c r="IV46" s="128"/>
    </row>
    <row r="47" spans="2:256" s="121" customFormat="1" ht="11.25" customHeight="1" x14ac:dyDescent="0.2">
      <c r="B47" s="529" t="s">
        <v>212</v>
      </c>
      <c r="C47" s="529"/>
      <c r="D47" s="529"/>
      <c r="E47" s="529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Q47" s="152"/>
    </row>
    <row r="48" spans="2:256" s="121" customFormat="1" ht="11.25" customHeight="1" x14ac:dyDescent="0.2">
      <c r="B48" s="534" t="s">
        <v>219</v>
      </c>
      <c r="C48" s="534"/>
      <c r="D48" s="534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Q48" s="152"/>
    </row>
    <row r="49" spans="2:256" s="121" customFormat="1" ht="11.25" customHeight="1" x14ac:dyDescent="0.2">
      <c r="B49" s="534" t="s">
        <v>228</v>
      </c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Q49" s="124"/>
    </row>
    <row r="50" spans="2:256" s="121" customFormat="1" ht="11.25" customHeight="1" x14ac:dyDescent="0.2">
      <c r="B50" s="531" t="s">
        <v>178</v>
      </c>
      <c r="C50" s="531"/>
      <c r="D50" s="531"/>
      <c r="E50" s="531"/>
      <c r="F50" s="531"/>
      <c r="G50" s="531"/>
      <c r="H50" s="531"/>
      <c r="I50" s="531"/>
      <c r="J50" s="531"/>
      <c r="K50" s="531"/>
      <c r="L50" s="531"/>
      <c r="M50" s="531"/>
      <c r="N50" s="531"/>
      <c r="O50" s="531"/>
      <c r="Q50" s="124"/>
    </row>
    <row r="51" spans="2:256" s="121" customFormat="1" ht="11.25" customHeight="1" x14ac:dyDescent="0.2">
      <c r="B51" s="529" t="s">
        <v>186</v>
      </c>
      <c r="C51" s="529"/>
      <c r="D51" s="529"/>
      <c r="E51" s="529"/>
      <c r="F51" s="529"/>
      <c r="G51" s="529"/>
      <c r="H51" s="529"/>
      <c r="I51" s="529"/>
      <c r="J51" s="529"/>
      <c r="K51" s="529"/>
      <c r="L51" s="529"/>
      <c r="M51" s="529"/>
      <c r="N51" s="529"/>
      <c r="O51" s="529"/>
    </row>
    <row r="52" spans="2:256" s="121" customFormat="1" ht="11.25" customHeight="1" x14ac:dyDescent="0.2">
      <c r="B52" s="529" t="s">
        <v>186</v>
      </c>
      <c r="C52" s="529"/>
      <c r="D52" s="529"/>
      <c r="E52" s="529"/>
      <c r="F52" s="529"/>
      <c r="G52" s="529"/>
      <c r="H52" s="529"/>
      <c r="I52" s="529"/>
      <c r="J52" s="529"/>
      <c r="K52" s="529"/>
      <c r="L52" s="529"/>
      <c r="M52" s="529"/>
      <c r="N52" s="529"/>
      <c r="O52" s="529"/>
      <c r="Q52" s="124"/>
    </row>
    <row r="53" spans="2:256" s="121" customFormat="1" ht="11.25" customHeight="1" x14ac:dyDescent="0.2">
      <c r="B53" s="529" t="s">
        <v>196</v>
      </c>
      <c r="C53" s="529"/>
      <c r="D53" s="529"/>
      <c r="E53" s="529"/>
      <c r="F53" s="529"/>
      <c r="G53" s="529"/>
      <c r="H53" s="529"/>
      <c r="I53" s="529"/>
      <c r="J53" s="529"/>
      <c r="K53" s="529"/>
      <c r="L53" s="529"/>
      <c r="M53" s="529"/>
      <c r="N53" s="529"/>
      <c r="O53" s="529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  <c r="CH53" s="128"/>
      <c r="CI53" s="128"/>
      <c r="CJ53" s="128"/>
      <c r="CK53" s="128"/>
      <c r="CL53" s="128"/>
      <c r="CM53" s="128"/>
      <c r="CN53" s="128"/>
      <c r="CO53" s="128"/>
      <c r="CP53" s="128"/>
      <c r="CQ53" s="128"/>
      <c r="CR53" s="128"/>
      <c r="CS53" s="128"/>
      <c r="CT53" s="128"/>
      <c r="CU53" s="128"/>
      <c r="CV53" s="128"/>
      <c r="CW53" s="128"/>
      <c r="CX53" s="128"/>
      <c r="CY53" s="128"/>
      <c r="CZ53" s="128"/>
      <c r="DA53" s="128"/>
      <c r="DB53" s="128"/>
      <c r="DC53" s="128"/>
      <c r="DD53" s="128"/>
      <c r="DE53" s="128"/>
      <c r="DF53" s="128"/>
      <c r="DG53" s="128"/>
      <c r="DH53" s="128"/>
      <c r="DI53" s="128"/>
      <c r="DJ53" s="128"/>
      <c r="DK53" s="128"/>
      <c r="DL53" s="128"/>
      <c r="DM53" s="128"/>
      <c r="DN53" s="128"/>
      <c r="DO53" s="128"/>
      <c r="DP53" s="128"/>
      <c r="DQ53" s="128"/>
      <c r="DR53" s="128"/>
      <c r="DS53" s="128"/>
      <c r="DT53" s="128"/>
      <c r="DU53" s="128"/>
      <c r="DV53" s="128"/>
      <c r="DW53" s="128"/>
      <c r="DX53" s="128"/>
      <c r="DY53" s="128"/>
      <c r="DZ53" s="128"/>
      <c r="EA53" s="128"/>
      <c r="EB53" s="128"/>
      <c r="EC53" s="128"/>
      <c r="ED53" s="128"/>
      <c r="EE53" s="128"/>
      <c r="EF53" s="128"/>
      <c r="EG53" s="128"/>
      <c r="EH53" s="128"/>
      <c r="EI53" s="128"/>
      <c r="EJ53" s="128"/>
      <c r="EK53" s="128"/>
      <c r="EL53" s="128"/>
      <c r="EM53" s="128"/>
      <c r="EN53" s="128"/>
      <c r="EO53" s="128"/>
      <c r="EP53" s="128"/>
      <c r="EQ53" s="128"/>
      <c r="ER53" s="128"/>
      <c r="ES53" s="128"/>
      <c r="ET53" s="128"/>
      <c r="EU53" s="128"/>
      <c r="EV53" s="128"/>
      <c r="EW53" s="128"/>
      <c r="EX53" s="128"/>
      <c r="EY53" s="128"/>
      <c r="EZ53" s="128"/>
      <c r="FA53" s="128"/>
      <c r="FB53" s="128"/>
      <c r="FC53" s="128"/>
      <c r="FD53" s="128"/>
      <c r="FE53" s="128"/>
      <c r="FF53" s="128"/>
      <c r="FG53" s="128"/>
      <c r="FH53" s="128"/>
      <c r="FI53" s="128"/>
      <c r="FJ53" s="128"/>
      <c r="FK53" s="128"/>
      <c r="FL53" s="128"/>
      <c r="FM53" s="128"/>
      <c r="FN53" s="128"/>
      <c r="FO53" s="128"/>
      <c r="FP53" s="128"/>
      <c r="FQ53" s="128"/>
      <c r="FR53" s="128"/>
      <c r="FS53" s="128"/>
      <c r="FT53" s="128"/>
      <c r="FU53" s="128"/>
      <c r="FV53" s="128"/>
      <c r="FW53" s="128"/>
      <c r="FX53" s="128"/>
      <c r="FY53" s="128"/>
      <c r="FZ53" s="128"/>
      <c r="GA53" s="128"/>
      <c r="GB53" s="128"/>
      <c r="GC53" s="128"/>
      <c r="GD53" s="128"/>
      <c r="GE53" s="128"/>
      <c r="GF53" s="128"/>
      <c r="GG53" s="128"/>
      <c r="GH53" s="128"/>
      <c r="GI53" s="128"/>
      <c r="GJ53" s="128"/>
      <c r="GK53" s="128"/>
      <c r="GL53" s="128"/>
      <c r="GM53" s="128"/>
      <c r="GN53" s="128"/>
      <c r="GO53" s="128"/>
      <c r="GP53" s="128"/>
      <c r="GQ53" s="128"/>
      <c r="GR53" s="128"/>
      <c r="GS53" s="128"/>
      <c r="GT53" s="128"/>
      <c r="GU53" s="128"/>
      <c r="GV53" s="128"/>
      <c r="GW53" s="128"/>
      <c r="GX53" s="128"/>
      <c r="GY53" s="128"/>
      <c r="GZ53" s="128"/>
      <c r="HA53" s="128"/>
      <c r="HB53" s="128"/>
      <c r="HC53" s="128"/>
      <c r="HD53" s="128"/>
      <c r="HE53" s="128"/>
      <c r="HF53" s="128"/>
      <c r="HG53" s="128"/>
      <c r="HH53" s="128"/>
      <c r="HI53" s="128"/>
      <c r="HJ53" s="128"/>
      <c r="HK53" s="128"/>
      <c r="HL53" s="128"/>
      <c r="HM53" s="128"/>
      <c r="HN53" s="128"/>
      <c r="HO53" s="128"/>
      <c r="HP53" s="128"/>
      <c r="HQ53" s="128"/>
      <c r="HR53" s="128"/>
      <c r="HS53" s="128"/>
      <c r="HT53" s="128"/>
      <c r="HU53" s="128"/>
      <c r="HV53" s="128"/>
      <c r="HW53" s="128"/>
      <c r="HX53" s="128"/>
      <c r="HY53" s="128"/>
      <c r="HZ53" s="128"/>
      <c r="IA53" s="128"/>
      <c r="IB53" s="128"/>
      <c r="IC53" s="128"/>
      <c r="ID53" s="128"/>
      <c r="IE53" s="128"/>
      <c r="IF53" s="128"/>
      <c r="IG53" s="128"/>
      <c r="IH53" s="128"/>
      <c r="II53" s="128"/>
      <c r="IJ53" s="128"/>
      <c r="IK53" s="128"/>
      <c r="IL53" s="128"/>
      <c r="IM53" s="128"/>
      <c r="IN53" s="128"/>
      <c r="IO53" s="128"/>
      <c r="IP53" s="128"/>
      <c r="IQ53" s="128"/>
      <c r="IR53" s="128"/>
      <c r="IS53" s="128"/>
      <c r="IT53" s="128"/>
      <c r="IU53" s="128"/>
      <c r="IV53" s="128"/>
    </row>
    <row r="54" spans="2:256" s="121" customFormat="1" ht="11.25" customHeight="1" x14ac:dyDescent="0.2">
      <c r="B54" s="529" t="s">
        <v>195</v>
      </c>
      <c r="C54" s="529"/>
      <c r="D54" s="529"/>
      <c r="E54" s="529"/>
      <c r="F54" s="529"/>
      <c r="G54" s="529"/>
      <c r="H54" s="529"/>
      <c r="I54" s="529"/>
      <c r="J54" s="529"/>
      <c r="K54" s="529"/>
      <c r="L54" s="529"/>
      <c r="M54" s="529"/>
      <c r="N54" s="529"/>
      <c r="O54" s="529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  <c r="CH54" s="128"/>
      <c r="CI54" s="128"/>
      <c r="CJ54" s="128"/>
      <c r="CK54" s="128"/>
      <c r="CL54" s="128"/>
      <c r="CM54" s="128"/>
      <c r="CN54" s="128"/>
      <c r="CO54" s="128"/>
      <c r="CP54" s="128"/>
      <c r="CQ54" s="128"/>
      <c r="CR54" s="128"/>
      <c r="CS54" s="128"/>
      <c r="CT54" s="128"/>
      <c r="CU54" s="128"/>
      <c r="CV54" s="128"/>
      <c r="CW54" s="128"/>
      <c r="CX54" s="128"/>
      <c r="CY54" s="128"/>
      <c r="CZ54" s="128"/>
      <c r="DA54" s="128"/>
      <c r="DB54" s="128"/>
      <c r="DC54" s="128"/>
      <c r="DD54" s="128"/>
      <c r="DE54" s="128"/>
      <c r="DF54" s="128"/>
      <c r="DG54" s="128"/>
      <c r="DH54" s="128"/>
      <c r="DI54" s="128"/>
      <c r="DJ54" s="128"/>
      <c r="DK54" s="128"/>
      <c r="DL54" s="128"/>
      <c r="DM54" s="128"/>
      <c r="DN54" s="128"/>
      <c r="DO54" s="128"/>
      <c r="DP54" s="128"/>
      <c r="DQ54" s="128"/>
      <c r="DR54" s="128"/>
      <c r="DS54" s="128"/>
      <c r="DT54" s="128"/>
      <c r="DU54" s="128"/>
      <c r="DV54" s="128"/>
      <c r="DW54" s="128"/>
      <c r="DX54" s="128"/>
      <c r="DY54" s="128"/>
      <c r="DZ54" s="128"/>
      <c r="EA54" s="128"/>
      <c r="EB54" s="128"/>
      <c r="EC54" s="128"/>
      <c r="ED54" s="128"/>
      <c r="EE54" s="128"/>
      <c r="EF54" s="128"/>
      <c r="EG54" s="128"/>
      <c r="EH54" s="128"/>
      <c r="EI54" s="128"/>
      <c r="EJ54" s="128"/>
      <c r="EK54" s="128"/>
      <c r="EL54" s="128"/>
      <c r="EM54" s="128"/>
      <c r="EN54" s="128"/>
      <c r="EO54" s="128"/>
      <c r="EP54" s="128"/>
      <c r="EQ54" s="128"/>
      <c r="ER54" s="128"/>
      <c r="ES54" s="128"/>
      <c r="ET54" s="128"/>
      <c r="EU54" s="128"/>
      <c r="EV54" s="128"/>
      <c r="EW54" s="128"/>
      <c r="EX54" s="128"/>
      <c r="EY54" s="128"/>
      <c r="EZ54" s="128"/>
      <c r="FA54" s="128"/>
      <c r="FB54" s="128"/>
      <c r="FC54" s="128"/>
      <c r="FD54" s="128"/>
      <c r="FE54" s="128"/>
      <c r="FF54" s="128"/>
      <c r="FG54" s="128"/>
      <c r="FH54" s="128"/>
      <c r="FI54" s="128"/>
      <c r="FJ54" s="128"/>
      <c r="FK54" s="128"/>
      <c r="FL54" s="128"/>
      <c r="FM54" s="128"/>
      <c r="FN54" s="128"/>
      <c r="FO54" s="128"/>
      <c r="FP54" s="128"/>
      <c r="FQ54" s="128"/>
      <c r="FR54" s="128"/>
      <c r="FS54" s="128"/>
      <c r="FT54" s="128"/>
      <c r="FU54" s="128"/>
      <c r="FV54" s="128"/>
      <c r="FW54" s="128"/>
      <c r="FX54" s="128"/>
      <c r="FY54" s="128"/>
      <c r="FZ54" s="128"/>
      <c r="GA54" s="128"/>
      <c r="GB54" s="128"/>
      <c r="GC54" s="128"/>
      <c r="GD54" s="128"/>
      <c r="GE54" s="128"/>
      <c r="GF54" s="128"/>
      <c r="GG54" s="128"/>
      <c r="GH54" s="128"/>
      <c r="GI54" s="128"/>
      <c r="GJ54" s="128"/>
      <c r="GK54" s="128"/>
      <c r="GL54" s="128"/>
      <c r="GM54" s="128"/>
      <c r="GN54" s="128"/>
      <c r="GO54" s="128"/>
      <c r="GP54" s="128"/>
      <c r="GQ54" s="128"/>
      <c r="GR54" s="128"/>
      <c r="GS54" s="128"/>
      <c r="GT54" s="128"/>
      <c r="GU54" s="128"/>
      <c r="GV54" s="128"/>
      <c r="GW54" s="128"/>
      <c r="GX54" s="128"/>
      <c r="GY54" s="128"/>
      <c r="GZ54" s="128"/>
      <c r="HA54" s="128"/>
      <c r="HB54" s="128"/>
      <c r="HC54" s="128"/>
      <c r="HD54" s="128"/>
      <c r="HE54" s="128"/>
      <c r="HF54" s="128"/>
      <c r="HG54" s="128"/>
      <c r="HH54" s="128"/>
      <c r="HI54" s="128"/>
      <c r="HJ54" s="128"/>
      <c r="HK54" s="128"/>
      <c r="HL54" s="128"/>
      <c r="HM54" s="128"/>
      <c r="HN54" s="128"/>
      <c r="HO54" s="128"/>
      <c r="HP54" s="128"/>
      <c r="HQ54" s="128"/>
      <c r="HR54" s="128"/>
      <c r="HS54" s="128"/>
      <c r="HT54" s="128"/>
      <c r="HU54" s="128"/>
      <c r="HV54" s="128"/>
      <c r="HW54" s="128"/>
      <c r="HX54" s="128"/>
      <c r="HY54" s="128"/>
      <c r="HZ54" s="128"/>
      <c r="IA54" s="128"/>
      <c r="IB54" s="128"/>
      <c r="IC54" s="128"/>
      <c r="ID54" s="128"/>
      <c r="IE54" s="128"/>
      <c r="IF54" s="128"/>
      <c r="IG54" s="128"/>
      <c r="IH54" s="128"/>
      <c r="II54" s="128"/>
      <c r="IJ54" s="128"/>
      <c r="IK54" s="128"/>
      <c r="IL54" s="128"/>
      <c r="IM54" s="128"/>
      <c r="IN54" s="128"/>
      <c r="IO54" s="128"/>
      <c r="IP54" s="128"/>
      <c r="IQ54" s="128"/>
      <c r="IR54" s="128"/>
      <c r="IS54" s="128"/>
      <c r="IT54" s="128"/>
      <c r="IU54" s="128"/>
      <c r="IV54" s="128"/>
    </row>
    <row r="57" spans="2:256" ht="13.5" customHeight="1" x14ac:dyDescent="0.2">
      <c r="B57" s="487" t="s">
        <v>223</v>
      </c>
      <c r="C57" s="487"/>
      <c r="D57" s="487"/>
      <c r="E57" s="487"/>
      <c r="F57" s="487"/>
      <c r="G57" s="136"/>
      <c r="H57" s="530" t="s">
        <v>183</v>
      </c>
      <c r="I57" s="530"/>
      <c r="J57" s="530"/>
      <c r="K57" s="530"/>
      <c r="L57" s="530"/>
      <c r="M57" s="26"/>
      <c r="N57" s="487"/>
      <c r="O57" s="487"/>
      <c r="P57" s="487"/>
      <c r="Q57" s="487"/>
    </row>
    <row r="58" spans="2:256" ht="13.5" customHeight="1" x14ac:dyDescent="0.2">
      <c r="B58" s="509" t="s">
        <v>235</v>
      </c>
      <c r="C58" s="509"/>
      <c r="D58" s="509"/>
      <c r="E58" s="509"/>
      <c r="F58" s="509"/>
      <c r="H58" s="509" t="s">
        <v>184</v>
      </c>
      <c r="I58" s="509"/>
      <c r="J58" s="509"/>
      <c r="K58" s="509"/>
      <c r="L58" s="509"/>
      <c r="M58" s="28"/>
      <c r="N58" s="488" t="s">
        <v>50</v>
      </c>
      <c r="O58" s="488"/>
      <c r="P58" s="488"/>
      <c r="Q58" s="488"/>
    </row>
    <row r="59" spans="2:256" ht="13.5" customHeight="1" x14ac:dyDescent="0.2">
      <c r="B59" s="482" t="s">
        <v>224</v>
      </c>
      <c r="C59" s="482"/>
      <c r="D59" s="482"/>
      <c r="E59" s="482"/>
      <c r="F59" s="482"/>
      <c r="H59" s="482" t="s">
        <v>187</v>
      </c>
      <c r="I59" s="482"/>
      <c r="J59" s="482"/>
      <c r="K59" s="482"/>
      <c r="L59" s="482"/>
      <c r="M59" s="135"/>
      <c r="N59" s="507" t="s">
        <v>238</v>
      </c>
      <c r="O59" s="507"/>
      <c r="P59" s="507"/>
      <c r="Q59" s="507"/>
    </row>
    <row r="60" spans="2:256" ht="13.5" customHeight="1" x14ac:dyDescent="0.2">
      <c r="B60" s="528" t="s">
        <v>51</v>
      </c>
      <c r="C60" s="528"/>
      <c r="D60" s="528"/>
      <c r="E60" s="528"/>
      <c r="F60" s="528"/>
      <c r="H60" s="482" t="s">
        <v>51</v>
      </c>
      <c r="I60" s="482"/>
      <c r="J60" s="482"/>
      <c r="K60" s="482"/>
      <c r="L60" s="482"/>
      <c r="M60" s="30"/>
      <c r="N60" s="482" t="s">
        <v>51</v>
      </c>
      <c r="O60" s="482"/>
      <c r="P60" s="482"/>
      <c r="Q60" s="482"/>
    </row>
  </sheetData>
  <mergeCells count="89">
    <mergeCell ref="B1:Q1"/>
    <mergeCell ref="B2:Q2"/>
    <mergeCell ref="B3:Q3"/>
    <mergeCell ref="B6:H6"/>
    <mergeCell ref="J6:Q6"/>
    <mergeCell ref="B7:G7"/>
    <mergeCell ref="J7:O7"/>
    <mergeCell ref="B8:G8"/>
    <mergeCell ref="J8:O8"/>
    <mergeCell ref="B9:G9"/>
    <mergeCell ref="J9:O9"/>
    <mergeCell ref="B10:G10"/>
    <mergeCell ref="J10:O10"/>
    <mergeCell ref="B11:G11"/>
    <mergeCell ref="J11:O11"/>
    <mergeCell ref="B12:G12"/>
    <mergeCell ref="J12:O12"/>
    <mergeCell ref="B14:G14"/>
    <mergeCell ref="J14:O14"/>
    <mergeCell ref="B15:G15"/>
    <mergeCell ref="J15:O15"/>
    <mergeCell ref="B16:G16"/>
    <mergeCell ref="J16:O16"/>
    <mergeCell ref="B17:G17"/>
    <mergeCell ref="J17:O17"/>
    <mergeCell ref="B18:G18"/>
    <mergeCell ref="J18:O18"/>
    <mergeCell ref="B19:G19"/>
    <mergeCell ref="J19:O19"/>
    <mergeCell ref="B20:G20"/>
    <mergeCell ref="J20:O20"/>
    <mergeCell ref="B21:G21"/>
    <mergeCell ref="J21:O21"/>
    <mergeCell ref="B22:G22"/>
    <mergeCell ref="J22:O22"/>
    <mergeCell ref="B23:G23"/>
    <mergeCell ref="J23:O23"/>
    <mergeCell ref="B24:G24"/>
    <mergeCell ref="J24:O24"/>
    <mergeCell ref="B25:G25"/>
    <mergeCell ref="J25:O25"/>
    <mergeCell ref="B26:G26"/>
    <mergeCell ref="J26:O26"/>
    <mergeCell ref="B27:G27"/>
    <mergeCell ref="J27:O27"/>
    <mergeCell ref="B28:G28"/>
    <mergeCell ref="J28:O28"/>
    <mergeCell ref="B29:G29"/>
    <mergeCell ref="J29:O29"/>
    <mergeCell ref="B30:G30"/>
    <mergeCell ref="J30:O30"/>
    <mergeCell ref="B31:G31"/>
    <mergeCell ref="J31:O31"/>
    <mergeCell ref="B32:G32"/>
    <mergeCell ref="J32:O32"/>
    <mergeCell ref="B33:G33"/>
    <mergeCell ref="J33:O33"/>
    <mergeCell ref="B34:G34"/>
    <mergeCell ref="J34:O34"/>
    <mergeCell ref="B35:G35"/>
    <mergeCell ref="J35:O35"/>
    <mergeCell ref="B51:O51"/>
    <mergeCell ref="B46:O46"/>
    <mergeCell ref="B50:O50"/>
    <mergeCell ref="B40:O40"/>
    <mergeCell ref="B43:O43"/>
    <mergeCell ref="B44:O44"/>
    <mergeCell ref="B41:O41"/>
    <mergeCell ref="B42:O42"/>
    <mergeCell ref="B45:O45"/>
    <mergeCell ref="B49:O49"/>
    <mergeCell ref="B48:O48"/>
    <mergeCell ref="B39:O39"/>
    <mergeCell ref="B47:O47"/>
    <mergeCell ref="B52:O52"/>
    <mergeCell ref="B53:O53"/>
    <mergeCell ref="B54:O54"/>
    <mergeCell ref="B57:F57"/>
    <mergeCell ref="H57:L57"/>
    <mergeCell ref="N57:Q57"/>
    <mergeCell ref="B60:F60"/>
    <mergeCell ref="H60:L60"/>
    <mergeCell ref="N60:Q60"/>
    <mergeCell ref="B58:F58"/>
    <mergeCell ref="H58:L58"/>
    <mergeCell ref="N58:Q58"/>
    <mergeCell ref="B59:F59"/>
    <mergeCell ref="H59:L59"/>
    <mergeCell ref="N59:Q59"/>
  </mergeCells>
  <printOptions horizontalCentered="1"/>
  <pageMargins left="0.19685039370078741" right="0.11811023622047245" top="0" bottom="0" header="0.31496062992125984" footer="0.31496062992125984"/>
  <pageSetup paperSize="9" scale="70" orientation="landscape" verticalDpi="597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4</vt:i4>
      </vt:variant>
    </vt:vector>
  </HeadingPairs>
  <TitlesOfParts>
    <vt:vector size="13" baseType="lpstr">
      <vt:lpstr>DADOS</vt:lpstr>
      <vt:lpstr>B.F. 05</vt:lpstr>
      <vt:lpstr>B.F. 00</vt:lpstr>
      <vt:lpstr>Balanço Financeiro</vt:lpstr>
      <vt:lpstr>Balanço Orçamentário MCASP</vt:lpstr>
      <vt:lpstr>Anexos do BO</vt:lpstr>
      <vt:lpstr>BAL.Financeiro MOD DEZ</vt:lpstr>
      <vt:lpstr>BF Mensal c formula 02 colunas</vt:lpstr>
      <vt:lpstr>Plan2</vt:lpstr>
      <vt:lpstr>'Anexos do BO'!Area_de_impressao</vt:lpstr>
      <vt:lpstr>'BAL.Financeiro MOD DEZ'!Area_de_impressao</vt:lpstr>
      <vt:lpstr>'Balanço Financeiro'!Area_de_impressao</vt:lpstr>
      <vt:lpstr>'Balanço Orçamentário MCASP'!Area_de_impressao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d835717</dc:creator>
  <cp:lastModifiedBy>Carlos Benito Martinez</cp:lastModifiedBy>
  <cp:lastPrinted>2019-05-20T15:37:50Z</cp:lastPrinted>
  <dcterms:created xsi:type="dcterms:W3CDTF">2016-10-19T15:26:14Z</dcterms:created>
  <dcterms:modified xsi:type="dcterms:W3CDTF">2019-05-22T14:09:42Z</dcterms:modified>
</cp:coreProperties>
</file>