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20\11. Novembro\Balancete Publicação\"/>
    </mc:Choice>
  </mc:AlternateContent>
  <xr:revisionPtr revIDLastSave="0" documentId="13_ncr:1_{30C5C788-0B81-451A-AE75-E05FD2F58C02}" xr6:coauthVersionLast="47" xr6:coauthVersionMax="47" xr10:uidLastSave="{00000000-0000-0000-0000-000000000000}"/>
  <bookViews>
    <workbookView xWindow="-120" yWindow="-120" windowWidth="29040" windowHeight="15840" xr2:uid="{D6D70D0B-6B22-4AD4-929B-6C665C005FF3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'!$A$2:$G$45</definedName>
    <definedName name="_xlnm.Print_Area" localSheetId="0">'Balanço Financeiro '!$A$1:$O$67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A1" i="3"/>
  <c r="B27" i="3" s="1"/>
  <c r="F52" i="2"/>
  <c r="E52" i="2"/>
  <c r="D52" i="2"/>
  <c r="G52" i="2" s="1"/>
  <c r="C52" i="2"/>
  <c r="B52" i="2"/>
  <c r="E46" i="2"/>
  <c r="E45" i="2" s="1"/>
  <c r="D46" i="2"/>
  <c r="D45" i="2" s="1"/>
  <c r="E44" i="2"/>
  <c r="E41" i="2" s="1"/>
  <c r="E51" i="2" s="1"/>
  <c r="E59" i="2" s="1"/>
  <c r="D44" i="2"/>
  <c r="D41" i="2" s="1"/>
  <c r="G35" i="2"/>
  <c r="F35" i="2"/>
  <c r="D35" i="2"/>
  <c r="B35" i="2"/>
  <c r="F25" i="2"/>
  <c r="G25" i="2" s="1"/>
  <c r="D25" i="2"/>
  <c r="B25" i="2"/>
  <c r="G22" i="2"/>
  <c r="G21" i="2"/>
  <c r="G20" i="2"/>
  <c r="G19" i="2"/>
  <c r="G18" i="2"/>
  <c r="F17" i="2"/>
  <c r="G17" i="2" s="1"/>
  <c r="D17" i="2"/>
  <c r="B17" i="2"/>
  <c r="F15" i="2"/>
  <c r="G15" i="2" s="1"/>
  <c r="D15" i="2"/>
  <c r="D14" i="2"/>
  <c r="G14" i="2" s="1"/>
  <c r="G13" i="2"/>
  <c r="D13" i="2"/>
  <c r="D12" i="2"/>
  <c r="G12" i="2" s="1"/>
  <c r="G10" i="2"/>
  <c r="G9" i="2"/>
  <c r="I4" i="2"/>
  <c r="A1" i="2"/>
  <c r="C46" i="2" s="1"/>
  <c r="Q33" i="1"/>
  <c r="N31" i="1"/>
  <c r="N30" i="1" s="1"/>
  <c r="G31" i="1"/>
  <c r="G30" i="1"/>
  <c r="N29" i="1"/>
  <c r="G29" i="1"/>
  <c r="N28" i="1"/>
  <c r="G28" i="1"/>
  <c r="N27" i="1"/>
  <c r="G27" i="1"/>
  <c r="N26" i="1"/>
  <c r="N25" i="1" s="1"/>
  <c r="G26" i="1"/>
  <c r="G25" i="1" s="1"/>
  <c r="N24" i="1"/>
  <c r="G24" i="1"/>
  <c r="N23" i="1"/>
  <c r="G23" i="1"/>
  <c r="N22" i="1"/>
  <c r="G22" i="1"/>
  <c r="N21" i="1"/>
  <c r="G21" i="1"/>
  <c r="N20" i="1"/>
  <c r="G20" i="1"/>
  <c r="N19" i="1"/>
  <c r="G19" i="1"/>
  <c r="N18" i="1"/>
  <c r="G18" i="1"/>
  <c r="N17" i="1"/>
  <c r="G17" i="1"/>
  <c r="N16" i="1"/>
  <c r="G16" i="1"/>
  <c r="N15" i="1"/>
  <c r="G15" i="1"/>
  <c r="N14" i="1"/>
  <c r="G14" i="1"/>
  <c r="G12" i="1" s="1"/>
  <c r="N13" i="1"/>
  <c r="N12" i="1" s="1"/>
  <c r="G13" i="1"/>
  <c r="N11" i="1"/>
  <c r="G11" i="1"/>
  <c r="N10" i="1"/>
  <c r="G10" i="1"/>
  <c r="N9" i="1"/>
  <c r="G9" i="1"/>
  <c r="N8" i="1"/>
  <c r="N7" i="1" s="1"/>
  <c r="N33" i="1" s="1"/>
  <c r="G8" i="1"/>
  <c r="D51" i="2" l="1"/>
  <c r="D59" i="2" s="1"/>
  <c r="E60" i="2"/>
  <c r="E61" i="2"/>
  <c r="C45" i="2"/>
  <c r="G45" i="2" s="1"/>
  <c r="G46" i="2"/>
  <c r="G7" i="1"/>
  <c r="B26" i="3"/>
  <c r="F26" i="3" s="1"/>
  <c r="E14" i="3"/>
  <c r="F14" i="3"/>
  <c r="F13" i="3" s="1"/>
  <c r="B11" i="2"/>
  <c r="F44" i="2"/>
  <c r="F41" i="2" s="1"/>
  <c r="F51" i="2" s="1"/>
  <c r="F59" i="2" s="1"/>
  <c r="F61" i="2" s="1"/>
  <c r="F46" i="2"/>
  <c r="F45" i="2" s="1"/>
  <c r="C25" i="3"/>
  <c r="C22" i="3" s="1"/>
  <c r="C30" i="3" s="1"/>
  <c r="E27" i="3"/>
  <c r="E26" i="3" s="1"/>
  <c r="D27" i="3"/>
  <c r="D26" i="3" s="1"/>
  <c r="B16" i="2"/>
  <c r="D16" i="2" s="1"/>
  <c r="B12" i="3"/>
  <c r="B14" i="3"/>
  <c r="D25" i="3"/>
  <c r="D22" i="3" s="1"/>
  <c r="C27" i="3"/>
  <c r="C26" i="3" s="1"/>
  <c r="F11" i="2"/>
  <c r="B44" i="2"/>
  <c r="B41" i="2" s="1"/>
  <c r="B46" i="2"/>
  <c r="B45" i="2" s="1"/>
  <c r="C12" i="3"/>
  <c r="C9" i="3" s="1"/>
  <c r="C14" i="3"/>
  <c r="C13" i="3" s="1"/>
  <c r="E25" i="3"/>
  <c r="E22" i="3" s="1"/>
  <c r="E30" i="3" s="1"/>
  <c r="E12" i="3"/>
  <c r="F12" i="3"/>
  <c r="F9" i="3" s="1"/>
  <c r="F17" i="3" s="1"/>
  <c r="B25" i="3"/>
  <c r="F16" i="2"/>
  <c r="C44" i="2"/>
  <c r="B51" i="2" l="1"/>
  <c r="B59" i="2" s="1"/>
  <c r="I2" i="2"/>
  <c r="G33" i="1"/>
  <c r="P33" i="1" s="1"/>
  <c r="D12" i="3"/>
  <c r="D9" i="3" s="1"/>
  <c r="E9" i="3"/>
  <c r="G11" i="2"/>
  <c r="F8" i="2"/>
  <c r="D11" i="2"/>
  <c r="D8" i="2" s="1"/>
  <c r="D24" i="2" s="1"/>
  <c r="D32" i="2" s="1"/>
  <c r="B8" i="2"/>
  <c r="B24" i="2" s="1"/>
  <c r="B32" i="2" s="1"/>
  <c r="C41" i="2"/>
  <c r="G44" i="2"/>
  <c r="D30" i="3"/>
  <c r="D14" i="3"/>
  <c r="D13" i="3" s="1"/>
  <c r="E13" i="3"/>
  <c r="G16" i="2"/>
  <c r="C17" i="3"/>
  <c r="B13" i="3"/>
  <c r="G13" i="3" s="1"/>
  <c r="G14" i="3"/>
  <c r="F27" i="3"/>
  <c r="F25" i="3"/>
  <c r="B22" i="3"/>
  <c r="G12" i="3"/>
  <c r="B9" i="3"/>
  <c r="G8" i="2" l="1"/>
  <c r="F24" i="2"/>
  <c r="I3" i="2"/>
  <c r="B17" i="3"/>
  <c r="G9" i="3"/>
  <c r="G17" i="3" s="1"/>
  <c r="I17" i="3" s="1"/>
  <c r="E17" i="3"/>
  <c r="C51" i="2"/>
  <c r="G41" i="2"/>
  <c r="D17" i="3"/>
  <c r="B30" i="3"/>
  <c r="F22" i="3"/>
  <c r="F30" i="3" s="1"/>
  <c r="I30" i="3" s="1"/>
  <c r="B60" i="2"/>
  <c r="B61" i="2" s="1"/>
  <c r="B33" i="2"/>
  <c r="B34" i="2"/>
  <c r="C59" i="2" l="1"/>
  <c r="G51" i="2"/>
  <c r="G24" i="2"/>
  <c r="F32" i="2"/>
  <c r="I31" i="3"/>
  <c r="I33" i="3" s="1"/>
  <c r="G59" i="2" l="1"/>
  <c r="C60" i="2"/>
  <c r="G60" i="2" s="1"/>
  <c r="D33" i="2"/>
  <c r="D34" i="2" s="1"/>
  <c r="D60" i="2"/>
  <c r="D61" i="2" s="1"/>
  <c r="G32" i="2"/>
  <c r="F33" i="2"/>
  <c r="G33" i="2" s="1"/>
  <c r="C61" i="2" l="1"/>
  <c r="G61" i="2" s="1"/>
  <c r="I65" i="2" s="1"/>
  <c r="F34" i="2"/>
  <c r="G34" i="2" s="1"/>
  <c r="I64" i="2" s="1"/>
  <c r="I66" i="2" s="1"/>
</calcChain>
</file>

<file path=xl/sharedStrings.xml><?xml version="1.0" encoding="utf-8"?>
<sst xmlns="http://schemas.openxmlformats.org/spreadsheetml/2006/main" count="246" uniqueCount="174">
  <si>
    <t>FUMCAD - Fundo Municipal da Criança e do Adolescente</t>
  </si>
  <si>
    <t xml:space="preserve">Balancete Financeiro </t>
  </si>
  <si>
    <t>Novembro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</si>
  <si>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</si>
  <si>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</si>
  <si>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</si>
  <si>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</si>
  <si>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</si>
  <si>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</si>
  <si>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</si>
  <si>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</si>
  <si>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</si>
  <si>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</si>
  <si>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</si>
  <si>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</si>
  <si>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</si>
  <si>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</si>
  <si>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</si>
  <si>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</si>
  <si>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</si>
  <si>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</si>
  <si>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</si>
  <si>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</si>
  <si>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</si>
  <si>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</si>
  <si>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</si>
  <si>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</si>
  <si>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</si>
  <si>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</si>
  <si>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</si>
  <si>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</si>
  <si>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</si>
  <si>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</si>
  <si>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</si>
  <si>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</si>
  <si>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</si>
  <si>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</si>
  <si>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</si>
  <si>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</si>
  <si>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</si>
  <si>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</si>
  <si>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</si>
  <si>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</si>
  <si>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</si>
  <si>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</si>
  <si>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</si>
  <si>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</si>
  <si>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</si>
  <si>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</si>
  <si>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</si>
  <si>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</si>
  <si>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</si>
  <si>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156 de 26/08/2020, DOC 09/09/2020, - Vr. R$  3.620.176,97 e orientação SF/DECON processo SEI 6017.2020/0038898-8.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</si>
  <si>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</si>
  <si>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</si>
  <si>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</si>
  <si>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 xml:space="preserve">5.2 Estorno de parte do valor recolhido através da DRD nº 656/2020 (Guia de Remessa nº 21695/2020), no valor de R$ 2.478,66, para fins de restituição por tratar de depósito realizado em duplicidade, conforme despacho nº 027034157. Processo nº 6074.2020/0001719-0 </t>
  </si>
  <si>
    <t xml:space="preserve">5.3 Estorno de parte do valor recolhido através da DRD nº 7066/2018 (Guia de Remessa nº 126927/2018 ), no valor de R$ 20.800,00 para fins de devolução a Empresa PLISB COMERCIAL E PARTICIPAÇOES LTDA tendo em vista tratar de valor depositado indevidamente na conta da FUMCAD, conforme despacho SEI nº 027160773 Processo nº 6074.2020/0000583-4 </t>
  </si>
  <si>
    <t xml:space="preserve">5.4 Estorno de parte do valor recolhido através da DRD nº 6549/2019 (Guia de Remessa nº 144191/2019 ), no valor de R$ 127.000,00, para fins de devolução a Empresa PROSEGUR BRASIL S/A TRANSPORTADORA DE VALORES E SEGURANÇA tendo em vista tratar de valor depositado indevidamente na conta da FUMCAD, conforme despacho SEI nº 027091682. Processo nº 6074.2020/0000590-7 </t>
  </si>
  <si>
    <t>5.5 Estorno de parte do valor recolhido através daDRD nº 6459/2019 (Guia de Remessa nº 143927/2019), no valor de R$ 5.760,00, referente depósito indevido realizado na conta bancária específica para recepção de doações ao FUMCAD, para fins restituição conforme Despacho nº 028725147. Processo nº 6074.2020/0001669-0</t>
  </si>
  <si>
    <t xml:space="preserve">5.6 Estorno de parte do valor recolhido através da DRD nº 6501/2019 (Guia de Remessa nº 144154/2019), no valor de R$ 20.000,00, para fins de restituição devido a depósito indevido realizado na conta bancária específica para recepção de doações ao FUMCAD, conforme espacho nº 027135182 do Processo SEi nº 6074.2020/0001021-8 </t>
  </si>
  <si>
    <t xml:space="preserve">5.7  Estorno de parte do valor recolhido através da DRD nº 7064/2018 (Guia de Remessa nº 126925/2018), no valor de R$ 36.000,00, para fins de restituição devido a depósito indevido realizado na conta bancária específica para recepção de doações ao FUMCAD, conforme  despacho nº 026709444 do Processo SEI nº 6074.2019/0002044-0 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</si>
  <si>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</si>
  <si>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</si>
  <si>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t>6.2.Saída do Disponível em outubro/2019, no valor de R$ 1.300.041,12 a ser regularizado no mês seguinte, por SF/Didis.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</si>
  <si>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</si>
  <si>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</si>
  <si>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9. Receita de Operações Intraorçamentárias</t>
  </si>
  <si>
    <t>9.1 Multas Decorrentes de Sentenças Judiciais - FUMCAD - R$ 5.834.833,07+R$ 1.863.968,79+ R$ 226.627,07+ R$ 235.800,53 = R$ 8.161.229,46</t>
  </si>
  <si>
    <t>Denise de Cássia Santos Rodrigues</t>
  </si>
  <si>
    <t>Ana Claudia Carletto</t>
  </si>
  <si>
    <t>Assessor Técnico I</t>
  </si>
  <si>
    <t xml:space="preserve">Sec.Munic.de Direitos Humanos e Cidadania </t>
  </si>
  <si>
    <t>CPF: 212.634.168-29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</si>
  <si>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</si>
  <si>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</si>
  <si>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</si>
  <si>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</si>
  <si>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</si>
  <si>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</si>
  <si>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</si>
  <si>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NOVEMBRO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</si>
  <si>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</si>
  <si>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</si>
  <si>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</si>
  <si>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</si>
  <si>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</si>
  <si>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</si>
  <si>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</si>
  <si>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</si>
  <si>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</si>
  <si>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</si>
  <si>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</si>
  <si>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</si>
  <si>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</si>
  <si>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</si>
  <si>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</si>
  <si>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</si>
  <si>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</si>
  <si>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</si>
  <si>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</si>
  <si>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</si>
  <si>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</si>
  <si>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</si>
  <si>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</si>
  <si>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</si>
  <si>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</si>
  <si>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</si>
  <si>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</si>
  <si>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</si>
  <si>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</si>
  <si>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</si>
  <si>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</si>
  <si>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</si>
  <si>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</si>
  <si>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</si>
  <si>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</si>
  <si>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</si>
  <si>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</si>
  <si>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</si>
  <si>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</si>
  <si>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</si>
  <si>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</si>
  <si>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</si>
  <si>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</si>
  <si>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</si>
  <si>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</si>
  <si>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</si>
  <si>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</si>
  <si>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</si>
  <si>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</si>
  <si>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</si>
  <si>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</si>
  <si>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</si>
  <si>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</si>
  <si>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</si>
  <si>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</si>
  <si>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</si>
  <si>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</si>
  <si>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</si>
  <si>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</si>
  <si>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</si>
  <si>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</si>
  <si>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</si>
  <si>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</si>
  <si>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</si>
  <si>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</si>
  <si>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</si>
  <si>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</si>
  <si>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</si>
  <si>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</si>
  <si>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</si>
  <si>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</si>
  <si>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</si>
  <si>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</si>
  <si>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</si>
  <si>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</si>
  <si>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</si>
  <si>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</si>
  <si>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</si>
  <si>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</si>
  <si>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</si>
  <si>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</si>
  <si>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</si>
  <si>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</si>
  <si>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</si>
  <si>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</si>
  <si>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</si>
  <si>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</si>
  <si>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</si>
  <si>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</si>
  <si>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</si>
  <si>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</si>
  <si>
    <t>CRC: 1SP243327/O-8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</si>
</sst>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3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266">
    <xf numFmtId="0" fontId="0" fillId="0" borderId="0" xfId="0">
      <alignment vertical="top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4" fontId="0" fillId="0" borderId="0" xfId="0" applyNumberFormat="1">
      <alignment vertical="top"/>
    </xf>
    <xf numFmtId="43" fontId="6" fillId="0" borderId="5" xfId="1" applyFont="1" applyFill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21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9" fontId="21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9" fontId="21" fillId="0" borderId="0" xfId="2" applyFont="1" applyFill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3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4" fontId="22" fillId="5" borderId="0" xfId="3" applyNumberFormat="1" applyFill="1"/>
    <xf numFmtId="49" fontId="22" fillId="0" borderId="0" xfId="3" applyNumberFormat="1"/>
    <xf numFmtId="43" fontId="22" fillId="0" borderId="0" xfId="1" applyFont="1"/>
    <xf numFmtId="166" fontId="22" fillId="0" borderId="0" xfId="1" applyNumberFormat="1" applyFont="1"/>
    <xf numFmtId="0" fontId="26" fillId="0" borderId="0" xfId="3" applyFont="1" applyAlignment="1">
      <alignment horizontal="center"/>
    </xf>
    <xf numFmtId="0" fontId="26" fillId="6" borderId="4" xfId="3" applyFont="1" applyFill="1" applyBorder="1"/>
    <xf numFmtId="0" fontId="26" fillId="6" borderId="4" xfId="3" applyFont="1" applyFill="1" applyBorder="1" applyAlignment="1">
      <alignment horizontal="center"/>
    </xf>
    <xf numFmtId="0" fontId="25" fillId="6" borderId="15" xfId="3" applyFont="1" applyFill="1" applyBorder="1"/>
    <xf numFmtId="167" fontId="25" fillId="6" borderId="15" xfId="1" applyNumberFormat="1" applyFont="1" applyFill="1" applyBorder="1"/>
    <xf numFmtId="0" fontId="27" fillId="0" borderId="5" xfId="3" applyFont="1" applyBorder="1"/>
    <xf numFmtId="167" fontId="27" fillId="0" borderId="5" xfId="1" applyNumberFormat="1" applyFont="1" applyBorder="1"/>
    <xf numFmtId="167" fontId="27" fillId="0" borderId="5" xfId="1" applyNumberFormat="1" applyFont="1" applyFill="1" applyBorder="1"/>
    <xf numFmtId="0" fontId="25" fillId="6" borderId="4" xfId="3" applyFont="1" applyFill="1" applyBorder="1"/>
    <xf numFmtId="167" fontId="26" fillId="6" borderId="4" xfId="1" applyNumberFormat="1" applyFont="1" applyFill="1" applyBorder="1"/>
    <xf numFmtId="167" fontId="22" fillId="0" borderId="5" xfId="3" applyNumberFormat="1" applyBorder="1"/>
    <xf numFmtId="167" fontId="22" fillId="0" borderId="5" xfId="1" applyNumberFormat="1" applyFont="1" applyBorder="1"/>
    <xf numFmtId="0" fontId="25" fillId="6" borderId="6" xfId="3" applyFont="1" applyFill="1" applyBorder="1"/>
    <xf numFmtId="167" fontId="22" fillId="6" borderId="6" xfId="3" applyNumberFormat="1" applyFill="1" applyBorder="1"/>
    <xf numFmtId="167" fontId="25" fillId="6" borderId="4" xfId="3" applyNumberFormat="1" applyFont="1" applyFill="1" applyBorder="1"/>
    <xf numFmtId="0" fontId="26" fillId="0" borderId="0" xfId="3" applyFont="1"/>
    <xf numFmtId="43" fontId="26" fillId="0" borderId="0" xfId="1" applyFont="1"/>
    <xf numFmtId="167" fontId="22" fillId="6" borderId="15" xfId="1" applyNumberFormat="1" applyFont="1" applyFill="1" applyBorder="1"/>
    <xf numFmtId="167" fontId="25" fillId="6" borderId="6" xfId="3" applyNumberFormat="1" applyFont="1" applyFill="1" applyBorder="1"/>
    <xf numFmtId="0" fontId="22" fillId="2" borderId="0" xfId="3" applyFill="1"/>
    <xf numFmtId="0" fontId="25" fillId="6" borderId="5" xfId="3" applyFont="1" applyFill="1" applyBorder="1" applyAlignment="1">
      <alignment horizontal="left" wrapText="1"/>
    </xf>
    <xf numFmtId="43" fontId="27" fillId="6" borderId="15" xfId="1" applyFont="1" applyFill="1" applyBorder="1"/>
    <xf numFmtId="0" fontId="26" fillId="0" borderId="5" xfId="3" applyFont="1" applyBorder="1"/>
    <xf numFmtId="0" fontId="22" fillId="0" borderId="6" xfId="3" applyBorder="1"/>
    <xf numFmtId="0" fontId="25" fillId="0" borderId="10" xfId="3" applyFont="1" applyBorder="1"/>
    <xf numFmtId="0" fontId="22" fillId="0" borderId="10" xfId="3" applyBorder="1"/>
    <xf numFmtId="0" fontId="22" fillId="0" borderId="5" xfId="3" applyBorder="1"/>
    <xf numFmtId="0" fontId="25" fillId="0" borderId="15" xfId="3" applyFont="1" applyBorder="1"/>
    <xf numFmtId="0" fontId="22" fillId="0" borderId="12" xfId="3" applyBorder="1"/>
    <xf numFmtId="0" fontId="22" fillId="0" borderId="13" xfId="3" applyBorder="1"/>
    <xf numFmtId="0" fontId="22" fillId="0" borderId="15" xfId="3" applyBorder="1"/>
    <xf numFmtId="0" fontId="25" fillId="6" borderId="4" xfId="3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horizontal="center" vertical="center" wrapText="1"/>
    </xf>
    <xf numFmtId="0" fontId="22" fillId="0" borderId="0" xfId="3" applyAlignment="1">
      <alignment horizontal="center" vertical="center" wrapText="1"/>
    </xf>
    <xf numFmtId="43" fontId="22" fillId="0" borderId="0" xfId="1" applyFont="1" applyAlignment="1">
      <alignment horizontal="center" vertical="center" wrapText="1"/>
    </xf>
    <xf numFmtId="43" fontId="25" fillId="6" borderId="15" xfId="1" applyFont="1" applyFill="1" applyBorder="1"/>
    <xf numFmtId="43" fontId="27" fillId="0" borderId="5" xfId="1" applyFont="1" applyFill="1" applyBorder="1"/>
    <xf numFmtId="43" fontId="27" fillId="0" borderId="5" xfId="3" applyNumberFormat="1" applyFont="1" applyBorder="1"/>
    <xf numFmtId="43" fontId="25" fillId="6" borderId="4" xfId="1" applyFont="1" applyFill="1" applyBorder="1"/>
    <xf numFmtId="43" fontId="25" fillId="6" borderId="4" xfId="3" applyNumberFormat="1" applyFont="1" applyFill="1" applyBorder="1"/>
    <xf numFmtId="0" fontId="25" fillId="0" borderId="5" xfId="3" applyFont="1" applyBorder="1"/>
    <xf numFmtId="0" fontId="25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3" fillId="0" borderId="0" xfId="3" applyFont="1"/>
    <xf numFmtId="0" fontId="18" fillId="0" borderId="0" xfId="0" applyFont="1" applyAlignment="1">
      <alignment vertical="center"/>
    </xf>
    <xf numFmtId="43" fontId="10" fillId="0" borderId="0" xfId="1" applyFont="1" applyFill="1" applyAlignment="1">
      <alignment vertical="center"/>
    </xf>
    <xf numFmtId="0" fontId="21" fillId="0" borderId="0" xfId="0" applyFont="1" applyAlignment="1">
      <alignment vertical="center" readingOrder="1"/>
    </xf>
    <xf numFmtId="43" fontId="26" fillId="0" borderId="0" xfId="3" applyNumberFormat="1" applyFont="1" applyAlignment="1">
      <alignment horizontal="center"/>
    </xf>
    <xf numFmtId="0" fontId="26" fillId="6" borderId="22" xfId="3" applyFont="1" applyFill="1" applyBorder="1" applyAlignment="1">
      <alignment horizontal="center" vertical="center" wrapText="1"/>
    </xf>
    <xf numFmtId="0" fontId="26" fillId="6" borderId="23" xfId="3" applyFont="1" applyFill="1" applyBorder="1" applyAlignment="1">
      <alignment horizontal="center" wrapText="1"/>
    </xf>
    <xf numFmtId="0" fontId="26" fillId="6" borderId="23" xfId="3" applyFont="1" applyFill="1" applyBorder="1"/>
    <xf numFmtId="167" fontId="25" fillId="6" borderId="22" xfId="1" applyNumberFormat="1" applyFont="1" applyFill="1" applyBorder="1"/>
    <xf numFmtId="167" fontId="25" fillId="6" borderId="23" xfId="1" applyNumberFormat="1" applyFont="1" applyFill="1" applyBorder="1"/>
    <xf numFmtId="167" fontId="25" fillId="6" borderId="26" xfId="1" applyNumberFormat="1" applyFont="1" applyFill="1" applyBorder="1"/>
    <xf numFmtId="0" fontId="27" fillId="0" borderId="27" xfId="3" applyFont="1" applyBorder="1"/>
    <xf numFmtId="167" fontId="22" fillId="0" borderId="28" xfId="3" applyNumberFormat="1" applyBorder="1"/>
    <xf numFmtId="167" fontId="22" fillId="0" borderId="27" xfId="3" applyNumberFormat="1" applyBorder="1"/>
    <xf numFmtId="167" fontId="22" fillId="0" borderId="29" xfId="3" applyNumberFormat="1" applyBorder="1"/>
    <xf numFmtId="167" fontId="22" fillId="0" borderId="27" xfId="1" applyNumberFormat="1" applyFont="1" applyBorder="1"/>
    <xf numFmtId="167" fontId="22" fillId="0" borderId="28" xfId="1" applyNumberFormat="1" applyFont="1" applyBorder="1"/>
    <xf numFmtId="167" fontId="27" fillId="0" borderId="28" xfId="3" applyNumberFormat="1" applyFont="1" applyBorder="1"/>
    <xf numFmtId="167" fontId="27" fillId="0" borderId="27" xfId="1" applyNumberFormat="1" applyFont="1" applyFill="1" applyBorder="1"/>
    <xf numFmtId="167" fontId="27" fillId="0" borderId="27" xfId="1" applyNumberFormat="1" applyFont="1" applyBorder="1"/>
    <xf numFmtId="167" fontId="27" fillId="0" borderId="28" xfId="1" applyNumberFormat="1" applyFont="1" applyFill="1" applyBorder="1"/>
    <xf numFmtId="167" fontId="27" fillId="0" borderId="27" xfId="3" applyNumberFormat="1" applyFont="1" applyBorder="1"/>
    <xf numFmtId="167" fontId="27" fillId="0" borderId="29" xfId="3" applyNumberFormat="1" applyFont="1" applyBorder="1"/>
    <xf numFmtId="167" fontId="26" fillId="6" borderId="22" xfId="1" applyNumberFormat="1" applyFont="1" applyFill="1" applyBorder="1"/>
    <xf numFmtId="0" fontId="27" fillId="0" borderId="30" xfId="3" applyFont="1" applyBorder="1"/>
    <xf numFmtId="167" fontId="22" fillId="0" borderId="31" xfId="3" applyNumberFormat="1" applyBorder="1"/>
    <xf numFmtId="0" fontId="26" fillId="6" borderId="22" xfId="3" applyFont="1" applyFill="1" applyBorder="1"/>
    <xf numFmtId="167" fontId="25" fillId="6" borderId="23" xfId="3" applyNumberFormat="1" applyFont="1" applyFill="1" applyBorder="1"/>
    <xf numFmtId="167" fontId="25" fillId="5" borderId="1" xfId="3" applyNumberFormat="1" applyFont="1" applyFill="1" applyBorder="1"/>
    <xf numFmtId="0" fontId="26" fillId="0" borderId="2" xfId="3" applyFont="1" applyBorder="1"/>
    <xf numFmtId="0" fontId="26" fillId="0" borderId="3" xfId="3" applyFont="1" applyBorder="1"/>
    <xf numFmtId="0" fontId="22" fillId="0" borderId="11" xfId="3" applyBorder="1"/>
    <xf numFmtId="0" fontId="27" fillId="0" borderId="10" xfId="3" applyFont="1" applyBorder="1"/>
    <xf numFmtId="167" fontId="26" fillId="6" borderId="23" xfId="1" applyNumberFormat="1" applyFont="1" applyFill="1" applyBorder="1"/>
    <xf numFmtId="167" fontId="22" fillId="0" borderId="27" xfId="1" applyNumberFormat="1" applyFont="1" applyFill="1" applyBorder="1"/>
    <xf numFmtId="167" fontId="28" fillId="5" borderId="12" xfId="3" applyNumberFormat="1" applyFont="1" applyFill="1" applyBorder="1"/>
    <xf numFmtId="0" fontId="29" fillId="0" borderId="13" xfId="3" applyFont="1" applyBorder="1"/>
    <xf numFmtId="0" fontId="26" fillId="0" borderId="14" xfId="3" applyFont="1" applyBorder="1"/>
    <xf numFmtId="167" fontId="25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5" fillId="7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0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2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9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wrapText="1" readingOrder="1"/>
    </xf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center" vertical="center" wrapText="1" readingOrder="1"/>
    </xf>
    <xf numFmtId="0" fontId="25" fillId="0" borderId="0" xfId="3" applyFont="1" applyAlignment="1">
      <alignment horizontal="center"/>
    </xf>
    <xf numFmtId="0" fontId="26" fillId="6" borderId="4" xfId="3" applyFont="1" applyFill="1" applyBorder="1" applyAlignment="1">
      <alignment horizontal="center"/>
    </xf>
    <xf numFmtId="167" fontId="25" fillId="6" borderId="15" xfId="1" applyNumberFormat="1" applyFont="1" applyFill="1" applyBorder="1" applyAlignment="1">
      <alignment horizontal="center"/>
    </xf>
    <xf numFmtId="167" fontId="27" fillId="0" borderId="10" xfId="1" applyNumberFormat="1" applyFont="1" applyBorder="1" applyAlignment="1">
      <alignment horizontal="center"/>
    </xf>
    <xf numFmtId="167" fontId="27" fillId="0" borderId="11" xfId="1" applyNumberFormat="1" applyFont="1" applyBorder="1" applyAlignment="1">
      <alignment horizontal="center"/>
    </xf>
    <xf numFmtId="167" fontId="27" fillId="0" borderId="10" xfId="1" applyNumberFormat="1" applyFont="1" applyFill="1" applyBorder="1" applyAlignment="1">
      <alignment horizontal="center"/>
    </xf>
    <xf numFmtId="167" fontId="27" fillId="0" borderId="11" xfId="1" applyNumberFormat="1" applyFont="1" applyFill="1" applyBorder="1" applyAlignment="1">
      <alignment horizontal="center"/>
    </xf>
    <xf numFmtId="167" fontId="26" fillId="6" borderId="4" xfId="1" applyNumberFormat="1" applyFont="1" applyFill="1" applyBorder="1" applyAlignment="1">
      <alignment horizontal="center"/>
    </xf>
    <xf numFmtId="167" fontId="22" fillId="0" borderId="10" xfId="1" applyNumberFormat="1" applyFont="1" applyBorder="1" applyAlignment="1">
      <alignment horizontal="center"/>
    </xf>
    <xf numFmtId="167" fontId="22" fillId="0" borderId="11" xfId="1" applyNumberFormat="1" applyFont="1" applyBorder="1" applyAlignment="1">
      <alignment horizontal="center"/>
    </xf>
    <xf numFmtId="167" fontId="22" fillId="6" borderId="1" xfId="3" applyNumberFormat="1" applyFill="1" applyBorder="1" applyAlignment="1">
      <alignment horizontal="center"/>
    </xf>
    <xf numFmtId="167" fontId="22" fillId="6" borderId="3" xfId="3" applyNumberFormat="1" applyFill="1" applyBorder="1" applyAlignment="1">
      <alignment horizontal="center"/>
    </xf>
    <xf numFmtId="167" fontId="25" fillId="6" borderId="4" xfId="3" applyNumberFormat="1" applyFont="1" applyFill="1" applyBorder="1" applyAlignment="1">
      <alignment horizontal="center"/>
    </xf>
    <xf numFmtId="167" fontId="22" fillId="6" borderId="15" xfId="1" applyNumberFormat="1" applyFont="1" applyFill="1" applyBorder="1" applyAlignment="1">
      <alignment horizontal="center"/>
    </xf>
    <xf numFmtId="167" fontId="22" fillId="0" borderId="10" xfId="3" applyNumberFormat="1" applyBorder="1" applyAlignment="1">
      <alignment horizontal="center"/>
    </xf>
    <xf numFmtId="167" fontId="22" fillId="0" borderId="11" xfId="3" applyNumberFormat="1" applyBorder="1" applyAlignment="1">
      <alignment horizontal="center"/>
    </xf>
    <xf numFmtId="167" fontId="25" fillId="6" borderId="6" xfId="3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167" fontId="25" fillId="6" borderId="15" xfId="3" applyNumberFormat="1" applyFont="1" applyFill="1" applyBorder="1" applyAlignment="1">
      <alignment horizontal="center" wrapText="1"/>
    </xf>
    <xf numFmtId="0" fontId="25" fillId="6" borderId="15" xfId="3" applyFont="1" applyFill="1" applyBorder="1" applyAlignment="1">
      <alignment horizontal="center" wrapText="1"/>
    </xf>
    <xf numFmtId="43" fontId="22" fillId="0" borderId="7" xfId="3" applyNumberFormat="1" applyBorder="1" applyAlignment="1">
      <alignment horizontal="center"/>
    </xf>
    <xf numFmtId="43" fontId="22" fillId="0" borderId="9" xfId="3" applyNumberFormat="1" applyBorder="1" applyAlignment="1">
      <alignment horizontal="center"/>
    </xf>
    <xf numFmtId="167" fontId="22" fillId="0" borderId="6" xfId="3" applyNumberFormat="1" applyBorder="1" applyAlignment="1">
      <alignment horizontal="center"/>
    </xf>
    <xf numFmtId="167" fontId="22" fillId="0" borderId="0" xfId="3" applyNumberFormat="1" applyAlignment="1">
      <alignment horizontal="center"/>
    </xf>
    <xf numFmtId="0" fontId="1" fillId="2" borderId="0" xfId="0" applyFont="1" applyFill="1" applyAlignment="1">
      <alignment horizontal="left" vertical="center" wrapText="1" readingOrder="1"/>
    </xf>
    <xf numFmtId="0" fontId="26" fillId="0" borderId="0" xfId="3" applyFont="1" applyAlignment="1">
      <alignment horizontal="center"/>
    </xf>
    <xf numFmtId="0" fontId="25" fillId="6" borderId="16" xfId="3" applyFont="1" applyFill="1" applyBorder="1" applyAlignment="1">
      <alignment horizontal="center" vertical="center"/>
    </xf>
    <xf numFmtId="0" fontId="25" fillId="6" borderId="21" xfId="3" applyFont="1" applyFill="1" applyBorder="1" applyAlignment="1">
      <alignment horizontal="center" vertical="center"/>
    </xf>
    <xf numFmtId="0" fontId="26" fillId="6" borderId="17" xfId="3" applyFont="1" applyFill="1" applyBorder="1" applyAlignment="1">
      <alignment horizontal="center"/>
    </xf>
    <xf numFmtId="0" fontId="26" fillId="6" borderId="18" xfId="3" applyFont="1" applyFill="1" applyBorder="1" applyAlignment="1">
      <alignment horizontal="center"/>
    </xf>
    <xf numFmtId="0" fontId="26" fillId="6" borderId="16" xfId="3" applyFont="1" applyFill="1" applyBorder="1" applyAlignment="1">
      <alignment horizontal="center" vertical="center" wrapText="1"/>
    </xf>
    <xf numFmtId="0" fontId="26" fillId="6" borderId="21" xfId="3" applyFont="1" applyFill="1" applyBorder="1" applyAlignment="1">
      <alignment horizontal="center" vertical="center" wrapText="1"/>
    </xf>
    <xf numFmtId="0" fontId="26" fillId="6" borderId="19" xfId="3" applyFont="1" applyFill="1" applyBorder="1" applyAlignment="1">
      <alignment horizontal="center" vertical="center" wrapText="1"/>
    </xf>
    <xf numFmtId="0" fontId="26" fillId="6" borderId="24" xfId="3" applyFont="1" applyFill="1" applyBorder="1" applyAlignment="1">
      <alignment horizontal="center" vertical="center" wrapText="1"/>
    </xf>
    <xf numFmtId="0" fontId="26" fillId="6" borderId="20" xfId="3" applyFont="1" applyFill="1" applyBorder="1" applyAlignment="1">
      <alignment horizontal="center" vertical="center" wrapText="1"/>
    </xf>
    <xf numFmtId="0" fontId="26" fillId="6" borderId="25" xfId="3" applyFont="1" applyFill="1" applyBorder="1" applyAlignment="1">
      <alignment horizontal="center" vertical="center" wrapText="1"/>
    </xf>
    <xf numFmtId="0" fontId="25" fillId="6" borderId="24" xfId="3" applyFont="1" applyFill="1" applyBorder="1" applyAlignment="1">
      <alignment horizontal="center" vertical="center"/>
    </xf>
    <xf numFmtId="0" fontId="26" fillId="6" borderId="32" xfId="3" applyFont="1" applyFill="1" applyBorder="1" applyAlignment="1">
      <alignment horizontal="center" vertical="center" wrapText="1"/>
    </xf>
    <xf numFmtId="0" fontId="26" fillId="6" borderId="30" xfId="3" applyFont="1" applyFill="1" applyBorder="1" applyAlignment="1">
      <alignment horizontal="center" vertical="center" wrapText="1"/>
    </xf>
  </cellXfs>
  <cellStyles count="4">
    <cellStyle name="Normal" xfId="0" builtinId="0"/>
    <cellStyle name="Normal_BALANÇO ORÇAMENTÁRIO MCASP - Nov15" xfId="3" xr:uid="{BE654E35-2DA9-46D1-BCB9-1AC596928045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9088CB0-A198-42ED-8105-45D5879D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B0AAD312-08AF-4542-91BB-29D80B721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27312F3C-AB2B-4D3D-9AD3-FED2197E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20/11.%20Novembro/Planilha%20FUMCAD%20(%20Mem&#243;ria%20de%20C&#225;lculo)%20Novembr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.F. 08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43831</v>
          </cell>
          <cell r="D1">
            <v>43862</v>
          </cell>
          <cell r="E1">
            <v>43891</v>
          </cell>
          <cell r="F1">
            <v>43922</v>
          </cell>
          <cell r="G1">
            <v>43952</v>
          </cell>
          <cell r="H1">
            <v>43983</v>
          </cell>
          <cell r="I1">
            <v>44013</v>
          </cell>
          <cell r="J1">
            <v>44044</v>
          </cell>
          <cell r="K1">
            <v>44075</v>
          </cell>
          <cell r="L1">
            <v>44105</v>
          </cell>
          <cell r="M1">
            <v>44136</v>
          </cell>
          <cell r="N1">
            <v>44166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16517256</v>
          </cell>
          <cell r="D4">
            <v>16517256</v>
          </cell>
          <cell r="E4">
            <v>16517256</v>
          </cell>
          <cell r="F4">
            <v>16517256</v>
          </cell>
          <cell r="G4">
            <v>16517256</v>
          </cell>
          <cell r="H4">
            <v>16517256</v>
          </cell>
          <cell r="I4">
            <v>16517256</v>
          </cell>
          <cell r="J4">
            <v>16517256</v>
          </cell>
          <cell r="K4">
            <v>16517256</v>
          </cell>
          <cell r="L4">
            <v>16517256</v>
          </cell>
          <cell r="M4">
            <v>16517256</v>
          </cell>
        </row>
        <row r="5">
          <cell r="B5" t="str">
            <v>Realizada no Mês</v>
          </cell>
          <cell r="C5">
            <v>905293.08</v>
          </cell>
          <cell r="D5">
            <v>695048.89</v>
          </cell>
          <cell r="E5">
            <v>768114.96</v>
          </cell>
          <cell r="F5">
            <v>614097.30000000005</v>
          </cell>
          <cell r="G5">
            <v>495193.98</v>
          </cell>
          <cell r="H5">
            <v>441431.82</v>
          </cell>
          <cell r="I5">
            <v>415269.02</v>
          </cell>
          <cell r="J5">
            <v>311021.23</v>
          </cell>
          <cell r="K5">
            <v>-120397.03</v>
          </cell>
          <cell r="L5">
            <v>253786.72</v>
          </cell>
          <cell r="M5">
            <v>239449.45</v>
          </cell>
        </row>
        <row r="6">
          <cell r="B6" t="str">
            <v>Realizada no Mês - CONCILIADO</v>
          </cell>
          <cell r="C6">
            <v>905293.08</v>
          </cell>
          <cell r="D6">
            <v>695048.89</v>
          </cell>
          <cell r="E6">
            <v>768114.96</v>
          </cell>
          <cell r="F6">
            <v>614097.30000000005</v>
          </cell>
          <cell r="G6">
            <v>495193.98</v>
          </cell>
          <cell r="H6">
            <v>441431.82</v>
          </cell>
          <cell r="I6">
            <v>415269.02</v>
          </cell>
          <cell r="J6">
            <v>311021.23</v>
          </cell>
          <cell r="K6">
            <v>-120397.03</v>
          </cell>
          <cell r="L6">
            <v>253786.72</v>
          </cell>
          <cell r="M6">
            <v>239449.45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905293.08</v>
          </cell>
          <cell r="D8">
            <v>1600341.97</v>
          </cell>
          <cell r="E8">
            <v>2368456.9300000002</v>
          </cell>
          <cell r="F8">
            <v>2982554.23</v>
          </cell>
          <cell r="G8">
            <v>3477748.21</v>
          </cell>
          <cell r="H8">
            <v>3919180.03</v>
          </cell>
          <cell r="I8">
            <v>4334449.05</v>
          </cell>
          <cell r="J8">
            <v>4645470.2799999993</v>
          </cell>
          <cell r="K8">
            <v>4525073.2499999991</v>
          </cell>
          <cell r="L8">
            <v>4778859.9699999988</v>
          </cell>
          <cell r="M8">
            <v>5018309.419999999</v>
          </cell>
          <cell r="N8">
            <v>5018309.419999999</v>
          </cell>
        </row>
        <row r="9">
          <cell r="B9" t="str">
            <v>Realizada até o Mês - CONCILIADO</v>
          </cell>
          <cell r="C9">
            <v>905293.08</v>
          </cell>
          <cell r="D9">
            <v>1600341.97</v>
          </cell>
          <cell r="E9">
            <v>2368456.9299999997</v>
          </cell>
          <cell r="F9">
            <v>2982554.2299999995</v>
          </cell>
          <cell r="G9">
            <v>3477748.2099999995</v>
          </cell>
          <cell r="H9">
            <v>3919180.0299999993</v>
          </cell>
          <cell r="I9">
            <v>4334449.0499999989</v>
          </cell>
          <cell r="J9">
            <v>4645470.2799999993</v>
          </cell>
          <cell r="K9">
            <v>4525073.2499999991</v>
          </cell>
          <cell r="L9">
            <v>4778859.9699999988</v>
          </cell>
          <cell r="M9">
            <v>5018309.419999999</v>
          </cell>
          <cell r="N9">
            <v>5018309.419999999</v>
          </cell>
        </row>
        <row r="10">
          <cell r="B10" t="str">
            <v>TOTAL</v>
          </cell>
          <cell r="C10">
            <v>905293.08</v>
          </cell>
          <cell r="D10">
            <v>1600341.97</v>
          </cell>
          <cell r="E10">
            <v>2368456.9299999997</v>
          </cell>
          <cell r="F10">
            <v>2982554.2299999995</v>
          </cell>
          <cell r="G10">
            <v>3477748.2099999995</v>
          </cell>
          <cell r="H10">
            <v>3919180.0299999993</v>
          </cell>
          <cell r="I10">
            <v>4334449.0499999989</v>
          </cell>
          <cell r="J10">
            <v>4645470.2799999993</v>
          </cell>
          <cell r="K10">
            <v>4525073.2499999991</v>
          </cell>
          <cell r="L10">
            <v>4778859.9699999988</v>
          </cell>
          <cell r="M10">
            <v>5018309.419999999</v>
          </cell>
          <cell r="N10">
            <v>5018309.419999999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70000000</v>
          </cell>
          <cell r="D12">
            <v>70000000</v>
          </cell>
          <cell r="E12">
            <v>70000000</v>
          </cell>
          <cell r="F12">
            <v>70000000</v>
          </cell>
          <cell r="G12">
            <v>70000000</v>
          </cell>
          <cell r="H12">
            <v>70000000</v>
          </cell>
          <cell r="I12">
            <v>70000000</v>
          </cell>
          <cell r="J12">
            <v>70000000</v>
          </cell>
          <cell r="K12">
            <v>70000000</v>
          </cell>
          <cell r="L12">
            <v>70000000</v>
          </cell>
          <cell r="M12">
            <v>70000000</v>
          </cell>
        </row>
        <row r="13">
          <cell r="B13" t="str">
            <v>Realizada no Mês</v>
          </cell>
          <cell r="C13">
            <v>87278.42</v>
          </cell>
          <cell r="D13">
            <v>145609.21</v>
          </cell>
          <cell r="E13">
            <v>330089.38</v>
          </cell>
          <cell r="F13">
            <v>483307.59</v>
          </cell>
          <cell r="G13">
            <v>203880.73</v>
          </cell>
          <cell r="H13">
            <v>1177053.49</v>
          </cell>
          <cell r="I13">
            <v>1318574.17</v>
          </cell>
          <cell r="J13">
            <v>1404691.42</v>
          </cell>
          <cell r="K13">
            <v>495537.25</v>
          </cell>
          <cell r="L13">
            <v>1301822.8400000001</v>
          </cell>
          <cell r="M13">
            <v>1433025.48</v>
          </cell>
        </row>
        <row r="14">
          <cell r="B14" t="str">
            <v>Realizada no Mês - CONCILIADO</v>
          </cell>
          <cell r="C14">
            <v>87278.42</v>
          </cell>
          <cell r="D14">
            <v>145609.21</v>
          </cell>
          <cell r="E14">
            <v>330089.38</v>
          </cell>
          <cell r="F14">
            <v>483307.59</v>
          </cell>
          <cell r="G14">
            <v>203880.73</v>
          </cell>
          <cell r="H14">
            <v>1177053.49</v>
          </cell>
          <cell r="I14">
            <v>1318574.17</v>
          </cell>
          <cell r="J14">
            <v>1404691.42</v>
          </cell>
          <cell r="K14">
            <v>495537.25</v>
          </cell>
          <cell r="L14">
            <v>1301822.8400000001</v>
          </cell>
          <cell r="M14">
            <v>1433025.48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87278.42</v>
          </cell>
          <cell r="D16">
            <v>232887.63</v>
          </cell>
          <cell r="E16">
            <v>562977.01</v>
          </cell>
          <cell r="F16">
            <v>1046284.6</v>
          </cell>
          <cell r="G16">
            <v>1250165.33</v>
          </cell>
          <cell r="H16">
            <v>2427218.8200000003</v>
          </cell>
          <cell r="I16">
            <v>3745792.99</v>
          </cell>
          <cell r="J16">
            <v>5150484.41</v>
          </cell>
          <cell r="K16">
            <v>5646021.6600000001</v>
          </cell>
          <cell r="L16">
            <v>6947844.5</v>
          </cell>
          <cell r="M16">
            <v>8380869.9800000004</v>
          </cell>
          <cell r="N16">
            <v>8380869.9800000004</v>
          </cell>
        </row>
        <row r="17">
          <cell r="B17" t="str">
            <v>Realizada até o Mês - CONCILIADO</v>
          </cell>
          <cell r="C17">
            <v>87278.42</v>
          </cell>
          <cell r="D17">
            <v>232887.63</v>
          </cell>
          <cell r="E17">
            <v>562977.01</v>
          </cell>
          <cell r="F17">
            <v>1046284.6</v>
          </cell>
          <cell r="G17">
            <v>1250165.33</v>
          </cell>
          <cell r="H17">
            <v>2427218.8200000003</v>
          </cell>
          <cell r="I17">
            <v>3745792.99</v>
          </cell>
          <cell r="J17">
            <v>5150484.41</v>
          </cell>
          <cell r="K17">
            <v>5646021.6600000001</v>
          </cell>
          <cell r="L17">
            <v>6947844.5</v>
          </cell>
          <cell r="M17">
            <v>8380869.9800000004</v>
          </cell>
          <cell r="N17">
            <v>8380869.9800000004</v>
          </cell>
        </row>
        <row r="18">
          <cell r="B18" t="str">
            <v>TOTAL</v>
          </cell>
          <cell r="C18">
            <v>87278.42</v>
          </cell>
          <cell r="D18">
            <v>232887.63</v>
          </cell>
          <cell r="E18">
            <v>562977.01</v>
          </cell>
          <cell r="F18">
            <v>1046284.6000000001</v>
          </cell>
          <cell r="G18">
            <v>1250165.33</v>
          </cell>
          <cell r="H18">
            <v>2427218.8200000003</v>
          </cell>
          <cell r="I18">
            <v>3745792.99</v>
          </cell>
          <cell r="J18">
            <v>5150484.41</v>
          </cell>
          <cell r="K18">
            <v>5646021.6600000001</v>
          </cell>
          <cell r="L18">
            <v>6947844.5</v>
          </cell>
          <cell r="M18">
            <v>8380869.9800000004</v>
          </cell>
          <cell r="N18">
            <v>8380869.9800000004</v>
          </cell>
        </row>
        <row r="20">
          <cell r="A20" t="str">
            <v>1.7.7.0.00.1.1.01.00.000.000.11.09.001 - Deduções FUMCAD - Imposto de Renda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E21">
            <v>-2478.66</v>
          </cell>
          <cell r="F21">
            <v>-127000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-129478.66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-2478.66</v>
          </cell>
          <cell r="F22">
            <v>-127000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129478.66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E24">
            <v>-2478.66</v>
          </cell>
          <cell r="F24">
            <v>-129478.66</v>
          </cell>
          <cell r="G24">
            <v>-129478.66</v>
          </cell>
          <cell r="H24">
            <v>-129478.66</v>
          </cell>
          <cell r="I24">
            <v>-129478.66</v>
          </cell>
          <cell r="J24">
            <v>-129478.66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-2478.66</v>
          </cell>
          <cell r="F25">
            <v>0</v>
          </cell>
          <cell r="G25">
            <v>0</v>
          </cell>
          <cell r="H25">
            <v>-129478.66</v>
          </cell>
          <cell r="I25">
            <v>-129478.66</v>
          </cell>
          <cell r="J25">
            <v>-129478.66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-2478.66</v>
          </cell>
          <cell r="F26">
            <v>-129478.66</v>
          </cell>
          <cell r="G26">
            <v>-129478.66</v>
          </cell>
          <cell r="H26">
            <v>-129478.66</v>
          </cell>
          <cell r="I26">
            <v>-129478.66</v>
          </cell>
          <cell r="J26">
            <v>-129478.66</v>
          </cell>
          <cell r="K26">
            <v>-129478.66</v>
          </cell>
          <cell r="L26">
            <v>-129478.66</v>
          </cell>
          <cell r="M26">
            <v>-129478.66</v>
          </cell>
          <cell r="N26">
            <v>-129478.66</v>
          </cell>
        </row>
        <row r="28">
          <cell r="A28" t="str">
            <v>1.9.2.2.99.1.1.01.00.000.000.11.01.000 - FUMCAD - Outras Restituições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Realizada no Mês - CONCILIADO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Realizada até o Mês - CONCILIADO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A36" t="str">
            <v>1.9.9.0.99.1.1.05.00.000.000.11.01.000 - FUMCAD</v>
          </cell>
          <cell r="B36" t="str">
            <v>Receita Prevista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Realizada no Mês</v>
          </cell>
          <cell r="C37">
            <v>28082.35</v>
          </cell>
          <cell r="D37">
            <v>2037.01</v>
          </cell>
          <cell r="E37">
            <v>6576.22</v>
          </cell>
          <cell r="F37">
            <v>900.48</v>
          </cell>
          <cell r="G37">
            <v>5834833.0700000003</v>
          </cell>
          <cell r="H37">
            <v>4467.28</v>
          </cell>
          <cell r="I37">
            <v>-5805097.0300000003</v>
          </cell>
          <cell r="J37">
            <v>2259541.73</v>
          </cell>
          <cell r="K37">
            <v>4080.67</v>
          </cell>
          <cell r="L37">
            <v>15455.63</v>
          </cell>
          <cell r="M37">
            <v>11114.32</v>
          </cell>
        </row>
        <row r="38">
          <cell r="B38" t="str">
            <v>Realizada no Mês - CONCILIADO</v>
          </cell>
          <cell r="C38">
            <v>0</v>
          </cell>
          <cell r="D38">
            <v>0</v>
          </cell>
          <cell r="E38">
            <v>6576.22</v>
          </cell>
          <cell r="F38">
            <v>900.48</v>
          </cell>
          <cell r="G38">
            <v>5834833.0700000003</v>
          </cell>
          <cell r="H38">
            <v>4467.28</v>
          </cell>
          <cell r="I38">
            <v>-5805097.0300000003</v>
          </cell>
          <cell r="J38">
            <v>2259541.73</v>
          </cell>
          <cell r="K38">
            <v>4080.67</v>
          </cell>
          <cell r="L38">
            <v>15455.63</v>
          </cell>
          <cell r="M38">
            <v>11114.32</v>
          </cell>
          <cell r="N38">
            <v>0</v>
          </cell>
        </row>
        <row r="39">
          <cell r="B39" t="str">
            <v>DIFERENÇA</v>
          </cell>
          <cell r="C39">
            <v>-28082.35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até o Mês</v>
          </cell>
          <cell r="C40">
            <v>28082.35</v>
          </cell>
          <cell r="D40">
            <v>30119.360000000001</v>
          </cell>
          <cell r="E40">
            <v>36695.58</v>
          </cell>
          <cell r="F40">
            <v>37596.060000000005</v>
          </cell>
          <cell r="G40">
            <v>5872429.1299999999</v>
          </cell>
          <cell r="H40">
            <v>5876896.4100000001</v>
          </cell>
          <cell r="I40">
            <v>71799.38</v>
          </cell>
          <cell r="J40">
            <v>2331341.11</v>
          </cell>
          <cell r="K40">
            <v>2335421.7799999998</v>
          </cell>
          <cell r="L40">
            <v>0</v>
          </cell>
          <cell r="M40">
            <v>0</v>
          </cell>
        </row>
        <row r="41">
          <cell r="B41" t="str">
            <v>Realizada até o Mês - CONCILIADO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TOTAL</v>
          </cell>
          <cell r="C42">
            <v>0</v>
          </cell>
          <cell r="D42">
            <v>0</v>
          </cell>
          <cell r="E42">
            <v>36695.58</v>
          </cell>
          <cell r="F42">
            <v>37596.060000000005</v>
          </cell>
          <cell r="G42">
            <v>5872429.1299999999</v>
          </cell>
          <cell r="H42">
            <v>5876896.4100000001</v>
          </cell>
          <cell r="I42">
            <v>71799.379999999888</v>
          </cell>
          <cell r="J42">
            <v>2331341.11</v>
          </cell>
          <cell r="K42">
            <v>2335421.7799999998</v>
          </cell>
          <cell r="L42">
            <v>2350877.4099999997</v>
          </cell>
          <cell r="M42">
            <v>2361991.7299999995</v>
          </cell>
          <cell r="N42">
            <v>2361991.7299999995</v>
          </cell>
        </row>
        <row r="44">
          <cell r="A44" t="str">
            <v>1.9.9.0.99.1.1.05.00.000.000.11.09.001 Deduções FUMCAD</v>
          </cell>
          <cell r="B44" t="str">
            <v>Receita Prevista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Realizada no Mês</v>
          </cell>
          <cell r="E45">
            <v>-20800</v>
          </cell>
          <cell r="F45">
            <v>0</v>
          </cell>
          <cell r="G45">
            <v>0</v>
          </cell>
          <cell r="H45">
            <v>-5760</v>
          </cell>
          <cell r="I45">
            <v>0</v>
          </cell>
          <cell r="K45">
            <v>-56000</v>
          </cell>
        </row>
        <row r="46">
          <cell r="B46" t="str">
            <v>Realizada no Mês - CONCILIADO</v>
          </cell>
          <cell r="C46">
            <v>0</v>
          </cell>
          <cell r="D46">
            <v>0</v>
          </cell>
          <cell r="E46">
            <v>-20800</v>
          </cell>
          <cell r="F46">
            <v>0</v>
          </cell>
          <cell r="G46">
            <v>0</v>
          </cell>
          <cell r="H46">
            <v>-5760</v>
          </cell>
          <cell r="I46">
            <v>0</v>
          </cell>
          <cell r="J46">
            <v>0</v>
          </cell>
          <cell r="K46">
            <v>-56000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DIFERENÇA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até o Mês</v>
          </cell>
          <cell r="E48">
            <v>-20800</v>
          </cell>
          <cell r="F48">
            <v>-20800</v>
          </cell>
          <cell r="G48">
            <v>-20800</v>
          </cell>
          <cell r="H48">
            <v>-26560</v>
          </cell>
          <cell r="I48">
            <v>-26560</v>
          </cell>
          <cell r="J48">
            <v>-26560</v>
          </cell>
          <cell r="K48">
            <v>-82560</v>
          </cell>
        </row>
        <row r="49">
          <cell r="B49" t="str">
            <v>Realizada até o Mês - CONCILIADO</v>
          </cell>
          <cell r="C49">
            <v>0</v>
          </cell>
          <cell r="D49">
            <v>0</v>
          </cell>
          <cell r="E49">
            <v>-20800</v>
          </cell>
          <cell r="F49">
            <v>900.48</v>
          </cell>
          <cell r="G49">
            <v>5834833.0700000003</v>
          </cell>
          <cell r="H49">
            <v>4467.28</v>
          </cell>
          <cell r="I49">
            <v>-5805097.0300000003</v>
          </cell>
          <cell r="J49">
            <v>2259541.73</v>
          </cell>
          <cell r="K49">
            <v>4080.67</v>
          </cell>
          <cell r="L49">
            <v>15455.63</v>
          </cell>
          <cell r="M49">
            <v>11114.32</v>
          </cell>
          <cell r="N49">
            <v>0</v>
          </cell>
        </row>
        <row r="50">
          <cell r="B50" t="str">
            <v>TOTAL</v>
          </cell>
          <cell r="C50">
            <v>0</v>
          </cell>
          <cell r="D50">
            <v>0</v>
          </cell>
          <cell r="E50">
            <v>-20800</v>
          </cell>
          <cell r="F50">
            <v>-20800</v>
          </cell>
          <cell r="G50">
            <v>-20800</v>
          </cell>
          <cell r="H50">
            <v>-26560</v>
          </cell>
          <cell r="I50">
            <v>-26560</v>
          </cell>
          <cell r="J50">
            <v>-26560</v>
          </cell>
          <cell r="K50">
            <v>-82560</v>
          </cell>
          <cell r="L50">
            <v>-82560</v>
          </cell>
          <cell r="M50">
            <v>-82560</v>
          </cell>
          <cell r="N50">
            <v>-82560</v>
          </cell>
        </row>
        <row r="51">
          <cell r="B51" t="str">
            <v>TOTAL GERAL</v>
          </cell>
          <cell r="C51">
            <v>992571.5</v>
          </cell>
          <cell r="D51">
            <v>1833229.6</v>
          </cell>
          <cell r="E51">
            <v>2944850.8599999994</v>
          </cell>
          <cell r="F51">
            <v>3916156.2299999995</v>
          </cell>
          <cell r="G51">
            <v>10450064.009999998</v>
          </cell>
          <cell r="H51">
            <v>12067256.6</v>
          </cell>
          <cell r="I51">
            <v>7996002.7599999988</v>
          </cell>
          <cell r="J51">
            <v>11971257.139999999</v>
          </cell>
          <cell r="K51">
            <v>12294478.029999999</v>
          </cell>
          <cell r="L51">
            <v>13865543.219999999</v>
          </cell>
          <cell r="M51">
            <v>15549132.469999999</v>
          </cell>
          <cell r="N51">
            <v>15549132.469999999</v>
          </cell>
        </row>
        <row r="53">
          <cell r="A53" t="str">
            <v>FONTE 08 - Tesouro Municipal - Recursos Vinculados</v>
          </cell>
        </row>
        <row r="54">
          <cell r="A54" t="str">
            <v>1.9.1.0.08.1.1.02.00.000.11.01.000 - FUMCAD - Multas Decorrentes De Sentenças Judiciais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C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FONTE 08 - Tesouro Municipal - Recursos Vinculados</v>
          </cell>
        </row>
        <row r="63">
          <cell r="A63" t="str">
            <v>1.7.4.0.00.1.1.01.13.000.000.11.01.000 Transf.Instituições Privadas - FUMCAD Doações Direcionadas[</v>
          </cell>
          <cell r="B63" t="str">
            <v>Receita Prevista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Realizada no Mês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Realizada no Mês - CONCILIADO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DIFERENÇA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Realizada até o Mês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Realizada até o Mês - CONCILIADO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</v>
          </cell>
        </row>
        <row r="69">
          <cell r="B69" t="str">
            <v>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1.7.7.0.00.1.1.10.00.000.11.01.000 Transf. Pessoas Fisicas - FUMCAD Doações Direcionadas</v>
          </cell>
          <cell r="B70" t="str">
            <v>Receita Prevista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Realizada no Mês</v>
          </cell>
          <cell r="L71">
            <v>0</v>
          </cell>
          <cell r="N71">
            <v>0</v>
          </cell>
        </row>
        <row r="72">
          <cell r="B72" t="str">
            <v>Realizada no Mês - CONCILIADO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DIFERENÇA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Realizada até o Mês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Realizada até o Mês - CONCILIADO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B76" t="str">
            <v>TOTAL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7.9.1.0.08.1.1.01.00.000.000.11.01.000 Multas Decorrentes de Sentenças Judiciais - FUMCAD</v>
          </cell>
          <cell r="B77" t="str">
            <v>Receita Prevista</v>
          </cell>
          <cell r="C77">
            <v>4337525</v>
          </cell>
          <cell r="D77">
            <v>4337525</v>
          </cell>
          <cell r="E77">
            <v>4337525</v>
          </cell>
          <cell r="F77">
            <v>4337525</v>
          </cell>
          <cell r="G77">
            <v>4337525</v>
          </cell>
          <cell r="H77">
            <v>4337525</v>
          </cell>
          <cell r="I77">
            <v>4337525</v>
          </cell>
          <cell r="J77">
            <v>4337525</v>
          </cell>
          <cell r="K77">
            <v>4337525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Realizada no Mês</v>
          </cell>
          <cell r="E78">
            <v>0</v>
          </cell>
          <cell r="G78">
            <v>0</v>
          </cell>
          <cell r="H78">
            <v>0</v>
          </cell>
          <cell r="I78">
            <v>5834833.0700000003</v>
          </cell>
          <cell r="J78">
            <v>0</v>
          </cell>
          <cell r="K78">
            <v>1863968.79</v>
          </cell>
          <cell r="L78">
            <v>226627.07</v>
          </cell>
          <cell r="M78">
            <v>235800.53</v>
          </cell>
          <cell r="N78">
            <v>0</v>
          </cell>
        </row>
        <row r="79">
          <cell r="B79" t="str">
            <v>Realizada no Mês - CONCILIADO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5834833.0700000003</v>
          </cell>
          <cell r="J79">
            <v>0</v>
          </cell>
          <cell r="K79">
            <v>1863968.79</v>
          </cell>
          <cell r="L79">
            <v>226627.07</v>
          </cell>
          <cell r="M79">
            <v>235800.53</v>
          </cell>
          <cell r="N79">
            <v>0</v>
          </cell>
        </row>
        <row r="80">
          <cell r="B80" t="str">
            <v>DIFERENÇA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Realizada até o Mês</v>
          </cell>
          <cell r="G81">
            <v>0</v>
          </cell>
          <cell r="H81">
            <v>0</v>
          </cell>
          <cell r="I81">
            <v>5834833.0700000003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Realizada até o Mês - CONCILIADO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5834833.0700000003</v>
          </cell>
          <cell r="J82">
            <v>5834833.0700000003</v>
          </cell>
          <cell r="K82">
            <v>7698801.8600000003</v>
          </cell>
          <cell r="L82">
            <v>7925428.9300000006</v>
          </cell>
          <cell r="M82">
            <v>8161229.4600000009</v>
          </cell>
          <cell r="N82">
            <v>8161229.4600000009</v>
          </cell>
        </row>
        <row r="83">
          <cell r="B83" t="str">
            <v>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5834833.0700000003</v>
          </cell>
          <cell r="J83">
            <v>5834833.0700000003</v>
          </cell>
          <cell r="K83">
            <v>7698801.8600000003</v>
          </cell>
          <cell r="L83">
            <v>7925428.9300000006</v>
          </cell>
          <cell r="M83">
            <v>8161229.4600000009</v>
          </cell>
          <cell r="N83">
            <v>8161229.4600000009</v>
          </cell>
        </row>
        <row r="85">
          <cell r="A85" t="str">
            <v>RAZÃO DE ARRECADAÇÃO</v>
          </cell>
        </row>
        <row r="86">
          <cell r="A86" t="str">
            <v>1.3.2.1.00.5.1.01.06.022.001.11.01.000</v>
          </cell>
          <cell r="B86" t="str">
            <v>(25955) - FUMCAD</v>
          </cell>
          <cell r="C86">
            <v>905293.08</v>
          </cell>
          <cell r="D86">
            <v>695048.89</v>
          </cell>
          <cell r="E86">
            <v>768114.96</v>
          </cell>
          <cell r="F86">
            <v>614097.30000000005</v>
          </cell>
          <cell r="G86">
            <v>495193.98</v>
          </cell>
          <cell r="H86">
            <v>441431.82</v>
          </cell>
          <cell r="I86">
            <v>415269.02</v>
          </cell>
          <cell r="J86">
            <v>311021.23</v>
          </cell>
          <cell r="K86">
            <v>-120397.03</v>
          </cell>
          <cell r="L86">
            <v>253786.72</v>
          </cell>
          <cell r="M86">
            <v>239449.45</v>
          </cell>
          <cell r="N86">
            <v>0</v>
          </cell>
        </row>
        <row r="87">
          <cell r="B87" t="str">
            <v>Valores RENDIMENTO DA CONTA SME - PROJETO MAIS ESCOLA</v>
          </cell>
          <cell r="C87">
            <v>54210.35</v>
          </cell>
          <cell r="D87">
            <v>39529.86</v>
          </cell>
          <cell r="E87">
            <v>45605.58</v>
          </cell>
          <cell r="F87">
            <v>35691.230000000003</v>
          </cell>
          <cell r="G87">
            <v>28445.08</v>
          </cell>
          <cell r="H87">
            <v>25433.75</v>
          </cell>
          <cell r="I87">
            <v>23937.4</v>
          </cell>
          <cell r="J87">
            <v>17837.89</v>
          </cell>
          <cell r="K87">
            <v>-6849.7</v>
          </cell>
          <cell r="L87">
            <v>14742.92</v>
          </cell>
          <cell r="M87">
            <v>15742.68</v>
          </cell>
          <cell r="O87">
            <v>294327.03999999992</v>
          </cell>
        </row>
        <row r="88">
          <cell r="A88" t="str">
            <v>1.7.7.0.00.1.1.00.00.000.000.11.01.000</v>
          </cell>
          <cell r="B88" t="str">
            <v>(28460) - FUMCAD - Imposto de Renda</v>
          </cell>
          <cell r="C88">
            <v>87278.42</v>
          </cell>
          <cell r="D88">
            <v>145609.21</v>
          </cell>
          <cell r="E88">
            <v>330089.38</v>
          </cell>
          <cell r="F88">
            <v>483307.59</v>
          </cell>
          <cell r="G88">
            <v>203880.73</v>
          </cell>
          <cell r="H88">
            <v>1177053.49</v>
          </cell>
          <cell r="I88">
            <v>1318574.17</v>
          </cell>
          <cell r="J88">
            <v>1404691.42</v>
          </cell>
          <cell r="K88">
            <v>495537.25</v>
          </cell>
          <cell r="L88">
            <v>1301822.8400000001</v>
          </cell>
          <cell r="M88">
            <v>1433025.48</v>
          </cell>
          <cell r="N88">
            <v>0</v>
          </cell>
        </row>
        <row r="89">
          <cell r="B89" t="str">
            <v>Valores Indevidos (-)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1.7.7.0.00.1.1.01.00.000.000.11.09.001</v>
          </cell>
          <cell r="B90" t="str">
            <v>(28462) Deduções FUMCAD - Imposto de Renda</v>
          </cell>
          <cell r="C90">
            <v>0</v>
          </cell>
          <cell r="D90">
            <v>0</v>
          </cell>
          <cell r="E90">
            <v>-2478.66</v>
          </cell>
          <cell r="F90">
            <v>-127000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A91" t="str">
            <v>1.9.2.2.99.1.1.01.00.000.000.11.01.000</v>
          </cell>
          <cell r="B91" t="str">
            <v>(28746) - FUMCAD - Outras Restit.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 xml:space="preserve">1.9.9.0.99.1.1.05.00.000.000.11.01.000 </v>
          </cell>
          <cell r="B92" t="str">
            <v>(28988) FUMCAD</v>
          </cell>
          <cell r="C92">
            <v>28082.35</v>
          </cell>
          <cell r="D92">
            <v>2037.01</v>
          </cell>
          <cell r="E92">
            <v>6576.22</v>
          </cell>
          <cell r="F92">
            <v>900.48</v>
          </cell>
          <cell r="G92">
            <v>5834833.0700000003</v>
          </cell>
          <cell r="H92">
            <v>4467.28</v>
          </cell>
          <cell r="I92">
            <v>-5805097.0300000003</v>
          </cell>
          <cell r="J92">
            <v>2259541.73</v>
          </cell>
          <cell r="K92">
            <v>4080.67</v>
          </cell>
          <cell r="L92">
            <v>15455.63</v>
          </cell>
          <cell r="M92">
            <v>11114.32</v>
          </cell>
        </row>
        <row r="93">
          <cell r="A93" t="str">
            <v>1.9.1.0.08.1.1.02.00.000.000.11.01.000</v>
          </cell>
          <cell r="B93" t="str">
            <v>(28601) - FUMCAD - Multas Judiciais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1.9.9.0.99.1.1.05.00.000.000.11.09.001</v>
          </cell>
          <cell r="B94" t="str">
            <v>(28990) Deduções FUMCAD</v>
          </cell>
          <cell r="C94">
            <v>0</v>
          </cell>
          <cell r="D94">
            <v>0</v>
          </cell>
          <cell r="E94">
            <v>-20800</v>
          </cell>
          <cell r="F94">
            <v>0</v>
          </cell>
          <cell r="G94">
            <v>0</v>
          </cell>
          <cell r="H94">
            <v>-5760</v>
          </cell>
          <cell r="I94">
            <v>0</v>
          </cell>
          <cell r="J94">
            <v>0</v>
          </cell>
          <cell r="K94">
            <v>-56000</v>
          </cell>
          <cell r="L94">
            <v>0</v>
          </cell>
          <cell r="M94">
            <v>0</v>
          </cell>
        </row>
        <row r="95">
          <cell r="A95" t="str">
            <v>1.7.4.0.00.1.1.01.13.000.000.11.01.000</v>
          </cell>
          <cell r="B95" t="str">
            <v>(33693)Tranf.Inst.Priv.-Doações Direc.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1.7.7.0.00.1.1.10.00.000.000.11.01.000</v>
          </cell>
          <cell r="B96" t="str">
            <v>(33696)Tranf.Inst.Pes.Fis.-Doações Direc.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 t="str">
            <v>TOTAL</v>
          </cell>
          <cell r="C98">
            <v>1020653.85</v>
          </cell>
          <cell r="D98">
            <v>842695.11</v>
          </cell>
          <cell r="E98">
            <v>1081501.8999999999</v>
          </cell>
          <cell r="F98">
            <v>971305.37000000011</v>
          </cell>
          <cell r="G98">
            <v>6533907.7800000003</v>
          </cell>
          <cell r="H98">
            <v>1622952.59</v>
          </cell>
          <cell r="I98">
            <v>-4071253.8400000003</v>
          </cell>
          <cell r="J98">
            <v>3975254.38</v>
          </cell>
          <cell r="K98">
            <v>323220.88999999996</v>
          </cell>
          <cell r="L98">
            <v>1571065.19</v>
          </cell>
          <cell r="M98">
            <v>1683589.25</v>
          </cell>
          <cell r="N98">
            <v>0</v>
          </cell>
        </row>
        <row r="100">
          <cell r="A100" t="str">
            <v>RAZÃO DE DISPONÍVEIS</v>
          </cell>
        </row>
        <row r="101">
          <cell r="A101" t="str">
            <v>Conta Corrente</v>
          </cell>
          <cell r="B101" t="str">
            <v>Saldo Inicial</v>
          </cell>
        </row>
        <row r="102">
          <cell r="A102" t="str">
            <v>Cód. 100738 - 8946-X</v>
          </cell>
          <cell r="B102">
            <v>1470</v>
          </cell>
          <cell r="C102">
            <v>1470</v>
          </cell>
          <cell r="D102">
            <v>1470</v>
          </cell>
          <cell r="E102">
            <v>1470</v>
          </cell>
          <cell r="F102">
            <v>1470</v>
          </cell>
          <cell r="G102">
            <v>1470</v>
          </cell>
          <cell r="H102">
            <v>1470</v>
          </cell>
          <cell r="I102">
            <v>1470</v>
          </cell>
          <cell r="J102">
            <v>1470</v>
          </cell>
          <cell r="K102">
            <v>1470</v>
          </cell>
          <cell r="L102">
            <v>1470</v>
          </cell>
          <cell r="M102">
            <v>0</v>
          </cell>
        </row>
        <row r="103">
          <cell r="A103" t="str">
            <v>Cód. 100738 - Aplicação</v>
          </cell>
          <cell r="B103">
            <v>223187126.41</v>
          </cell>
          <cell r="C103">
            <v>220063977.59999999</v>
          </cell>
          <cell r="D103">
            <v>215174258.28999999</v>
          </cell>
          <cell r="E103">
            <v>203083585.46000001</v>
          </cell>
          <cell r="F103">
            <v>200835267.49000001</v>
          </cell>
          <cell r="G103">
            <v>203256668.93000001</v>
          </cell>
          <cell r="H103">
            <v>201825726.53999999</v>
          </cell>
          <cell r="I103">
            <v>203044264.28999999</v>
          </cell>
          <cell r="J103">
            <v>203364897.81</v>
          </cell>
          <cell r="K103">
            <v>205490512.90000001</v>
          </cell>
          <cell r="L103">
            <v>176208707.21000001</v>
          </cell>
          <cell r="M103">
            <v>177637062.22</v>
          </cell>
        </row>
        <row r="104">
          <cell r="A104" t="str">
            <v>Cód. 100071 - 5738-X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A105" t="str">
            <v>Cód. 100071 - Aplicação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Cód. 100072 - 5737-1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Ajuste - Desvinculação de Receita 2018</v>
          </cell>
          <cell r="B107">
            <v>-7288706.7699999996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-3620176.97</v>
          </cell>
          <cell r="K107">
            <v>0</v>
          </cell>
          <cell r="L107">
            <v>29013614.66</v>
          </cell>
          <cell r="M107">
            <v>0</v>
          </cell>
          <cell r="N107">
            <v>0</v>
          </cell>
        </row>
        <row r="108">
          <cell r="A108" t="str">
            <v>Cód. 100991 - 18114-X</v>
          </cell>
          <cell r="B108">
            <v>1776551.13</v>
          </cell>
          <cell r="C108">
            <v>110</v>
          </cell>
          <cell r="D108">
            <v>580</v>
          </cell>
          <cell r="E108">
            <v>3960</v>
          </cell>
          <cell r="F108">
            <v>8288.3700000000008</v>
          </cell>
          <cell r="G108">
            <v>5100</v>
          </cell>
          <cell r="H108">
            <v>0</v>
          </cell>
          <cell r="I108">
            <v>0</v>
          </cell>
          <cell r="J108">
            <v>2696</v>
          </cell>
          <cell r="K108">
            <v>172308.22</v>
          </cell>
          <cell r="L108">
            <v>140731</v>
          </cell>
          <cell r="M108">
            <v>382311.86</v>
          </cell>
        </row>
        <row r="109">
          <cell r="A109" t="str">
            <v>TOTAL</v>
          </cell>
          <cell r="B109">
            <v>217676440.76999998</v>
          </cell>
          <cell r="C109">
            <v>220065557.59999999</v>
          </cell>
          <cell r="D109">
            <v>215176308.28999999</v>
          </cell>
          <cell r="E109">
            <v>203089015.46000001</v>
          </cell>
          <cell r="F109">
            <v>200845025.86000001</v>
          </cell>
          <cell r="G109">
            <v>203263238.93000001</v>
          </cell>
          <cell r="H109">
            <v>201827196.53999999</v>
          </cell>
          <cell r="I109">
            <v>203045734.28999999</v>
          </cell>
          <cell r="J109">
            <v>199748886.84</v>
          </cell>
          <cell r="K109">
            <v>205664291.12</v>
          </cell>
          <cell r="L109">
            <v>205364522.87</v>
          </cell>
          <cell r="M109">
            <v>178019374.08000001</v>
          </cell>
          <cell r="N109">
            <v>0</v>
          </cell>
        </row>
        <row r="111">
          <cell r="A111" t="str">
            <v>ACOMPANHAMENTO DE EXECUÇÃO ORÇAMENTÁRIA</v>
          </cell>
        </row>
        <row r="112">
          <cell r="A112" t="str">
            <v>POR FONTE RECURSO</v>
          </cell>
        </row>
        <row r="113">
          <cell r="A113" t="str">
            <v>FONTE 05</v>
          </cell>
          <cell r="B113" t="str">
            <v>Empenhado Até o Mês</v>
          </cell>
          <cell r="C113">
            <v>10876477.07</v>
          </cell>
          <cell r="D113">
            <v>30566285.07</v>
          </cell>
          <cell r="E113">
            <v>32538910.350000001</v>
          </cell>
          <cell r="F113">
            <v>33478943.59</v>
          </cell>
          <cell r="G113">
            <v>33815250.93</v>
          </cell>
          <cell r="H113">
            <v>34517472.969999999</v>
          </cell>
          <cell r="I113">
            <v>34556984.170000002</v>
          </cell>
          <cell r="J113">
            <v>35124546.149999999</v>
          </cell>
          <cell r="K113">
            <v>36489392.060000002</v>
          </cell>
          <cell r="L113">
            <v>38571714.560000002</v>
          </cell>
          <cell r="M113">
            <v>39164043.530000001</v>
          </cell>
        </row>
        <row r="114">
          <cell r="B114" t="str">
            <v>Pago Até o Mês</v>
          </cell>
          <cell r="C114">
            <v>0</v>
          </cell>
          <cell r="D114">
            <v>532661.68999999994</v>
          </cell>
          <cell r="E114">
            <v>19000390.300000001</v>
          </cell>
          <cell r="F114">
            <v>22146536.109999999</v>
          </cell>
          <cell r="G114">
            <v>26233785.739999998</v>
          </cell>
          <cell r="H114">
            <v>29067037.300000001</v>
          </cell>
          <cell r="I114">
            <v>29615491.050000001</v>
          </cell>
          <cell r="J114">
            <v>29615491.050000001</v>
          </cell>
          <cell r="K114">
            <v>30094738.280000001</v>
          </cell>
          <cell r="L114">
            <v>31672885.710000001</v>
          </cell>
          <cell r="M114">
            <v>31862527.75</v>
          </cell>
        </row>
        <row r="115">
          <cell r="B115" t="str">
            <v>Liquidado A Pagar</v>
          </cell>
          <cell r="C115">
            <v>0</v>
          </cell>
          <cell r="D115">
            <v>7321630.1299999999</v>
          </cell>
          <cell r="E115">
            <v>266397</v>
          </cell>
          <cell r="F115">
            <v>2628013.4300000002</v>
          </cell>
          <cell r="G115">
            <v>1418305.06</v>
          </cell>
          <cell r="H115">
            <v>166570</v>
          </cell>
          <cell r="I115">
            <v>0</v>
          </cell>
          <cell r="J115">
            <v>203409.17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 xml:space="preserve">     Retenção Extra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NÃO Liquidado A Pagar</v>
          </cell>
          <cell r="C117">
            <v>10876477.07</v>
          </cell>
          <cell r="D117">
            <v>22711993.25</v>
          </cell>
          <cell r="E117">
            <v>13272123.050000001</v>
          </cell>
          <cell r="F117">
            <v>8704394.0500000007</v>
          </cell>
          <cell r="G117">
            <v>6163160.1299999999</v>
          </cell>
          <cell r="H117">
            <v>5283865.6699999981</v>
          </cell>
          <cell r="I117">
            <v>4941493.120000001</v>
          </cell>
          <cell r="J117">
            <v>5305645.9299999978</v>
          </cell>
          <cell r="K117">
            <v>6394653.7800000012</v>
          </cell>
          <cell r="L117">
            <v>6898828.8500000015</v>
          </cell>
          <cell r="M117">
            <v>7301515.7800000012</v>
          </cell>
          <cell r="N117">
            <v>0</v>
          </cell>
        </row>
        <row r="119">
          <cell r="A119" t="str">
            <v>FONTE 00</v>
          </cell>
          <cell r="B119" t="str">
            <v>Empenhado Até o Mês</v>
          </cell>
          <cell r="C119">
            <v>0</v>
          </cell>
          <cell r="D119">
            <v>12000</v>
          </cell>
          <cell r="E119">
            <v>17504.330000000002</v>
          </cell>
          <cell r="F119">
            <v>17504.330000000002</v>
          </cell>
          <cell r="G119">
            <v>17504.330000000002</v>
          </cell>
          <cell r="H119">
            <v>17504.330000000002</v>
          </cell>
          <cell r="I119">
            <v>17504.330000000002</v>
          </cell>
          <cell r="J119">
            <v>18194.330000000002</v>
          </cell>
          <cell r="K119">
            <v>82094.33</v>
          </cell>
          <cell r="L119">
            <v>88634.73</v>
          </cell>
          <cell r="M119">
            <v>88634.73</v>
          </cell>
        </row>
        <row r="120">
          <cell r="B120" t="str">
            <v>Pago Até o Mês</v>
          </cell>
          <cell r="C120">
            <v>0</v>
          </cell>
          <cell r="D120">
            <v>0</v>
          </cell>
          <cell r="E120">
            <v>419.85</v>
          </cell>
          <cell r="F120">
            <v>1323.1</v>
          </cell>
          <cell r="G120">
            <v>1544.84</v>
          </cell>
          <cell r="H120">
            <v>1907.54</v>
          </cell>
          <cell r="I120">
            <v>2170.09</v>
          </cell>
          <cell r="J120">
            <v>3107.32</v>
          </cell>
          <cell r="K120">
            <v>3107.32</v>
          </cell>
          <cell r="L120">
            <v>3157.15</v>
          </cell>
          <cell r="M120">
            <v>5337.65</v>
          </cell>
        </row>
        <row r="121">
          <cell r="B121" t="str">
            <v>Liquidado A Pagar</v>
          </cell>
          <cell r="C121">
            <v>0</v>
          </cell>
          <cell r="D121">
            <v>0</v>
          </cell>
          <cell r="E121">
            <v>290</v>
          </cell>
          <cell r="F121">
            <v>221.74</v>
          </cell>
          <cell r="G121">
            <v>145</v>
          </cell>
          <cell r="H121">
            <v>145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 xml:space="preserve">     Retenção Extra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NÃO Liquidado A Pagar</v>
          </cell>
          <cell r="C123">
            <v>0</v>
          </cell>
          <cell r="D123">
            <v>12000</v>
          </cell>
          <cell r="E123">
            <v>16794.48</v>
          </cell>
          <cell r="F123">
            <v>15959.49</v>
          </cell>
          <cell r="G123">
            <v>15814.49</v>
          </cell>
          <cell r="H123">
            <v>15451.79</v>
          </cell>
          <cell r="I123">
            <v>15334.240000000002</v>
          </cell>
          <cell r="J123">
            <v>15087.010000000002</v>
          </cell>
          <cell r="K123">
            <v>78987.009999999995</v>
          </cell>
          <cell r="L123">
            <v>85477.58</v>
          </cell>
          <cell r="M123">
            <v>83297.08</v>
          </cell>
        </row>
        <row r="125">
          <cell r="A125" t="str">
            <v>POR CONTA DE DESPESA</v>
          </cell>
        </row>
        <row r="126">
          <cell r="A126" t="str">
            <v>DESPESA CORRENTE</v>
          </cell>
          <cell r="B126" t="str">
            <v>Orçamento Inicial</v>
          </cell>
          <cell r="C126">
            <v>65513385</v>
          </cell>
          <cell r="D126">
            <v>65513385</v>
          </cell>
          <cell r="E126">
            <v>65513385</v>
          </cell>
          <cell r="F126">
            <v>65513385</v>
          </cell>
          <cell r="G126">
            <v>65513385</v>
          </cell>
          <cell r="H126">
            <v>65513385</v>
          </cell>
          <cell r="I126">
            <v>65513385</v>
          </cell>
          <cell r="J126">
            <v>65513385</v>
          </cell>
          <cell r="K126">
            <v>65513385</v>
          </cell>
          <cell r="L126">
            <v>65513385</v>
          </cell>
          <cell r="M126">
            <v>65513385</v>
          </cell>
        </row>
        <row r="127">
          <cell r="B127" t="str">
            <v>Orçamento Atualizado</v>
          </cell>
          <cell r="C127">
            <v>65513385</v>
          </cell>
          <cell r="D127">
            <v>65513385</v>
          </cell>
          <cell r="E127">
            <v>122224907</v>
          </cell>
          <cell r="F127">
            <v>122224907</v>
          </cell>
          <cell r="G127">
            <v>122224907</v>
          </cell>
          <cell r="H127">
            <v>122224907</v>
          </cell>
          <cell r="I127">
            <v>122224907</v>
          </cell>
          <cell r="J127">
            <v>122224907</v>
          </cell>
          <cell r="K127">
            <v>122224907</v>
          </cell>
          <cell r="L127">
            <v>93211292.340000004</v>
          </cell>
          <cell r="M127">
            <v>93211292.340000004</v>
          </cell>
        </row>
        <row r="128">
          <cell r="B128" t="str">
            <v>Empenhado Até o Mês</v>
          </cell>
          <cell r="C128">
            <v>10876477.07</v>
          </cell>
          <cell r="D128">
            <v>30578285.07</v>
          </cell>
          <cell r="E128">
            <v>32556414.68</v>
          </cell>
          <cell r="F128">
            <v>33496447.920000002</v>
          </cell>
          <cell r="G128">
            <v>33832755.259999998</v>
          </cell>
          <cell r="H128">
            <v>34534977.299999997</v>
          </cell>
          <cell r="I128">
            <v>34574488.5</v>
          </cell>
          <cell r="J128">
            <v>35142740.479999997</v>
          </cell>
          <cell r="K128">
            <v>36571486.390000001</v>
          </cell>
          <cell r="L128">
            <v>38660349.289999999</v>
          </cell>
          <cell r="M128">
            <v>39252678.259999998</v>
          </cell>
        </row>
        <row r="129">
          <cell r="B129" t="str">
            <v>Liquidado Até o Mês</v>
          </cell>
          <cell r="C129">
            <v>0</v>
          </cell>
          <cell r="D129">
            <v>7854291.8200000003</v>
          </cell>
          <cell r="E129">
            <v>19267497.149999999</v>
          </cell>
          <cell r="F129">
            <v>24776094.379999999</v>
          </cell>
          <cell r="G129">
            <v>27653780.640000001</v>
          </cell>
          <cell r="H129">
            <v>29235659.84</v>
          </cell>
          <cell r="I129">
            <v>29617661.140000001</v>
          </cell>
          <cell r="J129">
            <v>29822007.539999999</v>
          </cell>
          <cell r="K129">
            <v>30097845.600000001</v>
          </cell>
          <cell r="L129">
            <v>31676042.859999999</v>
          </cell>
          <cell r="M129">
            <v>31867865.399999999</v>
          </cell>
        </row>
        <row r="130">
          <cell r="B130" t="str">
            <v>Pago Até o Mês</v>
          </cell>
          <cell r="C130">
            <v>0</v>
          </cell>
          <cell r="D130">
            <v>532661.68999999994</v>
          </cell>
          <cell r="E130">
            <v>19000810.149999999</v>
          </cell>
          <cell r="F130">
            <v>22147859.210000001</v>
          </cell>
          <cell r="G130">
            <v>26235330.579999998</v>
          </cell>
          <cell r="H130">
            <v>29068944.84</v>
          </cell>
          <cell r="I130">
            <v>29617661.140000001</v>
          </cell>
          <cell r="J130">
            <v>29618598.370000001</v>
          </cell>
          <cell r="K130">
            <v>30097845.600000001</v>
          </cell>
          <cell r="L130">
            <v>31676042.859999999</v>
          </cell>
          <cell r="M130">
            <v>31867865.399999999</v>
          </cell>
        </row>
        <row r="132">
          <cell r="A132" t="str">
            <v>DESPESA CAPITAL</v>
          </cell>
          <cell r="B132" t="str">
            <v>Orçamento Inicial</v>
          </cell>
          <cell r="C132">
            <v>43000</v>
          </cell>
          <cell r="D132">
            <v>43000</v>
          </cell>
          <cell r="E132">
            <v>43000</v>
          </cell>
          <cell r="F132">
            <v>43000</v>
          </cell>
          <cell r="G132">
            <v>43000</v>
          </cell>
          <cell r="H132">
            <v>43000</v>
          </cell>
          <cell r="I132">
            <v>43000</v>
          </cell>
          <cell r="J132">
            <v>43000</v>
          </cell>
          <cell r="K132">
            <v>43000</v>
          </cell>
          <cell r="L132">
            <v>43000</v>
          </cell>
          <cell r="M132">
            <v>43000</v>
          </cell>
        </row>
        <row r="133">
          <cell r="B133" t="str">
            <v>Orçamento Atualizado</v>
          </cell>
          <cell r="C133">
            <v>43000</v>
          </cell>
          <cell r="D133">
            <v>43000</v>
          </cell>
          <cell r="E133">
            <v>43000</v>
          </cell>
          <cell r="F133">
            <v>43000</v>
          </cell>
          <cell r="G133">
            <v>43000</v>
          </cell>
          <cell r="H133">
            <v>43000</v>
          </cell>
          <cell r="I133">
            <v>43000</v>
          </cell>
          <cell r="J133">
            <v>43000</v>
          </cell>
          <cell r="K133">
            <v>43000</v>
          </cell>
          <cell r="L133">
            <v>43000</v>
          </cell>
          <cell r="M133">
            <v>43000</v>
          </cell>
        </row>
        <row r="134">
          <cell r="B134" t="str">
            <v>Empenhado Até o Mês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Liquidado Até o Mês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Pago Até o Mês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9">
          <cell r="A139" t="str">
            <v>ACOMPANHAMENTO DE EXECUÇÃO ORÇAMENTÁRIA - RESTO A PAGAR</v>
          </cell>
        </row>
        <row r="140">
          <cell r="A140" t="str">
            <v>POR FONTE RECURSO</v>
          </cell>
        </row>
        <row r="141">
          <cell r="A141" t="str">
            <v>PAGAMENTO</v>
          </cell>
          <cell r="B141" t="str">
            <v>Não Processado - FONTE 05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Processado - FONTE 05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TOTAL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5">
          <cell r="A145" t="str">
            <v>PAGAMENTO</v>
          </cell>
          <cell r="B145" t="str">
            <v>Não Processado - FONTE 00</v>
          </cell>
          <cell r="C145">
            <v>60923.74</v>
          </cell>
          <cell r="D145">
            <v>63198.41</v>
          </cell>
          <cell r="E145">
            <v>63198.41</v>
          </cell>
          <cell r="F145">
            <v>72294.53</v>
          </cell>
          <cell r="G145">
            <v>263013.11</v>
          </cell>
          <cell r="H145">
            <v>263013.11</v>
          </cell>
          <cell r="I145">
            <v>263013.11</v>
          </cell>
          <cell r="J145">
            <v>263013.11</v>
          </cell>
          <cell r="K145">
            <v>263013.11</v>
          </cell>
          <cell r="L145">
            <v>263013.11</v>
          </cell>
          <cell r="M145">
            <v>263013.11</v>
          </cell>
        </row>
        <row r="146">
          <cell r="B146" t="str">
            <v>Processado - FONTE 00</v>
          </cell>
          <cell r="C146">
            <v>8641.73</v>
          </cell>
          <cell r="D146">
            <v>8641.73</v>
          </cell>
          <cell r="E146">
            <v>8641.73</v>
          </cell>
          <cell r="F146">
            <v>8641.73</v>
          </cell>
          <cell r="G146">
            <v>8641.73</v>
          </cell>
          <cell r="H146">
            <v>8641.73</v>
          </cell>
          <cell r="I146">
            <v>8641.73</v>
          </cell>
          <cell r="J146">
            <v>8641.73</v>
          </cell>
          <cell r="K146">
            <v>8641.73</v>
          </cell>
          <cell r="L146">
            <v>8641.73</v>
          </cell>
          <cell r="M146">
            <v>8641.73</v>
          </cell>
        </row>
        <row r="147">
          <cell r="B147" t="str">
            <v>TOTAL</v>
          </cell>
          <cell r="C147">
            <v>69565.47</v>
          </cell>
          <cell r="D147">
            <v>71840.14</v>
          </cell>
          <cell r="E147">
            <v>71840.14</v>
          </cell>
          <cell r="F147">
            <v>80936.259999999995</v>
          </cell>
          <cell r="G147">
            <v>271654.83999999997</v>
          </cell>
          <cell r="H147">
            <v>271654.83999999997</v>
          </cell>
          <cell r="I147">
            <v>271654.83999999997</v>
          </cell>
          <cell r="J147">
            <v>271654.83999999997</v>
          </cell>
          <cell r="K147">
            <v>271654.83999999997</v>
          </cell>
          <cell r="L147">
            <v>271654.83999999997</v>
          </cell>
          <cell r="M147">
            <v>271654.83999999997</v>
          </cell>
          <cell r="N147">
            <v>0</v>
          </cell>
        </row>
        <row r="149">
          <cell r="A149" t="str">
            <v>POR CONTA DE DESPESA - DESPESA CORRENTE</v>
          </cell>
        </row>
        <row r="150">
          <cell r="A150" t="str">
            <v>SALDO TRANSFERIDO</v>
          </cell>
          <cell r="B150" t="str">
            <v>Não Processado</v>
          </cell>
          <cell r="C150">
            <v>2003403.79</v>
          </cell>
          <cell r="D150">
            <v>2003403.79</v>
          </cell>
          <cell r="E150">
            <v>2003403.79</v>
          </cell>
          <cell r="F150">
            <v>2003403.79</v>
          </cell>
          <cell r="G150">
            <v>2003403.79</v>
          </cell>
          <cell r="H150">
            <v>2003403.79</v>
          </cell>
          <cell r="I150">
            <v>2003403.79</v>
          </cell>
          <cell r="J150">
            <v>2003403.79</v>
          </cell>
          <cell r="K150">
            <v>2003403.79</v>
          </cell>
          <cell r="L150">
            <v>2003403.79</v>
          </cell>
          <cell r="M150">
            <v>2003403.79</v>
          </cell>
        </row>
        <row r="151">
          <cell r="B151" t="str">
            <v>Processado</v>
          </cell>
          <cell r="C151">
            <v>8641.73</v>
          </cell>
          <cell r="D151">
            <v>8641.73</v>
          </cell>
          <cell r="E151">
            <v>8641.73</v>
          </cell>
          <cell r="F151">
            <v>8641.73</v>
          </cell>
          <cell r="G151">
            <v>8641.73</v>
          </cell>
          <cell r="H151">
            <v>8641.73</v>
          </cell>
          <cell r="I151">
            <v>8641.73</v>
          </cell>
          <cell r="J151">
            <v>8641.73</v>
          </cell>
          <cell r="K151">
            <v>8641.73</v>
          </cell>
          <cell r="L151">
            <v>8641.73</v>
          </cell>
          <cell r="M151">
            <v>8641.73</v>
          </cell>
        </row>
        <row r="152">
          <cell r="A152" t="str">
            <v>PAGAMENTO</v>
          </cell>
          <cell r="B152" t="str">
            <v>Não Processado</v>
          </cell>
          <cell r="C152">
            <v>60923.74</v>
          </cell>
          <cell r="D152">
            <v>63198.41</v>
          </cell>
          <cell r="E152">
            <v>63198.41</v>
          </cell>
          <cell r="F152">
            <v>63198.41</v>
          </cell>
          <cell r="G152">
            <v>263013.11</v>
          </cell>
          <cell r="H152">
            <v>263013.11</v>
          </cell>
          <cell r="I152">
            <v>263013.11</v>
          </cell>
          <cell r="J152">
            <v>263013.11</v>
          </cell>
          <cell r="K152">
            <v>263013.11</v>
          </cell>
          <cell r="L152">
            <v>263013.11</v>
          </cell>
          <cell r="M152">
            <v>263013.11</v>
          </cell>
        </row>
        <row r="153">
          <cell r="B153" t="str">
            <v>Processado</v>
          </cell>
          <cell r="C153">
            <v>8641.73</v>
          </cell>
          <cell r="D153">
            <v>8641.73</v>
          </cell>
          <cell r="E153">
            <v>8641.73</v>
          </cell>
          <cell r="F153">
            <v>8641.73</v>
          </cell>
          <cell r="G153">
            <v>8641.73</v>
          </cell>
          <cell r="H153">
            <v>8641.73</v>
          </cell>
          <cell r="I153">
            <v>8641.73</v>
          </cell>
          <cell r="J153">
            <v>8641.73</v>
          </cell>
          <cell r="K153">
            <v>8641.73</v>
          </cell>
          <cell r="L153">
            <v>8641.73</v>
          </cell>
          <cell r="M153">
            <v>8641.73</v>
          </cell>
        </row>
        <row r="154">
          <cell r="A154" t="str">
            <v>CANCELAMENTO</v>
          </cell>
          <cell r="B154" t="str">
            <v>Não Processado</v>
          </cell>
          <cell r="C154">
            <v>0</v>
          </cell>
          <cell r="D154">
            <v>268402.98</v>
          </cell>
          <cell r="E154">
            <v>268422.31</v>
          </cell>
          <cell r="F154">
            <v>268422.31</v>
          </cell>
          <cell r="G154">
            <v>268422.31</v>
          </cell>
          <cell r="H154">
            <v>1740390.68</v>
          </cell>
          <cell r="I154">
            <v>1740390.68</v>
          </cell>
          <cell r="J154">
            <v>1740390.68</v>
          </cell>
          <cell r="K154">
            <v>1740390.68</v>
          </cell>
          <cell r="L154">
            <v>1740390.68</v>
          </cell>
          <cell r="M154">
            <v>1740390.68</v>
          </cell>
        </row>
        <row r="155">
          <cell r="B155" t="str">
            <v>Processado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A156" t="str">
            <v>POR CONTA DE DESPESA - DESPESA CAPITAL</v>
          </cell>
        </row>
        <row r="157">
          <cell r="A157" t="str">
            <v>SALDO TRANSFERIDO</v>
          </cell>
          <cell r="B157" t="str">
            <v>Não Processado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Processado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A159" t="str">
            <v>PAGAMENTO</v>
          </cell>
          <cell r="B159" t="str">
            <v>Não Processado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B160" t="str">
            <v>Processado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</row>
        <row r="161">
          <cell r="A161" t="str">
            <v>CANCELAMENTO</v>
          </cell>
          <cell r="B161" t="str">
            <v>Não Processado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Processado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4">
          <cell r="A164" t="str">
            <v>A.E.O. - RESTO A PAGAR - COMPETÊNCIAS ANTERIORES</v>
          </cell>
        </row>
        <row r="165">
          <cell r="A165" t="str">
            <v>POR CONTA DE DESPESA - DESPESA CORRENTE</v>
          </cell>
        </row>
        <row r="166">
          <cell r="A166" t="str">
            <v>SALDO TRANSFERIDO</v>
          </cell>
          <cell r="B166" t="str">
            <v>Não Processado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Processado</v>
          </cell>
          <cell r="C167">
            <v>3821.76</v>
          </cell>
          <cell r="D167">
            <v>3821.76</v>
          </cell>
          <cell r="E167">
            <v>3821.76</v>
          </cell>
          <cell r="F167">
            <v>3821.76</v>
          </cell>
          <cell r="G167">
            <v>3821.76</v>
          </cell>
          <cell r="H167">
            <v>3821.76</v>
          </cell>
          <cell r="I167">
            <v>3821.76</v>
          </cell>
          <cell r="J167">
            <v>3821.76</v>
          </cell>
          <cell r="K167">
            <v>3821.76</v>
          </cell>
          <cell r="L167">
            <v>3821.76</v>
          </cell>
          <cell r="M167">
            <v>3821.76</v>
          </cell>
        </row>
        <row r="168">
          <cell r="A168" t="str">
            <v>PAGAMENTO</v>
          </cell>
          <cell r="B168" t="str">
            <v>Não Processado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</row>
        <row r="169">
          <cell r="B169" t="str">
            <v>Processado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A170" t="str">
            <v>CANCELAMENTO</v>
          </cell>
          <cell r="B170" t="str">
            <v>Não Processado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B171" t="str">
            <v>Processado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A172" t="str">
            <v>POR CONTA DE DESPESA - DESPESA CAPITAL</v>
          </cell>
        </row>
        <row r="173">
          <cell r="A173" t="str">
            <v>SALDO TRANSFERIDO</v>
          </cell>
          <cell r="B173" t="str">
            <v>Não Processado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Processado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PAGAMENTO</v>
          </cell>
          <cell r="B175" t="str">
            <v>Não Processado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Processado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CANCELAMENTO</v>
          </cell>
          <cell r="B177" t="str">
            <v>Não Processado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Processado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81">
          <cell r="A181" t="str">
            <v>TRANSFERÊNCIAS FINANCEIRAS RECEBIDAS (II)</v>
          </cell>
        </row>
        <row r="182">
          <cell r="A182" t="str">
            <v>PARA  EXECUÇÃO ORÇAMENTÁRIA</v>
          </cell>
        </row>
        <row r="189">
          <cell r="B189" t="str">
            <v>TOTAL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2">
          <cell r="A192" t="str">
            <v>TRANSFERÊNCIAS FINANCEIRAS CONCEDIDAS (VII)</v>
          </cell>
        </row>
        <row r="193">
          <cell r="A193" t="str">
            <v>PARA  EXECUÇÃO ORÇAMENTÁRIA</v>
          </cell>
        </row>
        <row r="194">
          <cell r="A194" t="str">
            <v>RENDIMENTO FINANCEIRO DA TRANSFERÊNCIA PARA EDUCAÇÃO</v>
          </cell>
          <cell r="C194">
            <v>54210.35</v>
          </cell>
          <cell r="D194">
            <v>39529.86</v>
          </cell>
          <cell r="E194">
            <v>45605.58</v>
          </cell>
          <cell r="F194">
            <v>35691.230000000003</v>
          </cell>
          <cell r="G194">
            <v>28445.08</v>
          </cell>
          <cell r="H194">
            <v>25433.75</v>
          </cell>
          <cell r="I194">
            <v>23937.4</v>
          </cell>
          <cell r="J194">
            <v>17837.89</v>
          </cell>
          <cell r="K194">
            <v>-6849.7</v>
          </cell>
          <cell r="L194">
            <v>14742.92</v>
          </cell>
          <cell r="M194">
            <v>15742.68</v>
          </cell>
          <cell r="N194">
            <v>0</v>
          </cell>
          <cell r="O194">
            <v>294327.03999999992</v>
          </cell>
          <cell r="P194" t="str">
            <v>total de rendimentos transferidos para educação</v>
          </cell>
        </row>
        <row r="195">
          <cell r="A195" t="str">
            <v>DESVINCULAÇÃO ADICIONAL DA RECEITA - R$5.158.455,99</v>
          </cell>
          <cell r="J195">
            <v>3620176.97</v>
          </cell>
          <cell r="N195">
            <v>0</v>
          </cell>
        </row>
        <row r="196">
          <cell r="A196" t="str">
            <v>DESVINCULAÇÃO ADICIONAL DA RECEITA - R$15.480.496,12</v>
          </cell>
        </row>
        <row r="197">
          <cell r="A197" t="str">
            <v>DESVINCULAÇÃO ADICIONAL DA RECEITA - R$15.262.094,25</v>
          </cell>
        </row>
        <row r="198">
          <cell r="A198" t="str">
            <v>Transferência mais escolas ( p SME) - Proc. 6074.2019/0004161-8 ( inf.034347168, 0,00 29.013.614,66
034347760, 034351141) - Decreto 59.830/2020</v>
          </cell>
          <cell r="F198">
            <v>0</v>
          </cell>
          <cell r="L198">
            <v>29013614.66</v>
          </cell>
        </row>
        <row r="200">
          <cell r="B200" t="str">
            <v>TOTAL</v>
          </cell>
          <cell r="C200">
            <v>54210.35</v>
          </cell>
          <cell r="D200">
            <v>93740.209999999992</v>
          </cell>
          <cell r="E200">
            <v>139345.78999999998</v>
          </cell>
          <cell r="F200">
            <v>175037.02</v>
          </cell>
          <cell r="G200">
            <v>203482.09999999998</v>
          </cell>
          <cell r="H200">
            <v>228915.84999999998</v>
          </cell>
          <cell r="I200">
            <v>252853.24999999997</v>
          </cell>
          <cell r="J200">
            <v>3890868.1100000003</v>
          </cell>
          <cell r="K200">
            <v>3884018.41</v>
          </cell>
          <cell r="L200">
            <v>32912375.990000002</v>
          </cell>
          <cell r="M200">
            <v>32928118.670000002</v>
          </cell>
          <cell r="N200">
            <v>32928118.670000002</v>
          </cell>
        </row>
      </sheetData>
      <sheetData sheetId="1">
        <row r="5">
          <cell r="A5">
            <v>44136</v>
          </cell>
        </row>
        <row r="10">
          <cell r="D10">
            <v>0</v>
          </cell>
        </row>
        <row r="18">
          <cell r="D18">
            <v>15549132.469999999</v>
          </cell>
          <cell r="K18">
            <v>39164043.530000001</v>
          </cell>
        </row>
        <row r="20">
          <cell r="D20">
            <v>8161229.4600000009</v>
          </cell>
        </row>
        <row r="22">
          <cell r="D22">
            <v>0</v>
          </cell>
          <cell r="K22">
            <v>32928118.670000002</v>
          </cell>
        </row>
        <row r="28">
          <cell r="D28">
            <v>7301515.7800000012</v>
          </cell>
          <cell r="K28">
            <v>0</v>
          </cell>
        </row>
        <row r="30">
          <cell r="D30">
            <v>0</v>
          </cell>
          <cell r="K30">
            <v>0</v>
          </cell>
        </row>
        <row r="32">
          <cell r="D32">
            <v>7631352.29</v>
          </cell>
          <cell r="K32">
            <v>6208134.4900000002</v>
          </cell>
        </row>
        <row r="35">
          <cell r="D35">
            <v>217676440.76999998</v>
          </cell>
          <cell r="K35">
            <v>178019374.08000001</v>
          </cell>
        </row>
      </sheetData>
      <sheetData sheetId="2">
        <row r="8">
          <cell r="K8">
            <v>88634.73</v>
          </cell>
        </row>
        <row r="20">
          <cell r="D20">
            <v>276992.49</v>
          </cell>
        </row>
        <row r="25">
          <cell r="D25">
            <v>83297.08</v>
          </cell>
          <cell r="K25">
            <v>263013.11</v>
          </cell>
        </row>
        <row r="27">
          <cell r="D27">
            <v>0</v>
          </cell>
          <cell r="K27">
            <v>8641.73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C7A43-6FE5-4B5C-848B-F100F9859027}">
  <sheetPr codeName="Plan9">
    <tabColor indexed="42"/>
  </sheetPr>
  <dimension ref="A1:IU71"/>
  <sheetViews>
    <sheetView showGridLines="0" tabSelected="1" showOutlineSymbols="0" view="pageBreakPreview" topLeftCell="A49" zoomScale="60" zoomScaleNormal="100" workbookViewId="0">
      <selection activeCell="D66" sqref="D66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75" customWidth="1"/>
    <col min="15" max="15" width="16.7109375" style="44" customWidth="1"/>
    <col min="16" max="16" width="14.28515625" style="1" hidden="1" customWidth="1"/>
    <col min="17" max="17" width="12.140625" style="1" hidden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20" ht="15" customHeight="1" x14ac:dyDescent="0.2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2"/>
    </row>
    <row r="3" spans="1:20" ht="18" customHeight="1" x14ac:dyDescent="0.2">
      <c r="A3" s="199" t="s">
        <v>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R3" s="3"/>
    </row>
    <row r="4" spans="1:20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R4" s="7"/>
      <c r="S4" s="7"/>
    </row>
    <row r="5" spans="1:20" ht="19.5" customHeight="1" x14ac:dyDescent="0.2">
      <c r="A5" s="200" t="s">
        <v>5</v>
      </c>
      <c r="B5" s="201"/>
      <c r="C5" s="201"/>
      <c r="D5" s="201"/>
      <c r="E5" s="201"/>
      <c r="F5" s="201"/>
      <c r="G5" s="201"/>
      <c r="H5" s="8"/>
      <c r="I5" s="200" t="s">
        <v>6</v>
      </c>
      <c r="J5" s="201"/>
      <c r="K5" s="201"/>
      <c r="L5" s="201"/>
      <c r="M5" s="201"/>
      <c r="N5" s="202"/>
      <c r="O5" s="9"/>
      <c r="P5" s="2"/>
    </row>
    <row r="6" spans="1:20" ht="16.5" customHeight="1" x14ac:dyDescent="0.2">
      <c r="A6" s="191" t="s">
        <v>7</v>
      </c>
      <c r="B6" s="192"/>
      <c r="C6" s="192"/>
      <c r="D6" s="192"/>
      <c r="E6" s="192"/>
      <c r="F6" s="193"/>
      <c r="G6" s="10" t="s">
        <v>8</v>
      </c>
      <c r="H6" s="11" t="s">
        <v>9</v>
      </c>
      <c r="I6" s="194" t="s">
        <v>7</v>
      </c>
      <c r="J6" s="195"/>
      <c r="K6" s="195"/>
      <c r="L6" s="195"/>
      <c r="M6" s="196"/>
      <c r="N6" s="10" t="s">
        <v>8</v>
      </c>
      <c r="O6" s="12" t="s">
        <v>9</v>
      </c>
      <c r="Q6" s="3"/>
      <c r="R6" s="3"/>
      <c r="S6" s="3"/>
      <c r="T6" s="3"/>
    </row>
    <row r="7" spans="1:20" ht="16.350000000000001" customHeight="1" x14ac:dyDescent="0.2">
      <c r="A7" s="203" t="s">
        <v>10</v>
      </c>
      <c r="B7" s="204"/>
      <c r="C7" s="204"/>
      <c r="D7" s="204"/>
      <c r="E7" s="204"/>
      <c r="F7" s="205"/>
      <c r="G7" s="13">
        <f>SUBTOTAL(9,G8:G19)</f>
        <v>23710361.93</v>
      </c>
      <c r="H7" s="13">
        <v>22366256.390000001</v>
      </c>
      <c r="I7" s="203" t="s">
        <v>11</v>
      </c>
      <c r="J7" s="204"/>
      <c r="K7" s="204"/>
      <c r="L7" s="204"/>
      <c r="M7" s="205"/>
      <c r="N7" s="13">
        <f>SUBTOTAL(9,N8:N19)</f>
        <v>39252678.259999998</v>
      </c>
      <c r="O7" s="14">
        <v>22366256.390000001</v>
      </c>
      <c r="P7" s="15"/>
    </row>
    <row r="8" spans="1:20" ht="13.5" customHeight="1" x14ac:dyDescent="0.2">
      <c r="A8" s="206" t="s">
        <v>12</v>
      </c>
      <c r="B8" s="207"/>
      <c r="C8" s="207"/>
      <c r="D8" s="207"/>
      <c r="E8" s="207"/>
      <c r="F8" s="208"/>
      <c r="G8" s="13">
        <f>SUBTOTAL(9,G9:G11)</f>
        <v>0</v>
      </c>
      <c r="H8" s="13">
        <v>3275601.22</v>
      </c>
      <c r="I8" s="206" t="s">
        <v>12</v>
      </c>
      <c r="J8" s="207"/>
      <c r="K8" s="207"/>
      <c r="L8" s="207"/>
      <c r="M8" s="208"/>
      <c r="N8" s="13">
        <f>SUBTOTAL(9,N9:N11)</f>
        <v>88634.73</v>
      </c>
      <c r="O8" s="13">
        <v>3275601.22</v>
      </c>
    </row>
    <row r="9" spans="1:20" ht="13.5" customHeight="1" x14ac:dyDescent="0.2">
      <c r="A9" s="209" t="s">
        <v>13</v>
      </c>
      <c r="B9" s="210"/>
      <c r="C9" s="210"/>
      <c r="D9" s="210"/>
      <c r="E9" s="210"/>
      <c r="F9" s="211"/>
      <c r="G9" s="16">
        <f>+'[1]B.F. 00 '!D8+'[1]B.F. 05 '!D10</f>
        <v>0</v>
      </c>
      <c r="H9" s="16">
        <v>3275601.22</v>
      </c>
      <c r="I9" s="209" t="s">
        <v>13</v>
      </c>
      <c r="J9" s="210"/>
      <c r="K9" s="210"/>
      <c r="L9" s="210"/>
      <c r="M9" s="211"/>
      <c r="N9" s="16">
        <f>+'[1]B.F. 00 '!K8+'[1]B.F. 05 '!K10</f>
        <v>88634.73</v>
      </c>
      <c r="O9" s="16">
        <v>3275601.22</v>
      </c>
      <c r="P9" s="2"/>
    </row>
    <row r="10" spans="1:20" ht="13.5" customHeight="1" x14ac:dyDescent="0.2">
      <c r="A10" s="209" t="s">
        <v>14</v>
      </c>
      <c r="B10" s="210"/>
      <c r="C10" s="210"/>
      <c r="D10" s="210"/>
      <c r="E10" s="210"/>
      <c r="F10" s="211"/>
      <c r="G10" s="16">
        <f>+'[1]B.F. 00 '!D9+'[1]B.F. 05 '!D11</f>
        <v>0</v>
      </c>
      <c r="H10" s="17">
        <v>0</v>
      </c>
      <c r="I10" s="209" t="s">
        <v>14</v>
      </c>
      <c r="J10" s="210"/>
      <c r="K10" s="210"/>
      <c r="L10" s="210"/>
      <c r="M10" s="211"/>
      <c r="N10" s="16">
        <f>+'[1]B.F. 00 '!K9+'[1]B.F. 05 '!K11</f>
        <v>0</v>
      </c>
      <c r="O10" s="18">
        <v>0</v>
      </c>
      <c r="Q10" s="3"/>
      <c r="R10" s="3"/>
      <c r="S10" s="3"/>
      <c r="T10" s="3"/>
    </row>
    <row r="11" spans="1:20" ht="13.5" customHeight="1" x14ac:dyDescent="0.2">
      <c r="A11" s="209" t="s">
        <v>15</v>
      </c>
      <c r="B11" s="210"/>
      <c r="C11" s="210"/>
      <c r="D11" s="210"/>
      <c r="E11" s="210"/>
      <c r="F11" s="211"/>
      <c r="G11" s="16">
        <f>+'[1]B.F. 00 '!D10+'[1]B.F. 05 '!D12</f>
        <v>0</v>
      </c>
      <c r="H11" s="17">
        <v>0</v>
      </c>
      <c r="I11" s="209" t="s">
        <v>15</v>
      </c>
      <c r="J11" s="210"/>
      <c r="K11" s="210"/>
      <c r="L11" s="210"/>
      <c r="M11" s="211"/>
      <c r="N11" s="16">
        <f>+'[1]B.F. 00 '!K10+'[1]B.F. 05 '!K12</f>
        <v>0</v>
      </c>
      <c r="O11" s="18">
        <v>0</v>
      </c>
      <c r="P11" s="19"/>
    </row>
    <row r="12" spans="1:20" ht="13.5" customHeight="1" x14ac:dyDescent="0.2">
      <c r="A12" s="212" t="s">
        <v>16</v>
      </c>
      <c r="B12" s="213"/>
      <c r="C12" s="213"/>
      <c r="D12" s="213"/>
      <c r="E12" s="213"/>
      <c r="F12" s="214"/>
      <c r="G12" s="20">
        <f>SUBTOTAL(9,G13:G19)</f>
        <v>23710361.93</v>
      </c>
      <c r="H12" s="20">
        <v>19090655.170000002</v>
      </c>
      <c r="I12" s="212" t="s">
        <v>16</v>
      </c>
      <c r="J12" s="213"/>
      <c r="K12" s="213"/>
      <c r="L12" s="213"/>
      <c r="M12" s="214"/>
      <c r="N12" s="20">
        <f>SUBTOTAL(9,N13:N19)</f>
        <v>39164043.530000001</v>
      </c>
      <c r="O12" s="20">
        <v>19090655.170000002</v>
      </c>
      <c r="P12" s="2"/>
    </row>
    <row r="13" spans="1:20" ht="13.5" customHeight="1" x14ac:dyDescent="0.2">
      <c r="A13" s="209" t="s">
        <v>17</v>
      </c>
      <c r="B13" s="210"/>
      <c r="C13" s="210"/>
      <c r="D13" s="210"/>
      <c r="E13" s="210"/>
      <c r="F13" s="211"/>
      <c r="G13" s="16">
        <f>+'[1]B.F. 00 '!D12+'[1]B.F. 05 '!D14</f>
        <v>0</v>
      </c>
      <c r="H13" s="17">
        <v>0</v>
      </c>
      <c r="I13" s="209" t="s">
        <v>17</v>
      </c>
      <c r="J13" s="210"/>
      <c r="K13" s="210"/>
      <c r="L13" s="210"/>
      <c r="M13" s="211"/>
      <c r="N13" s="16">
        <f>+'[1]B.F. 00 '!K12+'[1]B.F. 05 '!K14</f>
        <v>0</v>
      </c>
      <c r="O13" s="18">
        <v>0</v>
      </c>
    </row>
    <row r="14" spans="1:20" ht="13.5" customHeight="1" x14ac:dyDescent="0.2">
      <c r="A14" s="209" t="s">
        <v>18</v>
      </c>
      <c r="B14" s="210"/>
      <c r="C14" s="210"/>
      <c r="D14" s="210"/>
      <c r="E14" s="210"/>
      <c r="F14" s="211"/>
      <c r="G14" s="16">
        <f>+'[1]B.F. 00 '!D13+'[1]B.F. 05 '!D15</f>
        <v>0</v>
      </c>
      <c r="H14" s="17">
        <v>0</v>
      </c>
      <c r="I14" s="209" t="s">
        <v>18</v>
      </c>
      <c r="J14" s="210"/>
      <c r="K14" s="210"/>
      <c r="L14" s="210"/>
      <c r="M14" s="211"/>
      <c r="N14" s="16">
        <f>+'[1]B.F. 00 '!K13+'[1]B.F. 05 '!K15</f>
        <v>0</v>
      </c>
      <c r="O14" s="18">
        <v>0</v>
      </c>
    </row>
    <row r="15" spans="1:20" ht="13.5" customHeight="1" x14ac:dyDescent="0.2">
      <c r="A15" s="209" t="s">
        <v>19</v>
      </c>
      <c r="B15" s="210"/>
      <c r="C15" s="210"/>
      <c r="D15" s="210"/>
      <c r="E15" s="210"/>
      <c r="F15" s="211"/>
      <c r="G15" s="16">
        <f>+'[1]B.F. 00 '!D14+'[1]B.F. 05 '!D16</f>
        <v>0</v>
      </c>
      <c r="H15" s="17">
        <v>0</v>
      </c>
      <c r="I15" s="209" t="s">
        <v>19</v>
      </c>
      <c r="J15" s="210"/>
      <c r="K15" s="210"/>
      <c r="L15" s="210"/>
      <c r="M15" s="211"/>
      <c r="N15" s="16">
        <f>+'[1]B.F. 00 '!K14+'[1]B.F. 05 '!K16</f>
        <v>0</v>
      </c>
      <c r="O15" s="18">
        <v>0</v>
      </c>
    </row>
    <row r="16" spans="1:20" ht="13.5" customHeight="1" x14ac:dyDescent="0.2">
      <c r="A16" s="209" t="s">
        <v>20</v>
      </c>
      <c r="B16" s="210"/>
      <c r="C16" s="210"/>
      <c r="D16" s="210"/>
      <c r="E16" s="210"/>
      <c r="F16" s="211"/>
      <c r="G16" s="16">
        <f>+'[1]B.F. 00 '!D15+'[1]B.F. 05 '!D17</f>
        <v>0</v>
      </c>
      <c r="H16" s="17">
        <v>0</v>
      </c>
      <c r="I16" s="209" t="s">
        <v>20</v>
      </c>
      <c r="J16" s="210"/>
      <c r="K16" s="210"/>
      <c r="L16" s="210"/>
      <c r="M16" s="211"/>
      <c r="N16" s="16">
        <f>+'[1]B.F. 00 '!K15+'[1]B.F. 05 '!K17</f>
        <v>0</v>
      </c>
      <c r="O16" s="18">
        <v>0</v>
      </c>
    </row>
    <row r="17" spans="1:17" ht="13.5" customHeight="1" x14ac:dyDescent="0.2">
      <c r="A17" s="209" t="s">
        <v>21</v>
      </c>
      <c r="B17" s="210"/>
      <c r="C17" s="210"/>
      <c r="D17" s="210"/>
      <c r="E17" s="210"/>
      <c r="F17" s="211"/>
      <c r="G17" s="16">
        <f>-'[1]B.F. 00 '!D16+'[1]B.F. 05 '!D18</f>
        <v>15549132.469999999</v>
      </c>
      <c r="H17" s="21">
        <v>18858444.530000001</v>
      </c>
      <c r="I17" s="209" t="s">
        <v>21</v>
      </c>
      <c r="J17" s="210"/>
      <c r="K17" s="210"/>
      <c r="L17" s="210"/>
      <c r="M17" s="211"/>
      <c r="N17" s="16">
        <f>+'[1]B.F. 00 '!K16+'[1]B.F. 05 '!K18</f>
        <v>39164043.530000001</v>
      </c>
      <c r="O17" s="22">
        <v>18858444.530000001</v>
      </c>
    </row>
    <row r="18" spans="1:17" ht="13.5" customHeight="1" x14ac:dyDescent="0.2">
      <c r="A18" s="209" t="s">
        <v>22</v>
      </c>
      <c r="B18" s="210"/>
      <c r="C18" s="210"/>
      <c r="D18" s="210"/>
      <c r="E18" s="210"/>
      <c r="F18" s="211"/>
      <c r="G18" s="16">
        <f>+'[1]B.F. 00 '!D17+'[1]B.F. 05 '!D19</f>
        <v>0</v>
      </c>
      <c r="H18" s="17">
        <v>0</v>
      </c>
      <c r="I18" s="209" t="s">
        <v>22</v>
      </c>
      <c r="J18" s="210"/>
      <c r="K18" s="210"/>
      <c r="L18" s="210"/>
      <c r="M18" s="211"/>
      <c r="N18" s="16">
        <f>+'[1]B.F. 00 '!K17+'[1]B.F. 05 '!K19</f>
        <v>0</v>
      </c>
      <c r="O18" s="16">
        <v>0</v>
      </c>
    </row>
    <row r="19" spans="1:17" ht="13.5" customHeight="1" x14ac:dyDescent="0.2">
      <c r="A19" s="215" t="s">
        <v>23</v>
      </c>
      <c r="B19" s="216"/>
      <c r="C19" s="216"/>
      <c r="D19" s="216"/>
      <c r="E19" s="216"/>
      <c r="F19" s="217"/>
      <c r="G19" s="23">
        <f>+'[1]B.F. 00 '!D18+'[1]B.F. 05 '!D20</f>
        <v>8161229.4600000009</v>
      </c>
      <c r="H19" s="23">
        <v>232210.64</v>
      </c>
      <c r="I19" s="215" t="s">
        <v>23</v>
      </c>
      <c r="J19" s="216"/>
      <c r="K19" s="216"/>
      <c r="L19" s="216"/>
      <c r="M19" s="217"/>
      <c r="N19" s="16">
        <f>+'[1]B.F. 00 '!K18+'[1]B.F. 05 '!K20</f>
        <v>0</v>
      </c>
      <c r="O19" s="23">
        <v>232210.64</v>
      </c>
    </row>
    <row r="20" spans="1:17" ht="16.350000000000001" customHeight="1" x14ac:dyDescent="0.2">
      <c r="A20" s="203" t="s">
        <v>24</v>
      </c>
      <c r="B20" s="204"/>
      <c r="C20" s="204"/>
      <c r="D20" s="204"/>
      <c r="E20" s="204"/>
      <c r="F20" s="205"/>
      <c r="G20" s="24">
        <f>SUM(G21:G24)</f>
        <v>276992.49</v>
      </c>
      <c r="H20" s="24">
        <v>1129419.95</v>
      </c>
      <c r="I20" s="203" t="s">
        <v>25</v>
      </c>
      <c r="J20" s="204"/>
      <c r="K20" s="204"/>
      <c r="L20" s="204"/>
      <c r="M20" s="205"/>
      <c r="N20" s="14">
        <f>SUM(N21:N24)</f>
        <v>32928118.670000002</v>
      </c>
      <c r="O20" s="14">
        <v>1129419.95</v>
      </c>
      <c r="P20" s="2"/>
    </row>
    <row r="21" spans="1:17" ht="13.5" customHeight="1" x14ac:dyDescent="0.2">
      <c r="A21" s="206" t="s">
        <v>26</v>
      </c>
      <c r="B21" s="207"/>
      <c r="C21" s="207"/>
      <c r="D21" s="207"/>
      <c r="E21" s="207"/>
      <c r="F21" s="208"/>
      <c r="G21" s="16">
        <f>'[1]B.F. 00 '!D20+'[1]B.F. 05 '!D22</f>
        <v>276992.49</v>
      </c>
      <c r="H21" s="25">
        <v>1129419.95</v>
      </c>
      <c r="I21" s="206" t="s">
        <v>26</v>
      </c>
      <c r="J21" s="207"/>
      <c r="K21" s="207"/>
      <c r="L21" s="207"/>
      <c r="M21" s="208"/>
      <c r="N21" s="16">
        <f>+'[1]B.F. 00 '!K20+'[1]B.F. 05 '!K22</f>
        <v>32928118.670000002</v>
      </c>
      <c r="O21" s="25">
        <v>1129419.95</v>
      </c>
    </row>
    <row r="22" spans="1:17" ht="13.5" customHeight="1" x14ac:dyDescent="0.2">
      <c r="A22" s="212" t="s">
        <v>27</v>
      </c>
      <c r="B22" s="213"/>
      <c r="C22" s="213"/>
      <c r="D22" s="213"/>
      <c r="E22" s="213"/>
      <c r="F22" s="214"/>
      <c r="G22" s="16">
        <f>+'[1]B.F. 00 '!D21+'[1]B.F. 05 '!D23</f>
        <v>0</v>
      </c>
      <c r="H22" s="17">
        <v>0</v>
      </c>
      <c r="I22" s="212" t="s">
        <v>27</v>
      </c>
      <c r="J22" s="213"/>
      <c r="K22" s="213"/>
      <c r="L22" s="213"/>
      <c r="M22" s="214"/>
      <c r="N22" s="16">
        <f>+'[1]B.F. 00 '!K21+'[1]B.F. 05 '!K23</f>
        <v>0</v>
      </c>
      <c r="O22" s="16">
        <v>0</v>
      </c>
    </row>
    <row r="23" spans="1:17" ht="13.5" customHeight="1" x14ac:dyDescent="0.2">
      <c r="A23" s="212" t="s">
        <v>28</v>
      </c>
      <c r="B23" s="213"/>
      <c r="C23" s="213"/>
      <c r="D23" s="213"/>
      <c r="E23" s="213"/>
      <c r="F23" s="214"/>
      <c r="G23" s="16">
        <f>+'[1]B.F. 00 '!D22+'[1]B.F. 05 '!D24</f>
        <v>0</v>
      </c>
      <c r="H23" s="17">
        <v>0</v>
      </c>
      <c r="I23" s="212" t="s">
        <v>28</v>
      </c>
      <c r="J23" s="213"/>
      <c r="K23" s="213"/>
      <c r="L23" s="213"/>
      <c r="M23" s="214"/>
      <c r="N23" s="16">
        <f>+'[1]B.F. 00 '!K22+'[1]B.F. 05 '!K24</f>
        <v>0</v>
      </c>
      <c r="O23" s="16">
        <v>0</v>
      </c>
    </row>
    <row r="24" spans="1:17" ht="13.5" customHeight="1" x14ac:dyDescent="0.2">
      <c r="A24" s="218" t="s">
        <v>29</v>
      </c>
      <c r="B24" s="219"/>
      <c r="C24" s="219"/>
      <c r="D24" s="219"/>
      <c r="E24" s="219"/>
      <c r="F24" s="220"/>
      <c r="G24" s="16">
        <f>+'[1]B.F. 00 '!D23+'[1]B.F. 05 '!D25</f>
        <v>0</v>
      </c>
      <c r="H24" s="17">
        <v>0</v>
      </c>
      <c r="I24" s="218" t="s">
        <v>29</v>
      </c>
      <c r="J24" s="219"/>
      <c r="K24" s="219"/>
      <c r="L24" s="219"/>
      <c r="M24" s="220"/>
      <c r="N24" s="16">
        <f>+'[1]B.F. 00 '!K23+'[1]B.F. 05 '!K25</f>
        <v>0</v>
      </c>
      <c r="O24" s="16">
        <v>0</v>
      </c>
    </row>
    <row r="25" spans="1:17" ht="16.350000000000001" customHeight="1" x14ac:dyDescent="0.2">
      <c r="A25" s="203" t="s">
        <v>30</v>
      </c>
      <c r="B25" s="204"/>
      <c r="C25" s="204"/>
      <c r="D25" s="204"/>
      <c r="E25" s="204"/>
      <c r="F25" s="205"/>
      <c r="G25" s="14">
        <f>SUBTOTAL(9,G26:G29)</f>
        <v>15016165.150000002</v>
      </c>
      <c r="H25" s="14">
        <v>16943055.300000001</v>
      </c>
      <c r="I25" s="203" t="s">
        <v>31</v>
      </c>
      <c r="J25" s="204"/>
      <c r="K25" s="204"/>
      <c r="L25" s="204"/>
      <c r="M25" s="205"/>
      <c r="N25" s="14">
        <f>SUBTOTAL(9,N26:N29)</f>
        <v>6479789.3300000001</v>
      </c>
      <c r="O25" s="14">
        <v>16943055.300000001</v>
      </c>
    </row>
    <row r="26" spans="1:17" ht="13.5" customHeight="1" x14ac:dyDescent="0.2">
      <c r="A26" s="206" t="s">
        <v>32</v>
      </c>
      <c r="B26" s="207"/>
      <c r="C26" s="207"/>
      <c r="D26" s="207"/>
      <c r="E26" s="207"/>
      <c r="F26" s="208"/>
      <c r="G26" s="25">
        <f>+'[1]B.F. 00 '!D25+'[1]B.F. 05 '!D28</f>
        <v>7384812.8600000013</v>
      </c>
      <c r="H26" s="26">
        <v>3226303.14</v>
      </c>
      <c r="I26" s="206" t="s">
        <v>33</v>
      </c>
      <c r="J26" s="207"/>
      <c r="K26" s="207"/>
      <c r="L26" s="207"/>
      <c r="M26" s="208"/>
      <c r="N26" s="16">
        <f>+'[1]B.F. 00 '!K25+'[1]B.F. 05 '!K28</f>
        <v>263013.11</v>
      </c>
      <c r="O26" s="26">
        <v>3226303.14</v>
      </c>
    </row>
    <row r="27" spans="1:17" ht="13.5" customHeight="1" x14ac:dyDescent="0.2">
      <c r="A27" s="212" t="s">
        <v>34</v>
      </c>
      <c r="B27" s="213"/>
      <c r="C27" s="213"/>
      <c r="D27" s="213"/>
      <c r="E27" s="213"/>
      <c r="F27" s="214"/>
      <c r="G27" s="16">
        <f>+'[1]B.F. 00 '!D27+'[1]B.F. 05 '!D30</f>
        <v>0</v>
      </c>
      <c r="H27" s="27">
        <v>600075.12</v>
      </c>
      <c r="I27" s="212" t="s">
        <v>35</v>
      </c>
      <c r="J27" s="213"/>
      <c r="K27" s="213"/>
      <c r="L27" s="213"/>
      <c r="M27" s="214"/>
      <c r="N27" s="16">
        <f>+'[1]B.F. 00 '!K27+'[1]B.F. 05 '!K30</f>
        <v>8641.73</v>
      </c>
      <c r="O27" s="28">
        <v>600075.12</v>
      </c>
    </row>
    <row r="28" spans="1:17" ht="13.5" customHeight="1" x14ac:dyDescent="0.2">
      <c r="A28" s="212" t="s">
        <v>36</v>
      </c>
      <c r="B28" s="213"/>
      <c r="C28" s="213"/>
      <c r="D28" s="213"/>
      <c r="E28" s="213"/>
      <c r="F28" s="214"/>
      <c r="G28" s="16">
        <f>+'[1]B.F. 00 '!D29+'[1]B.F. 05 '!D31</f>
        <v>0</v>
      </c>
      <c r="H28" s="27">
        <v>0</v>
      </c>
      <c r="I28" s="212" t="s">
        <v>36</v>
      </c>
      <c r="J28" s="213"/>
      <c r="K28" s="213"/>
      <c r="L28" s="213"/>
      <c r="M28" s="214"/>
      <c r="N28" s="16">
        <f>+'[1]B.F. 00 '!K29+'[1]B.F. 05 '!K31</f>
        <v>0</v>
      </c>
      <c r="O28" s="27">
        <v>0</v>
      </c>
    </row>
    <row r="29" spans="1:17" ht="13.5" customHeight="1" x14ac:dyDescent="0.2">
      <c r="A29" s="218" t="s">
        <v>37</v>
      </c>
      <c r="B29" s="219"/>
      <c r="C29" s="219"/>
      <c r="D29" s="219"/>
      <c r="E29" s="219"/>
      <c r="F29" s="220"/>
      <c r="G29" s="23">
        <f>+'[1]B.F. 00 '!D30+'[1]B.F. 05 '!D32</f>
        <v>7631352.29</v>
      </c>
      <c r="H29" s="29">
        <v>13116677.039999999</v>
      </c>
      <c r="I29" s="218" t="s">
        <v>38</v>
      </c>
      <c r="J29" s="219"/>
      <c r="K29" s="219"/>
      <c r="L29" s="219"/>
      <c r="M29" s="220"/>
      <c r="N29" s="16">
        <f>+'[1]B.F. 00 '!K30+'[1]B.F. 05 '!K32</f>
        <v>6208134.4900000002</v>
      </c>
      <c r="O29" s="29">
        <v>13116677.039999999</v>
      </c>
    </row>
    <row r="30" spans="1:17" ht="16.350000000000001" customHeight="1" x14ac:dyDescent="0.2">
      <c r="A30" s="203" t="s">
        <v>39</v>
      </c>
      <c r="B30" s="204"/>
      <c r="C30" s="204"/>
      <c r="D30" s="204"/>
      <c r="E30" s="204"/>
      <c r="F30" s="205"/>
      <c r="G30" s="14">
        <f>SUBTOTAL(9,G31:G32)</f>
        <v>217676440.76999998</v>
      </c>
      <c r="H30" s="14">
        <v>230058548.22</v>
      </c>
      <c r="I30" s="203" t="s">
        <v>40</v>
      </c>
      <c r="J30" s="204"/>
      <c r="K30" s="204"/>
      <c r="L30" s="204"/>
      <c r="M30" s="205"/>
      <c r="N30" s="14">
        <f>SUM(N31:N32)</f>
        <v>178019374.08000001</v>
      </c>
      <c r="O30" s="14">
        <v>230058548.22</v>
      </c>
      <c r="Q30" s="30"/>
    </row>
    <row r="31" spans="1:17" ht="13.5" customHeight="1" x14ac:dyDescent="0.2">
      <c r="A31" s="206" t="s">
        <v>41</v>
      </c>
      <c r="B31" s="207"/>
      <c r="C31" s="207"/>
      <c r="D31" s="207"/>
      <c r="E31" s="207"/>
      <c r="F31" s="208"/>
      <c r="G31" s="31">
        <f>+'[1]B.F. 05 '!D35</f>
        <v>217676440.76999998</v>
      </c>
      <c r="H31" s="16">
        <v>230058548.22</v>
      </c>
      <c r="I31" s="206" t="s">
        <v>41</v>
      </c>
      <c r="J31" s="207"/>
      <c r="K31" s="207"/>
      <c r="L31" s="207"/>
      <c r="M31" s="208"/>
      <c r="N31" s="31">
        <f>+'[1]B.F. 00 '!K33+'[1]B.F. 05 '!K35</f>
        <v>178019374.08000001</v>
      </c>
      <c r="O31" s="16">
        <v>230058548.22</v>
      </c>
    </row>
    <row r="32" spans="1:17" ht="13.5" customHeight="1" x14ac:dyDescent="0.2">
      <c r="A32" s="218" t="s">
        <v>36</v>
      </c>
      <c r="B32" s="219"/>
      <c r="C32" s="219"/>
      <c r="D32" s="219"/>
      <c r="E32" s="219"/>
      <c r="F32" s="220"/>
      <c r="G32" s="32">
        <v>0</v>
      </c>
      <c r="H32" s="33">
        <v>0</v>
      </c>
      <c r="I32" s="218" t="s">
        <v>36</v>
      </c>
      <c r="J32" s="219"/>
      <c r="K32" s="219"/>
      <c r="L32" s="219"/>
      <c r="M32" s="220"/>
      <c r="N32" s="34"/>
      <c r="O32" s="18">
        <v>0</v>
      </c>
      <c r="P32" s="35" t="s">
        <v>42</v>
      </c>
      <c r="Q32" s="36" t="s">
        <v>43</v>
      </c>
    </row>
    <row r="33" spans="1:255" ht="16.350000000000001" customHeight="1" x14ac:dyDescent="0.2">
      <c r="A33" s="203" t="s">
        <v>44</v>
      </c>
      <c r="B33" s="204"/>
      <c r="C33" s="204"/>
      <c r="D33" s="204"/>
      <c r="E33" s="204"/>
      <c r="F33" s="205"/>
      <c r="G33" s="37">
        <f>G7+G20+G25+G30</f>
        <v>256679960.33999997</v>
      </c>
      <c r="H33" s="37">
        <v>270497279.86000001</v>
      </c>
      <c r="I33" s="203" t="s">
        <v>45</v>
      </c>
      <c r="J33" s="204"/>
      <c r="K33" s="204"/>
      <c r="L33" s="204"/>
      <c r="M33" s="205"/>
      <c r="N33" s="37">
        <f>N7+N20+N25+N30</f>
        <v>256679960.34000003</v>
      </c>
      <c r="O33" s="37">
        <v>270497279.86000001</v>
      </c>
      <c r="P33" s="38">
        <f>G33-N33</f>
        <v>0</v>
      </c>
      <c r="Q33" s="39">
        <f>H33-O33</f>
        <v>0</v>
      </c>
    </row>
    <row r="34" spans="1:255" s="45" customFormat="1" ht="15.75" customHeight="1" x14ac:dyDescent="0.2">
      <c r="A34" s="40" t="s">
        <v>46</v>
      </c>
      <c r="B34" s="41"/>
      <c r="C34" s="41"/>
      <c r="D34" s="41"/>
      <c r="E34" s="42"/>
      <c r="F34" s="42"/>
      <c r="G34" s="42"/>
      <c r="H34" s="42"/>
      <c r="I34" s="41"/>
      <c r="J34" s="41"/>
      <c r="K34" s="41"/>
      <c r="L34" s="42"/>
      <c r="M34" s="42"/>
      <c r="N34" s="43"/>
      <c r="O34" s="44"/>
    </row>
    <row r="35" spans="1:255" s="45" customFormat="1" ht="12.75" customHeight="1" x14ac:dyDescent="0.2">
      <c r="A35" s="46" t="s">
        <v>47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8"/>
      <c r="N35" s="48"/>
      <c r="O35" s="44"/>
    </row>
    <row r="36" spans="1:255" s="44" customFormat="1" ht="14.25" customHeight="1" x14ac:dyDescent="0.2">
      <c r="A36" s="222" t="s">
        <v>48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49"/>
    </row>
    <row r="37" spans="1:255" s="50" customFormat="1" ht="14.25" customHeight="1" x14ac:dyDescent="0.2">
      <c r="A37" s="222" t="s">
        <v>49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49"/>
      <c r="O37" s="44"/>
    </row>
    <row r="38" spans="1:255" s="50" customFormat="1" ht="14.25" customHeight="1" x14ac:dyDescent="0.2">
      <c r="A38" s="222" t="s">
        <v>50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49"/>
      <c r="O38" s="44"/>
    </row>
    <row r="39" spans="1:255" s="50" customFormat="1" ht="14.25" customHeight="1" x14ac:dyDescent="0.2">
      <c r="A39" s="221" t="s">
        <v>51</v>
      </c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44"/>
    </row>
    <row r="40" spans="1:255" s="50" customFormat="1" ht="14.25" customHeight="1" x14ac:dyDescent="0.2">
      <c r="A40" s="221" t="s">
        <v>52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</row>
    <row r="41" spans="1:255" s="50" customFormat="1" ht="14.25" customHeight="1" x14ac:dyDescent="0.2">
      <c r="A41" s="223" t="s">
        <v>53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51"/>
      <c r="O41" s="44"/>
      <c r="P41" s="52"/>
    </row>
    <row r="42" spans="1:255" s="50" customFormat="1" ht="14.25" customHeight="1" x14ac:dyDescent="0.2">
      <c r="A42" s="223" t="s">
        <v>54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53"/>
      <c r="O42" s="51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4"/>
      <c r="EV42" s="54"/>
      <c r="EW42" s="54"/>
      <c r="EX42" s="54"/>
      <c r="EY42" s="54"/>
      <c r="EZ42" s="54"/>
      <c r="FA42" s="54"/>
      <c r="FB42" s="54"/>
      <c r="FC42" s="54"/>
      <c r="FD42" s="54"/>
      <c r="FE42" s="54"/>
      <c r="FF42" s="54"/>
      <c r="FG42" s="54"/>
      <c r="FH42" s="54"/>
      <c r="FI42" s="54"/>
      <c r="FJ42" s="54"/>
      <c r="FK42" s="54"/>
      <c r="FL42" s="54"/>
      <c r="FM42" s="54"/>
      <c r="FN42" s="54"/>
      <c r="FO42" s="54"/>
      <c r="FP42" s="54"/>
      <c r="FQ42" s="54"/>
      <c r="FR42" s="54"/>
      <c r="FS42" s="54"/>
      <c r="FT42" s="54"/>
      <c r="FU42" s="54"/>
      <c r="FV42" s="54"/>
      <c r="FW42" s="54"/>
      <c r="FX42" s="54"/>
      <c r="FY42" s="54"/>
      <c r="FZ42" s="54"/>
      <c r="GA42" s="54"/>
      <c r="GB42" s="54"/>
      <c r="GC42" s="54"/>
      <c r="GD42" s="54"/>
      <c r="GE42" s="54"/>
      <c r="GF42" s="54"/>
      <c r="GG42" s="54"/>
      <c r="GH42" s="54"/>
      <c r="GI42" s="54"/>
      <c r="GJ42" s="54"/>
      <c r="GK42" s="54"/>
      <c r="GL42" s="54"/>
      <c r="GM42" s="54"/>
      <c r="GN42" s="54"/>
      <c r="GO42" s="54"/>
      <c r="GP42" s="54"/>
      <c r="GQ42" s="54"/>
      <c r="GR42" s="54"/>
      <c r="GS42" s="54"/>
      <c r="GT42" s="54"/>
      <c r="GU42" s="54"/>
      <c r="GV42" s="54"/>
      <c r="GW42" s="54"/>
      <c r="GX42" s="54"/>
      <c r="GY42" s="54"/>
      <c r="GZ42" s="54"/>
      <c r="HA42" s="54"/>
      <c r="HB42" s="54"/>
      <c r="HC42" s="54"/>
      <c r="HD42" s="54"/>
      <c r="HE42" s="54"/>
      <c r="HF42" s="54"/>
      <c r="HG42" s="54"/>
      <c r="HH42" s="54"/>
      <c r="HI42" s="54"/>
      <c r="HJ42" s="54"/>
      <c r="HK42" s="54"/>
      <c r="HL42" s="54"/>
      <c r="HM42" s="54"/>
      <c r="HN42" s="54"/>
      <c r="HO42" s="54"/>
      <c r="HP42" s="54"/>
      <c r="HQ42" s="54"/>
      <c r="HR42" s="54"/>
      <c r="HS42" s="54"/>
      <c r="HT42" s="54"/>
      <c r="HU42" s="54"/>
      <c r="HV42" s="54"/>
      <c r="HW42" s="54"/>
      <c r="HX42" s="54"/>
      <c r="HY42" s="54"/>
      <c r="HZ42" s="54"/>
      <c r="IA42" s="54"/>
      <c r="IB42" s="54"/>
      <c r="IC42" s="54"/>
      <c r="ID42" s="54"/>
      <c r="IE42" s="54"/>
      <c r="IF42" s="54"/>
      <c r="IG42" s="54"/>
      <c r="IH42" s="54"/>
      <c r="II42" s="54"/>
      <c r="IJ42" s="54"/>
      <c r="IK42" s="54"/>
      <c r="IL42" s="54"/>
      <c r="IM42" s="54"/>
      <c r="IN42" s="54"/>
      <c r="IO42" s="54"/>
      <c r="IP42" s="54"/>
      <c r="IQ42" s="54"/>
      <c r="IR42" s="54"/>
      <c r="IS42" s="54"/>
      <c r="IT42" s="54"/>
      <c r="IU42" s="54"/>
    </row>
    <row r="43" spans="1:255" s="50" customFormat="1" ht="14.25" customHeight="1" x14ac:dyDescent="0.2">
      <c r="A43" s="221" t="s">
        <v>55</v>
      </c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51"/>
      <c r="O43" s="44"/>
      <c r="P43" s="52"/>
    </row>
    <row r="44" spans="1:255" s="50" customFormat="1" ht="21" customHeight="1" x14ac:dyDescent="0.2">
      <c r="A44" s="221" t="s">
        <v>56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52"/>
    </row>
    <row r="45" spans="1:255" s="50" customFormat="1" ht="24.75" customHeight="1" x14ac:dyDescent="0.2">
      <c r="A45" s="221" t="s">
        <v>57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51"/>
    </row>
    <row r="46" spans="1:255" s="50" customFormat="1" ht="20.25" customHeight="1" x14ac:dyDescent="0.2">
      <c r="A46" s="221" t="s">
        <v>58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52"/>
    </row>
    <row r="47" spans="1:255" s="50" customFormat="1" ht="22.5" customHeight="1" x14ac:dyDescent="0.2">
      <c r="A47" s="221" t="s">
        <v>59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52"/>
    </row>
    <row r="48" spans="1:255" s="50" customFormat="1" ht="23.25" customHeight="1" x14ac:dyDescent="0.2">
      <c r="A48" s="221" t="s">
        <v>60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52"/>
    </row>
    <row r="49" spans="1:255" s="50" customFormat="1" ht="24.75" customHeight="1" x14ac:dyDescent="0.2">
      <c r="A49" s="221" t="s">
        <v>61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52"/>
    </row>
    <row r="50" spans="1:255" s="56" customFormat="1" ht="14.25" customHeight="1" x14ac:dyDescent="0.2">
      <c r="A50" s="223" t="s">
        <v>62</v>
      </c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53"/>
      <c r="O50" s="44"/>
      <c r="P50" s="55"/>
    </row>
    <row r="51" spans="1:255" s="56" customFormat="1" ht="14.25" customHeight="1" x14ac:dyDescent="0.2">
      <c r="A51" s="221" t="s">
        <v>63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55"/>
    </row>
    <row r="52" spans="1:255" s="56" customFormat="1" ht="14.25" customHeight="1" x14ac:dyDescent="0.2">
      <c r="A52" s="49" t="s">
        <v>64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5"/>
    </row>
    <row r="53" spans="1:255" s="56" customFormat="1" ht="14.25" customHeight="1" x14ac:dyDescent="0.2">
      <c r="A53" s="221" t="s">
        <v>65</v>
      </c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</row>
    <row r="54" spans="1:255" s="50" customFormat="1" ht="14.25" customHeight="1" x14ac:dyDescent="0.2">
      <c r="A54" s="221" t="s">
        <v>66</v>
      </c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53"/>
      <c r="N54" s="53"/>
      <c r="O54" s="44"/>
      <c r="P54" s="57"/>
    </row>
    <row r="55" spans="1:255" s="50" customFormat="1" ht="14.25" customHeight="1" x14ac:dyDescent="0.2">
      <c r="A55" s="221" t="s">
        <v>67</v>
      </c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57"/>
    </row>
    <row r="56" spans="1:255" s="50" customFormat="1" ht="14.25" customHeight="1" x14ac:dyDescent="0.2">
      <c r="A56" s="221" t="s">
        <v>68</v>
      </c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57"/>
    </row>
    <row r="57" spans="1:255" s="45" customFormat="1" ht="11.25" customHeight="1" x14ac:dyDescent="0.2">
      <c r="A57" s="58"/>
      <c r="B57" s="58"/>
      <c r="C57" s="59"/>
      <c r="D57" s="59"/>
      <c r="E57" s="59"/>
      <c r="F57" s="58"/>
      <c r="G57" s="60"/>
      <c r="H57" s="59"/>
      <c r="I57" s="61"/>
      <c r="J57" s="61"/>
      <c r="K57" s="60"/>
      <c r="L57" s="60"/>
      <c r="M57" s="61"/>
      <c r="N57" s="59"/>
      <c r="O57" s="62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3"/>
      <c r="EZ57" s="63"/>
      <c r="FA57" s="63"/>
      <c r="FB57" s="63"/>
      <c r="FC57" s="63"/>
      <c r="FD57" s="63"/>
      <c r="FE57" s="63"/>
      <c r="FF57" s="63"/>
      <c r="FG57" s="63"/>
      <c r="FH57" s="63"/>
      <c r="FI57" s="63"/>
      <c r="FJ57" s="63"/>
      <c r="FK57" s="63"/>
      <c r="FL57" s="63"/>
      <c r="FM57" s="63"/>
      <c r="FN57" s="63"/>
      <c r="FO57" s="63"/>
      <c r="FP57" s="63"/>
      <c r="FQ57" s="63"/>
      <c r="FR57" s="63"/>
      <c r="FS57" s="63"/>
      <c r="FT57" s="63"/>
      <c r="FU57" s="63"/>
      <c r="FV57" s="63"/>
      <c r="FW57" s="63"/>
      <c r="FX57" s="63"/>
      <c r="FY57" s="63"/>
      <c r="FZ57" s="63"/>
      <c r="GA57" s="63"/>
      <c r="GB57" s="63"/>
      <c r="GC57" s="63"/>
      <c r="GD57" s="63"/>
      <c r="GE57" s="63"/>
      <c r="GF57" s="63"/>
      <c r="GG57" s="63"/>
      <c r="GH57" s="63"/>
      <c r="GI57" s="63"/>
      <c r="GJ57" s="63"/>
      <c r="GK57" s="63"/>
      <c r="GL57" s="63"/>
      <c r="GM57" s="63"/>
      <c r="GN57" s="63"/>
      <c r="GO57" s="63"/>
      <c r="GP57" s="63"/>
      <c r="GQ57" s="63"/>
      <c r="GR57" s="63"/>
      <c r="GS57" s="63"/>
      <c r="GT57" s="63"/>
      <c r="GU57" s="63"/>
      <c r="GV57" s="63"/>
      <c r="GW57" s="63"/>
      <c r="GX57" s="63"/>
      <c r="GY57" s="63"/>
      <c r="GZ57" s="63"/>
      <c r="HA57" s="63"/>
      <c r="HB57" s="63"/>
      <c r="HC57" s="63"/>
      <c r="HD57" s="63"/>
      <c r="HE57" s="63"/>
      <c r="HF57" s="63"/>
      <c r="HG57" s="63"/>
      <c r="HH57" s="63"/>
      <c r="HI57" s="63"/>
      <c r="HJ57" s="63"/>
      <c r="HK57" s="63"/>
      <c r="HL57" s="63"/>
      <c r="HM57" s="63"/>
      <c r="HN57" s="63"/>
      <c r="HO57" s="63"/>
      <c r="HP57" s="63"/>
      <c r="HQ57" s="63"/>
      <c r="HR57" s="63"/>
      <c r="HS57" s="63"/>
      <c r="HT57" s="63"/>
      <c r="HU57" s="63"/>
      <c r="HV57" s="63"/>
      <c r="HW57" s="63"/>
      <c r="HX57" s="63"/>
      <c r="HY57" s="63"/>
      <c r="HZ57" s="63"/>
      <c r="IA57" s="63"/>
      <c r="IB57" s="63"/>
      <c r="IC57" s="63"/>
      <c r="ID57" s="63"/>
      <c r="IE57" s="63"/>
      <c r="IF57" s="63"/>
      <c r="IG57" s="63"/>
      <c r="IH57" s="63"/>
      <c r="II57" s="63"/>
      <c r="IJ57" s="63"/>
      <c r="IK57" s="63"/>
      <c r="IL57" s="63"/>
      <c r="IM57" s="63"/>
      <c r="IN57" s="63"/>
      <c r="IO57" s="63"/>
      <c r="IP57" s="63"/>
      <c r="IQ57" s="63"/>
      <c r="IR57" s="63"/>
      <c r="IS57" s="63"/>
      <c r="IT57" s="63"/>
      <c r="IU57" s="63"/>
    </row>
    <row r="58" spans="1:255" s="45" customFormat="1" ht="11.25" customHeight="1" x14ac:dyDescent="0.2">
      <c r="A58" s="58"/>
      <c r="B58" s="58"/>
      <c r="C58" s="59"/>
      <c r="D58" s="59"/>
      <c r="E58" s="59"/>
      <c r="F58" s="58"/>
      <c r="G58" s="60"/>
      <c r="H58" s="59"/>
      <c r="I58" s="61"/>
      <c r="J58" s="61"/>
      <c r="K58" s="60"/>
      <c r="L58" s="60"/>
      <c r="M58" s="61"/>
      <c r="N58" s="59"/>
      <c r="O58" s="62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63"/>
      <c r="ES58" s="63"/>
      <c r="ET58" s="63"/>
      <c r="EU58" s="63"/>
      <c r="EV58" s="63"/>
      <c r="EW58" s="63"/>
      <c r="EX58" s="63"/>
      <c r="EY58" s="63"/>
      <c r="EZ58" s="63"/>
      <c r="FA58" s="63"/>
      <c r="FB58" s="63"/>
      <c r="FC58" s="63"/>
      <c r="FD58" s="63"/>
      <c r="FE58" s="63"/>
      <c r="FF58" s="63"/>
      <c r="FG58" s="63"/>
      <c r="FH58" s="63"/>
      <c r="FI58" s="63"/>
      <c r="FJ58" s="63"/>
      <c r="FK58" s="63"/>
      <c r="FL58" s="63"/>
      <c r="FM58" s="63"/>
      <c r="FN58" s="63"/>
      <c r="FO58" s="63"/>
      <c r="FP58" s="63"/>
      <c r="FQ58" s="63"/>
      <c r="FR58" s="63"/>
      <c r="FS58" s="63"/>
      <c r="FT58" s="63"/>
      <c r="FU58" s="63"/>
      <c r="FV58" s="63"/>
      <c r="FW58" s="63"/>
      <c r="FX58" s="63"/>
      <c r="FY58" s="63"/>
      <c r="FZ58" s="63"/>
      <c r="GA58" s="63"/>
      <c r="GB58" s="63"/>
      <c r="GC58" s="63"/>
      <c r="GD58" s="63"/>
      <c r="GE58" s="63"/>
      <c r="GF58" s="63"/>
      <c r="GG58" s="63"/>
      <c r="GH58" s="63"/>
      <c r="GI58" s="63"/>
      <c r="GJ58" s="63"/>
      <c r="GK58" s="63"/>
      <c r="GL58" s="63"/>
      <c r="GM58" s="63"/>
      <c r="GN58" s="63"/>
      <c r="GO58" s="63"/>
      <c r="GP58" s="63"/>
      <c r="GQ58" s="63"/>
      <c r="GR58" s="63"/>
      <c r="GS58" s="63"/>
      <c r="GT58" s="63"/>
      <c r="GU58" s="63"/>
      <c r="GV58" s="63"/>
      <c r="GW58" s="63"/>
      <c r="GX58" s="63"/>
      <c r="GY58" s="63"/>
      <c r="GZ58" s="63"/>
      <c r="HA58" s="63"/>
      <c r="HB58" s="63"/>
      <c r="HC58" s="63"/>
      <c r="HD58" s="63"/>
      <c r="HE58" s="63"/>
      <c r="HF58" s="63"/>
      <c r="HG58" s="63"/>
      <c r="HH58" s="63"/>
      <c r="HI58" s="63"/>
      <c r="HJ58" s="63"/>
      <c r="HK58" s="63"/>
      <c r="HL58" s="63"/>
      <c r="HM58" s="63"/>
      <c r="HN58" s="63"/>
      <c r="HO58" s="63"/>
      <c r="HP58" s="63"/>
      <c r="HQ58" s="63"/>
      <c r="HR58" s="63"/>
      <c r="HS58" s="63"/>
      <c r="HT58" s="63"/>
      <c r="HU58" s="63"/>
      <c r="HV58" s="63"/>
      <c r="HW58" s="63"/>
      <c r="HX58" s="63"/>
      <c r="HY58" s="63"/>
      <c r="HZ58" s="63"/>
      <c r="IA58" s="63"/>
      <c r="IB58" s="63"/>
      <c r="IC58" s="63"/>
      <c r="ID58" s="63"/>
      <c r="IE58" s="63"/>
      <c r="IF58" s="63"/>
      <c r="IG58" s="63"/>
      <c r="IH58" s="63"/>
      <c r="II58" s="63"/>
      <c r="IJ58" s="63"/>
      <c r="IK58" s="63"/>
      <c r="IL58" s="63"/>
      <c r="IM58" s="63"/>
      <c r="IN58" s="63"/>
      <c r="IO58" s="63"/>
      <c r="IP58" s="63"/>
      <c r="IQ58" s="63"/>
      <c r="IR58" s="63"/>
      <c r="IS58" s="63"/>
      <c r="IT58" s="63"/>
      <c r="IU58" s="63"/>
    </row>
    <row r="59" spans="1:255" s="45" customFormat="1" ht="11.25" customHeight="1" x14ac:dyDescent="0.2">
      <c r="A59" s="58"/>
      <c r="B59" s="58"/>
      <c r="C59" s="59"/>
      <c r="D59" s="59"/>
      <c r="E59" s="59"/>
      <c r="F59" s="58"/>
      <c r="G59" s="60"/>
      <c r="H59" s="59"/>
      <c r="I59" s="61"/>
      <c r="J59" s="61"/>
      <c r="K59" s="60"/>
      <c r="L59" s="60"/>
      <c r="M59" s="61"/>
      <c r="N59" s="59"/>
      <c r="O59" s="62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  <c r="EO59" s="63"/>
      <c r="EP59" s="63"/>
      <c r="EQ59" s="63"/>
      <c r="ER59" s="63"/>
      <c r="ES59" s="63"/>
      <c r="ET59" s="63"/>
      <c r="EU59" s="63"/>
      <c r="EV59" s="63"/>
      <c r="EW59" s="63"/>
      <c r="EX59" s="63"/>
      <c r="EY59" s="63"/>
      <c r="EZ59" s="63"/>
      <c r="FA59" s="63"/>
      <c r="FB59" s="63"/>
      <c r="FC59" s="63"/>
      <c r="FD59" s="63"/>
      <c r="FE59" s="63"/>
      <c r="FF59" s="63"/>
      <c r="FG59" s="63"/>
      <c r="FH59" s="63"/>
      <c r="FI59" s="63"/>
      <c r="FJ59" s="63"/>
      <c r="FK59" s="63"/>
      <c r="FL59" s="63"/>
      <c r="FM59" s="63"/>
      <c r="FN59" s="63"/>
      <c r="FO59" s="63"/>
      <c r="FP59" s="63"/>
      <c r="FQ59" s="63"/>
      <c r="FR59" s="63"/>
      <c r="FS59" s="63"/>
      <c r="FT59" s="63"/>
      <c r="FU59" s="63"/>
      <c r="FV59" s="63"/>
      <c r="FW59" s="63"/>
      <c r="FX59" s="63"/>
      <c r="FY59" s="63"/>
      <c r="FZ59" s="63"/>
      <c r="GA59" s="63"/>
      <c r="GB59" s="63"/>
      <c r="GC59" s="63"/>
      <c r="GD59" s="63"/>
      <c r="GE59" s="63"/>
      <c r="GF59" s="63"/>
      <c r="GG59" s="63"/>
      <c r="GH59" s="63"/>
      <c r="GI59" s="63"/>
      <c r="GJ59" s="63"/>
      <c r="GK59" s="63"/>
      <c r="GL59" s="63"/>
      <c r="GM59" s="63"/>
      <c r="GN59" s="63"/>
      <c r="GO59" s="63"/>
      <c r="GP59" s="63"/>
      <c r="GQ59" s="63"/>
      <c r="GR59" s="63"/>
      <c r="GS59" s="63"/>
      <c r="GT59" s="63"/>
      <c r="GU59" s="63"/>
      <c r="GV59" s="63"/>
      <c r="GW59" s="63"/>
      <c r="GX59" s="63"/>
      <c r="GY59" s="63"/>
      <c r="GZ59" s="63"/>
      <c r="HA59" s="63"/>
      <c r="HB59" s="63"/>
      <c r="HC59" s="63"/>
      <c r="HD59" s="63"/>
      <c r="HE59" s="63"/>
      <c r="HF59" s="63"/>
      <c r="HG59" s="63"/>
      <c r="HH59" s="63"/>
      <c r="HI59" s="63"/>
      <c r="HJ59" s="63"/>
      <c r="HK59" s="63"/>
      <c r="HL59" s="63"/>
      <c r="HM59" s="63"/>
      <c r="HN59" s="63"/>
      <c r="HO59" s="63"/>
      <c r="HP59" s="63"/>
      <c r="HQ59" s="63"/>
      <c r="HR59" s="63"/>
      <c r="HS59" s="63"/>
      <c r="HT59" s="63"/>
      <c r="HU59" s="63"/>
      <c r="HV59" s="63"/>
      <c r="HW59" s="63"/>
      <c r="HX59" s="63"/>
      <c r="HY59" s="63"/>
      <c r="HZ59" s="63"/>
      <c r="IA59" s="63"/>
      <c r="IB59" s="63"/>
      <c r="IC59" s="63"/>
      <c r="ID59" s="63"/>
      <c r="IE59" s="63"/>
      <c r="IF59" s="63"/>
      <c r="IG59" s="63"/>
      <c r="IH59" s="63"/>
      <c r="II59" s="63"/>
      <c r="IJ59" s="63"/>
      <c r="IK59" s="63"/>
      <c r="IL59" s="63"/>
      <c r="IM59" s="63"/>
      <c r="IN59" s="63"/>
      <c r="IO59" s="63"/>
      <c r="IP59" s="63"/>
      <c r="IQ59" s="63"/>
      <c r="IR59" s="63"/>
      <c r="IS59" s="63"/>
      <c r="IT59" s="63"/>
      <c r="IU59" s="63"/>
    </row>
    <row r="60" spans="1:255" s="68" customFormat="1" ht="13.5" customHeight="1" x14ac:dyDescent="0.2">
      <c r="A60" s="59"/>
      <c r="B60" s="59"/>
      <c r="C60" s="64"/>
      <c r="D60" s="64"/>
      <c r="E60" s="64"/>
      <c r="F60" s="59"/>
      <c r="G60" s="65"/>
      <c r="H60" s="66"/>
      <c r="I60" s="64"/>
      <c r="J60" s="64"/>
      <c r="K60" s="65"/>
      <c r="L60" s="65"/>
      <c r="M60" s="64"/>
      <c r="N60" s="64"/>
      <c r="O60" s="67"/>
    </row>
    <row r="61" spans="1:255" ht="13.5" customHeight="1" x14ac:dyDescent="0.2">
      <c r="A61" s="58"/>
      <c r="B61" s="58"/>
      <c r="C61" s="66"/>
      <c r="D61" s="66"/>
      <c r="E61" s="66"/>
      <c r="F61" s="58"/>
      <c r="G61" s="35"/>
      <c r="I61" s="66"/>
      <c r="J61" s="66"/>
      <c r="K61" s="35"/>
      <c r="L61" s="35"/>
      <c r="M61" s="66"/>
      <c r="N61" s="69"/>
      <c r="O61" s="70"/>
    </row>
    <row r="62" spans="1:255" ht="13.5" customHeight="1" x14ac:dyDescent="0.2">
      <c r="A62" s="58"/>
      <c r="B62" s="58"/>
      <c r="C62" s="58"/>
      <c r="D62" s="58"/>
      <c r="E62" s="58"/>
      <c r="F62" s="58"/>
      <c r="G62" s="35"/>
      <c r="H62" s="58"/>
      <c r="I62" s="66"/>
      <c r="J62" s="66"/>
      <c r="K62" s="35"/>
      <c r="L62" s="35"/>
      <c r="M62" s="66"/>
      <c r="N62" s="66"/>
      <c r="O62" s="71"/>
    </row>
    <row r="63" spans="1:255" ht="13.5" customHeight="1" x14ac:dyDescent="0.2">
      <c r="A63" s="35"/>
      <c r="B63" s="66"/>
      <c r="C63" s="61"/>
      <c r="D63" s="61" t="s">
        <v>69</v>
      </c>
      <c r="E63" s="61"/>
      <c r="F63" s="72"/>
      <c r="H63" s="72"/>
      <c r="J63" s="59" t="s">
        <v>70</v>
      </c>
      <c r="K63" s="35"/>
      <c r="L63" s="35"/>
      <c r="M63" s="35"/>
      <c r="N63" s="35"/>
      <c r="O63" s="71"/>
    </row>
    <row r="64" spans="1:255" ht="13.5" customHeight="1" x14ac:dyDescent="0.2">
      <c r="B64" s="58"/>
      <c r="C64" s="64"/>
      <c r="D64" s="64" t="s">
        <v>71</v>
      </c>
      <c r="E64" s="64"/>
      <c r="F64" s="73"/>
      <c r="H64" s="73"/>
      <c r="J64" s="64" t="s">
        <v>72</v>
      </c>
      <c r="N64" s="1"/>
    </row>
    <row r="65" spans="1:14" ht="13.5" customHeight="1" x14ac:dyDescent="0.25">
      <c r="B65" s="74"/>
      <c r="C65" s="66"/>
      <c r="D65" s="66" t="s">
        <v>173</v>
      </c>
      <c r="E65" s="66"/>
      <c r="F65" s="74"/>
      <c r="H65" s="74"/>
      <c r="J65" s="69" t="s">
        <v>73</v>
      </c>
    </row>
    <row r="66" spans="1:14" ht="13.5" customHeight="1" x14ac:dyDescent="0.25">
      <c r="B66" s="74"/>
      <c r="C66" s="66"/>
      <c r="D66" s="66" t="s">
        <v>74</v>
      </c>
      <c r="E66" s="66"/>
      <c r="F66" s="74"/>
      <c r="H66" s="74"/>
      <c r="I66" s="68"/>
      <c r="J66" s="66" t="s">
        <v>74</v>
      </c>
      <c r="K66" s="68"/>
    </row>
    <row r="67" spans="1:14" ht="13.5" customHeight="1" x14ac:dyDescent="0.25">
      <c r="B67" s="74"/>
      <c r="C67" s="74"/>
      <c r="D67" s="74"/>
      <c r="E67" s="74"/>
      <c r="F67" s="74"/>
      <c r="G67" s="74"/>
      <c r="H67" s="74"/>
    </row>
    <row r="68" spans="1:14" ht="13.5" customHeight="1" x14ac:dyDescent="0.25">
      <c r="B68" s="74"/>
      <c r="C68" s="74"/>
      <c r="D68" s="74"/>
      <c r="E68" s="74"/>
      <c r="F68" s="74"/>
      <c r="G68" s="74"/>
      <c r="H68" s="74"/>
    </row>
    <row r="69" spans="1:14" ht="11.25" customHeight="1" x14ac:dyDescent="0.2">
      <c r="B69" s="76"/>
    </row>
    <row r="70" spans="1:14" ht="24" customHeight="1" x14ac:dyDescent="0.2">
      <c r="A70" s="224"/>
      <c r="B70" s="224"/>
      <c r="C70" s="224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</row>
    <row r="71" spans="1:14" ht="34.5" customHeight="1" x14ac:dyDescent="0.2">
      <c r="A71" s="225"/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</row>
  </sheetData>
  <mergeCells count="83">
    <mergeCell ref="A55:O55"/>
    <mergeCell ref="A56:O56"/>
    <mergeCell ref="A70:N70"/>
    <mergeCell ref="A71:N71"/>
    <mergeCell ref="A48:O48"/>
    <mergeCell ref="A49:O49"/>
    <mergeCell ref="A50:M50"/>
    <mergeCell ref="A51:O51"/>
    <mergeCell ref="A53:O53"/>
    <mergeCell ref="A54:L54"/>
    <mergeCell ref="A47:O47"/>
    <mergeCell ref="A36:M36"/>
    <mergeCell ref="A37:M37"/>
    <mergeCell ref="A38:M38"/>
    <mergeCell ref="A39:N39"/>
    <mergeCell ref="A40:O40"/>
    <mergeCell ref="A41:M41"/>
    <mergeCell ref="A42:M42"/>
    <mergeCell ref="A43:M43"/>
    <mergeCell ref="A44:O44"/>
    <mergeCell ref="A45:O45"/>
    <mergeCell ref="A46:O46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6:F6"/>
    <mergeCell ref="I6:M6"/>
    <mergeCell ref="A1:O1"/>
    <mergeCell ref="A2:O2"/>
    <mergeCell ref="A3:O3"/>
    <mergeCell ref="A5:G5"/>
    <mergeCell ref="I5:N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8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45936-1311-4ED8-BB66-5E3E2BE1FF70}">
  <sheetPr codeName="Plan10">
    <tabColor indexed="42"/>
    <pageSetUpPr fitToPage="1"/>
  </sheetPr>
  <dimension ref="A1:P79"/>
  <sheetViews>
    <sheetView view="pageBreakPreview" zoomScale="60" zoomScaleNormal="110" workbookViewId="0">
      <pane ySplit="8" topLeftCell="A57" activePane="bottomLeft" state="frozen"/>
      <selection activeCell="A44" sqref="A44:O49"/>
      <selection pane="bottomLeft" activeCell="B78" sqref="B78"/>
    </sheetView>
  </sheetViews>
  <sheetFormatPr defaultRowHeight="15" x14ac:dyDescent="0.25"/>
  <cols>
    <col min="1" max="1" width="49.140625" style="74" bestFit="1" customWidth="1"/>
    <col min="2" max="5" width="18" style="74" customWidth="1"/>
    <col min="6" max="6" width="22.140625" style="74" bestFit="1" customWidth="1"/>
    <col min="7" max="7" width="25.7109375" style="74" customWidth="1"/>
    <col min="8" max="8" width="9.140625" style="74" hidden="1" customWidth="1"/>
    <col min="9" max="9" width="16.140625" style="79" hidden="1" customWidth="1"/>
    <col min="10" max="10" width="0" style="74" hidden="1" customWidth="1"/>
    <col min="11" max="256" width="9.140625" style="74"/>
    <col min="257" max="257" width="49.140625" style="74" bestFit="1" customWidth="1"/>
    <col min="258" max="261" width="18" style="74" customWidth="1"/>
    <col min="262" max="262" width="22.140625" style="74" bestFit="1" customWidth="1"/>
    <col min="263" max="263" width="25.7109375" style="74" customWidth="1"/>
    <col min="264" max="264" width="9.140625" style="74"/>
    <col min="265" max="265" width="16.140625" style="74" bestFit="1" customWidth="1"/>
    <col min="266" max="512" width="9.140625" style="74"/>
    <col min="513" max="513" width="49.140625" style="74" bestFit="1" customWidth="1"/>
    <col min="514" max="517" width="18" style="74" customWidth="1"/>
    <col min="518" max="518" width="22.140625" style="74" bestFit="1" customWidth="1"/>
    <col min="519" max="519" width="25.7109375" style="74" customWidth="1"/>
    <col min="520" max="520" width="9.140625" style="74"/>
    <col min="521" max="521" width="16.140625" style="74" bestFit="1" customWidth="1"/>
    <col min="522" max="768" width="9.140625" style="74"/>
    <col min="769" max="769" width="49.140625" style="74" bestFit="1" customWidth="1"/>
    <col min="770" max="773" width="18" style="74" customWidth="1"/>
    <col min="774" max="774" width="22.140625" style="74" bestFit="1" customWidth="1"/>
    <col min="775" max="775" width="25.7109375" style="74" customWidth="1"/>
    <col min="776" max="776" width="9.140625" style="74"/>
    <col min="777" max="777" width="16.140625" style="74" bestFit="1" customWidth="1"/>
    <col min="778" max="1024" width="9.140625" style="74"/>
    <col min="1025" max="1025" width="49.140625" style="74" bestFit="1" customWidth="1"/>
    <col min="1026" max="1029" width="18" style="74" customWidth="1"/>
    <col min="1030" max="1030" width="22.140625" style="74" bestFit="1" customWidth="1"/>
    <col min="1031" max="1031" width="25.7109375" style="74" customWidth="1"/>
    <col min="1032" max="1032" width="9.140625" style="74"/>
    <col min="1033" max="1033" width="16.140625" style="74" bestFit="1" customWidth="1"/>
    <col min="1034" max="1280" width="9.140625" style="74"/>
    <col min="1281" max="1281" width="49.140625" style="74" bestFit="1" customWidth="1"/>
    <col min="1282" max="1285" width="18" style="74" customWidth="1"/>
    <col min="1286" max="1286" width="22.140625" style="74" bestFit="1" customWidth="1"/>
    <col min="1287" max="1287" width="25.7109375" style="74" customWidth="1"/>
    <col min="1288" max="1288" width="9.140625" style="74"/>
    <col min="1289" max="1289" width="16.140625" style="74" bestFit="1" customWidth="1"/>
    <col min="1290" max="1536" width="9.140625" style="74"/>
    <col min="1537" max="1537" width="49.140625" style="74" bestFit="1" customWidth="1"/>
    <col min="1538" max="1541" width="18" style="74" customWidth="1"/>
    <col min="1542" max="1542" width="22.140625" style="74" bestFit="1" customWidth="1"/>
    <col min="1543" max="1543" width="25.7109375" style="74" customWidth="1"/>
    <col min="1544" max="1544" width="9.140625" style="74"/>
    <col min="1545" max="1545" width="16.140625" style="74" bestFit="1" customWidth="1"/>
    <col min="1546" max="1792" width="9.140625" style="74"/>
    <col min="1793" max="1793" width="49.140625" style="74" bestFit="1" customWidth="1"/>
    <col min="1794" max="1797" width="18" style="74" customWidth="1"/>
    <col min="1798" max="1798" width="22.140625" style="74" bestFit="1" customWidth="1"/>
    <col min="1799" max="1799" width="25.7109375" style="74" customWidth="1"/>
    <col min="1800" max="1800" width="9.140625" style="74"/>
    <col min="1801" max="1801" width="16.140625" style="74" bestFit="1" customWidth="1"/>
    <col min="1802" max="2048" width="9.140625" style="74"/>
    <col min="2049" max="2049" width="49.140625" style="74" bestFit="1" customWidth="1"/>
    <col min="2050" max="2053" width="18" style="74" customWidth="1"/>
    <col min="2054" max="2054" width="22.140625" style="74" bestFit="1" customWidth="1"/>
    <col min="2055" max="2055" width="25.7109375" style="74" customWidth="1"/>
    <col min="2056" max="2056" width="9.140625" style="74"/>
    <col min="2057" max="2057" width="16.140625" style="74" bestFit="1" customWidth="1"/>
    <col min="2058" max="2304" width="9.140625" style="74"/>
    <col min="2305" max="2305" width="49.140625" style="74" bestFit="1" customWidth="1"/>
    <col min="2306" max="2309" width="18" style="74" customWidth="1"/>
    <col min="2310" max="2310" width="22.140625" style="74" bestFit="1" customWidth="1"/>
    <col min="2311" max="2311" width="25.7109375" style="74" customWidth="1"/>
    <col min="2312" max="2312" width="9.140625" style="74"/>
    <col min="2313" max="2313" width="16.140625" style="74" bestFit="1" customWidth="1"/>
    <col min="2314" max="2560" width="9.140625" style="74"/>
    <col min="2561" max="2561" width="49.140625" style="74" bestFit="1" customWidth="1"/>
    <col min="2562" max="2565" width="18" style="74" customWidth="1"/>
    <col min="2566" max="2566" width="22.140625" style="74" bestFit="1" customWidth="1"/>
    <col min="2567" max="2567" width="25.7109375" style="74" customWidth="1"/>
    <col min="2568" max="2568" width="9.140625" style="74"/>
    <col min="2569" max="2569" width="16.140625" style="74" bestFit="1" customWidth="1"/>
    <col min="2570" max="2816" width="9.140625" style="74"/>
    <col min="2817" max="2817" width="49.140625" style="74" bestFit="1" customWidth="1"/>
    <col min="2818" max="2821" width="18" style="74" customWidth="1"/>
    <col min="2822" max="2822" width="22.140625" style="74" bestFit="1" customWidth="1"/>
    <col min="2823" max="2823" width="25.7109375" style="74" customWidth="1"/>
    <col min="2824" max="2824" width="9.140625" style="74"/>
    <col min="2825" max="2825" width="16.140625" style="74" bestFit="1" customWidth="1"/>
    <col min="2826" max="3072" width="9.140625" style="74"/>
    <col min="3073" max="3073" width="49.140625" style="74" bestFit="1" customWidth="1"/>
    <col min="3074" max="3077" width="18" style="74" customWidth="1"/>
    <col min="3078" max="3078" width="22.140625" style="74" bestFit="1" customWidth="1"/>
    <col min="3079" max="3079" width="25.7109375" style="74" customWidth="1"/>
    <col min="3080" max="3080" width="9.140625" style="74"/>
    <col min="3081" max="3081" width="16.140625" style="74" bestFit="1" customWidth="1"/>
    <col min="3082" max="3328" width="9.140625" style="74"/>
    <col min="3329" max="3329" width="49.140625" style="74" bestFit="1" customWidth="1"/>
    <col min="3330" max="3333" width="18" style="74" customWidth="1"/>
    <col min="3334" max="3334" width="22.140625" style="74" bestFit="1" customWidth="1"/>
    <col min="3335" max="3335" width="25.7109375" style="74" customWidth="1"/>
    <col min="3336" max="3336" width="9.140625" style="74"/>
    <col min="3337" max="3337" width="16.140625" style="74" bestFit="1" customWidth="1"/>
    <col min="3338" max="3584" width="9.140625" style="74"/>
    <col min="3585" max="3585" width="49.140625" style="74" bestFit="1" customWidth="1"/>
    <col min="3586" max="3589" width="18" style="74" customWidth="1"/>
    <col min="3590" max="3590" width="22.140625" style="74" bestFit="1" customWidth="1"/>
    <col min="3591" max="3591" width="25.7109375" style="74" customWidth="1"/>
    <col min="3592" max="3592" width="9.140625" style="74"/>
    <col min="3593" max="3593" width="16.140625" style="74" bestFit="1" customWidth="1"/>
    <col min="3594" max="3840" width="9.140625" style="74"/>
    <col min="3841" max="3841" width="49.140625" style="74" bestFit="1" customWidth="1"/>
    <col min="3842" max="3845" width="18" style="74" customWidth="1"/>
    <col min="3846" max="3846" width="22.140625" style="74" bestFit="1" customWidth="1"/>
    <col min="3847" max="3847" width="25.7109375" style="74" customWidth="1"/>
    <col min="3848" max="3848" width="9.140625" style="74"/>
    <col min="3849" max="3849" width="16.140625" style="74" bestFit="1" customWidth="1"/>
    <col min="3850" max="4096" width="9.140625" style="74"/>
    <col min="4097" max="4097" width="49.140625" style="74" bestFit="1" customWidth="1"/>
    <col min="4098" max="4101" width="18" style="74" customWidth="1"/>
    <col min="4102" max="4102" width="22.140625" style="74" bestFit="1" customWidth="1"/>
    <col min="4103" max="4103" width="25.7109375" style="74" customWidth="1"/>
    <col min="4104" max="4104" width="9.140625" style="74"/>
    <col min="4105" max="4105" width="16.140625" style="74" bestFit="1" customWidth="1"/>
    <col min="4106" max="4352" width="9.140625" style="74"/>
    <col min="4353" max="4353" width="49.140625" style="74" bestFit="1" customWidth="1"/>
    <col min="4354" max="4357" width="18" style="74" customWidth="1"/>
    <col min="4358" max="4358" width="22.140625" style="74" bestFit="1" customWidth="1"/>
    <col min="4359" max="4359" width="25.7109375" style="74" customWidth="1"/>
    <col min="4360" max="4360" width="9.140625" style="74"/>
    <col min="4361" max="4361" width="16.140625" style="74" bestFit="1" customWidth="1"/>
    <col min="4362" max="4608" width="9.140625" style="74"/>
    <col min="4609" max="4609" width="49.140625" style="74" bestFit="1" customWidth="1"/>
    <col min="4610" max="4613" width="18" style="74" customWidth="1"/>
    <col min="4614" max="4614" width="22.140625" style="74" bestFit="1" customWidth="1"/>
    <col min="4615" max="4615" width="25.7109375" style="74" customWidth="1"/>
    <col min="4616" max="4616" width="9.140625" style="74"/>
    <col min="4617" max="4617" width="16.140625" style="74" bestFit="1" customWidth="1"/>
    <col min="4618" max="4864" width="9.140625" style="74"/>
    <col min="4865" max="4865" width="49.140625" style="74" bestFit="1" customWidth="1"/>
    <col min="4866" max="4869" width="18" style="74" customWidth="1"/>
    <col min="4870" max="4870" width="22.140625" style="74" bestFit="1" customWidth="1"/>
    <col min="4871" max="4871" width="25.7109375" style="74" customWidth="1"/>
    <col min="4872" max="4872" width="9.140625" style="74"/>
    <col min="4873" max="4873" width="16.140625" style="74" bestFit="1" customWidth="1"/>
    <col min="4874" max="5120" width="9.140625" style="74"/>
    <col min="5121" max="5121" width="49.140625" style="74" bestFit="1" customWidth="1"/>
    <col min="5122" max="5125" width="18" style="74" customWidth="1"/>
    <col min="5126" max="5126" width="22.140625" style="74" bestFit="1" customWidth="1"/>
    <col min="5127" max="5127" width="25.7109375" style="74" customWidth="1"/>
    <col min="5128" max="5128" width="9.140625" style="74"/>
    <col min="5129" max="5129" width="16.140625" style="74" bestFit="1" customWidth="1"/>
    <col min="5130" max="5376" width="9.140625" style="74"/>
    <col min="5377" max="5377" width="49.140625" style="74" bestFit="1" customWidth="1"/>
    <col min="5378" max="5381" width="18" style="74" customWidth="1"/>
    <col min="5382" max="5382" width="22.140625" style="74" bestFit="1" customWidth="1"/>
    <col min="5383" max="5383" width="25.7109375" style="74" customWidth="1"/>
    <col min="5384" max="5384" width="9.140625" style="74"/>
    <col min="5385" max="5385" width="16.140625" style="74" bestFit="1" customWidth="1"/>
    <col min="5386" max="5632" width="9.140625" style="74"/>
    <col min="5633" max="5633" width="49.140625" style="74" bestFit="1" customWidth="1"/>
    <col min="5634" max="5637" width="18" style="74" customWidth="1"/>
    <col min="5638" max="5638" width="22.140625" style="74" bestFit="1" customWidth="1"/>
    <col min="5639" max="5639" width="25.7109375" style="74" customWidth="1"/>
    <col min="5640" max="5640" width="9.140625" style="74"/>
    <col min="5641" max="5641" width="16.140625" style="74" bestFit="1" customWidth="1"/>
    <col min="5642" max="5888" width="9.140625" style="74"/>
    <col min="5889" max="5889" width="49.140625" style="74" bestFit="1" customWidth="1"/>
    <col min="5890" max="5893" width="18" style="74" customWidth="1"/>
    <col min="5894" max="5894" width="22.140625" style="74" bestFit="1" customWidth="1"/>
    <col min="5895" max="5895" width="25.7109375" style="74" customWidth="1"/>
    <col min="5896" max="5896" width="9.140625" style="74"/>
    <col min="5897" max="5897" width="16.140625" style="74" bestFit="1" customWidth="1"/>
    <col min="5898" max="6144" width="9.140625" style="74"/>
    <col min="6145" max="6145" width="49.140625" style="74" bestFit="1" customWidth="1"/>
    <col min="6146" max="6149" width="18" style="74" customWidth="1"/>
    <col min="6150" max="6150" width="22.140625" style="74" bestFit="1" customWidth="1"/>
    <col min="6151" max="6151" width="25.7109375" style="74" customWidth="1"/>
    <col min="6152" max="6152" width="9.140625" style="74"/>
    <col min="6153" max="6153" width="16.140625" style="74" bestFit="1" customWidth="1"/>
    <col min="6154" max="6400" width="9.140625" style="74"/>
    <col min="6401" max="6401" width="49.140625" style="74" bestFit="1" customWidth="1"/>
    <col min="6402" max="6405" width="18" style="74" customWidth="1"/>
    <col min="6406" max="6406" width="22.140625" style="74" bestFit="1" customWidth="1"/>
    <col min="6407" max="6407" width="25.7109375" style="74" customWidth="1"/>
    <col min="6408" max="6408" width="9.140625" style="74"/>
    <col min="6409" max="6409" width="16.140625" style="74" bestFit="1" customWidth="1"/>
    <col min="6410" max="6656" width="9.140625" style="74"/>
    <col min="6657" max="6657" width="49.140625" style="74" bestFit="1" customWidth="1"/>
    <col min="6658" max="6661" width="18" style="74" customWidth="1"/>
    <col min="6662" max="6662" width="22.140625" style="74" bestFit="1" customWidth="1"/>
    <col min="6663" max="6663" width="25.7109375" style="74" customWidth="1"/>
    <col min="6664" max="6664" width="9.140625" style="74"/>
    <col min="6665" max="6665" width="16.140625" style="74" bestFit="1" customWidth="1"/>
    <col min="6666" max="6912" width="9.140625" style="74"/>
    <col min="6913" max="6913" width="49.140625" style="74" bestFit="1" customWidth="1"/>
    <col min="6914" max="6917" width="18" style="74" customWidth="1"/>
    <col min="6918" max="6918" width="22.140625" style="74" bestFit="1" customWidth="1"/>
    <col min="6919" max="6919" width="25.7109375" style="74" customWidth="1"/>
    <col min="6920" max="6920" width="9.140625" style="74"/>
    <col min="6921" max="6921" width="16.140625" style="74" bestFit="1" customWidth="1"/>
    <col min="6922" max="7168" width="9.140625" style="74"/>
    <col min="7169" max="7169" width="49.140625" style="74" bestFit="1" customWidth="1"/>
    <col min="7170" max="7173" width="18" style="74" customWidth="1"/>
    <col min="7174" max="7174" width="22.140625" style="74" bestFit="1" customWidth="1"/>
    <col min="7175" max="7175" width="25.7109375" style="74" customWidth="1"/>
    <col min="7176" max="7176" width="9.140625" style="74"/>
    <col min="7177" max="7177" width="16.140625" style="74" bestFit="1" customWidth="1"/>
    <col min="7178" max="7424" width="9.140625" style="74"/>
    <col min="7425" max="7425" width="49.140625" style="74" bestFit="1" customWidth="1"/>
    <col min="7426" max="7429" width="18" style="74" customWidth="1"/>
    <col min="7430" max="7430" width="22.140625" style="74" bestFit="1" customWidth="1"/>
    <col min="7431" max="7431" width="25.7109375" style="74" customWidth="1"/>
    <col min="7432" max="7432" width="9.140625" style="74"/>
    <col min="7433" max="7433" width="16.140625" style="74" bestFit="1" customWidth="1"/>
    <col min="7434" max="7680" width="9.140625" style="74"/>
    <col min="7681" max="7681" width="49.140625" style="74" bestFit="1" customWidth="1"/>
    <col min="7682" max="7685" width="18" style="74" customWidth="1"/>
    <col min="7686" max="7686" width="22.140625" style="74" bestFit="1" customWidth="1"/>
    <col min="7687" max="7687" width="25.7109375" style="74" customWidth="1"/>
    <col min="7688" max="7688" width="9.140625" style="74"/>
    <col min="7689" max="7689" width="16.140625" style="74" bestFit="1" customWidth="1"/>
    <col min="7690" max="7936" width="9.140625" style="74"/>
    <col min="7937" max="7937" width="49.140625" style="74" bestFit="1" customWidth="1"/>
    <col min="7938" max="7941" width="18" style="74" customWidth="1"/>
    <col min="7942" max="7942" width="22.140625" style="74" bestFit="1" customWidth="1"/>
    <col min="7943" max="7943" width="25.7109375" style="74" customWidth="1"/>
    <col min="7944" max="7944" width="9.140625" style="74"/>
    <col min="7945" max="7945" width="16.140625" style="74" bestFit="1" customWidth="1"/>
    <col min="7946" max="8192" width="9.140625" style="74"/>
    <col min="8193" max="8193" width="49.140625" style="74" bestFit="1" customWidth="1"/>
    <col min="8194" max="8197" width="18" style="74" customWidth="1"/>
    <col min="8198" max="8198" width="22.140625" style="74" bestFit="1" customWidth="1"/>
    <col min="8199" max="8199" width="25.7109375" style="74" customWidth="1"/>
    <col min="8200" max="8200" width="9.140625" style="74"/>
    <col min="8201" max="8201" width="16.140625" style="74" bestFit="1" customWidth="1"/>
    <col min="8202" max="8448" width="9.140625" style="74"/>
    <col min="8449" max="8449" width="49.140625" style="74" bestFit="1" customWidth="1"/>
    <col min="8450" max="8453" width="18" style="74" customWidth="1"/>
    <col min="8454" max="8454" width="22.140625" style="74" bestFit="1" customWidth="1"/>
    <col min="8455" max="8455" width="25.7109375" style="74" customWidth="1"/>
    <col min="8456" max="8456" width="9.140625" style="74"/>
    <col min="8457" max="8457" width="16.140625" style="74" bestFit="1" customWidth="1"/>
    <col min="8458" max="8704" width="9.140625" style="74"/>
    <col min="8705" max="8705" width="49.140625" style="74" bestFit="1" customWidth="1"/>
    <col min="8706" max="8709" width="18" style="74" customWidth="1"/>
    <col min="8710" max="8710" width="22.140625" style="74" bestFit="1" customWidth="1"/>
    <col min="8711" max="8711" width="25.7109375" style="74" customWidth="1"/>
    <col min="8712" max="8712" width="9.140625" style="74"/>
    <col min="8713" max="8713" width="16.140625" style="74" bestFit="1" customWidth="1"/>
    <col min="8714" max="8960" width="9.140625" style="74"/>
    <col min="8961" max="8961" width="49.140625" style="74" bestFit="1" customWidth="1"/>
    <col min="8962" max="8965" width="18" style="74" customWidth="1"/>
    <col min="8966" max="8966" width="22.140625" style="74" bestFit="1" customWidth="1"/>
    <col min="8967" max="8967" width="25.7109375" style="74" customWidth="1"/>
    <col min="8968" max="8968" width="9.140625" style="74"/>
    <col min="8969" max="8969" width="16.140625" style="74" bestFit="1" customWidth="1"/>
    <col min="8970" max="9216" width="9.140625" style="74"/>
    <col min="9217" max="9217" width="49.140625" style="74" bestFit="1" customWidth="1"/>
    <col min="9218" max="9221" width="18" style="74" customWidth="1"/>
    <col min="9222" max="9222" width="22.140625" style="74" bestFit="1" customWidth="1"/>
    <col min="9223" max="9223" width="25.7109375" style="74" customWidth="1"/>
    <col min="9224" max="9224" width="9.140625" style="74"/>
    <col min="9225" max="9225" width="16.140625" style="74" bestFit="1" customWidth="1"/>
    <col min="9226" max="9472" width="9.140625" style="74"/>
    <col min="9473" max="9473" width="49.140625" style="74" bestFit="1" customWidth="1"/>
    <col min="9474" max="9477" width="18" style="74" customWidth="1"/>
    <col min="9478" max="9478" width="22.140625" style="74" bestFit="1" customWidth="1"/>
    <col min="9479" max="9479" width="25.7109375" style="74" customWidth="1"/>
    <col min="9480" max="9480" width="9.140625" style="74"/>
    <col min="9481" max="9481" width="16.140625" style="74" bestFit="1" customWidth="1"/>
    <col min="9482" max="9728" width="9.140625" style="74"/>
    <col min="9729" max="9729" width="49.140625" style="74" bestFit="1" customWidth="1"/>
    <col min="9730" max="9733" width="18" style="74" customWidth="1"/>
    <col min="9734" max="9734" width="22.140625" style="74" bestFit="1" customWidth="1"/>
    <col min="9735" max="9735" width="25.7109375" style="74" customWidth="1"/>
    <col min="9736" max="9736" width="9.140625" style="74"/>
    <col min="9737" max="9737" width="16.140625" style="74" bestFit="1" customWidth="1"/>
    <col min="9738" max="9984" width="9.140625" style="74"/>
    <col min="9985" max="9985" width="49.140625" style="74" bestFit="1" customWidth="1"/>
    <col min="9986" max="9989" width="18" style="74" customWidth="1"/>
    <col min="9990" max="9990" width="22.140625" style="74" bestFit="1" customWidth="1"/>
    <col min="9991" max="9991" width="25.7109375" style="74" customWidth="1"/>
    <col min="9992" max="9992" width="9.140625" style="74"/>
    <col min="9993" max="9993" width="16.140625" style="74" bestFit="1" customWidth="1"/>
    <col min="9994" max="10240" width="9.140625" style="74"/>
    <col min="10241" max="10241" width="49.140625" style="74" bestFit="1" customWidth="1"/>
    <col min="10242" max="10245" width="18" style="74" customWidth="1"/>
    <col min="10246" max="10246" width="22.140625" style="74" bestFit="1" customWidth="1"/>
    <col min="10247" max="10247" width="25.7109375" style="74" customWidth="1"/>
    <col min="10248" max="10248" width="9.140625" style="74"/>
    <col min="10249" max="10249" width="16.140625" style="74" bestFit="1" customWidth="1"/>
    <col min="10250" max="10496" width="9.140625" style="74"/>
    <col min="10497" max="10497" width="49.140625" style="74" bestFit="1" customWidth="1"/>
    <col min="10498" max="10501" width="18" style="74" customWidth="1"/>
    <col min="10502" max="10502" width="22.140625" style="74" bestFit="1" customWidth="1"/>
    <col min="10503" max="10503" width="25.7109375" style="74" customWidth="1"/>
    <col min="10504" max="10504" width="9.140625" style="74"/>
    <col min="10505" max="10505" width="16.140625" style="74" bestFit="1" customWidth="1"/>
    <col min="10506" max="10752" width="9.140625" style="74"/>
    <col min="10753" max="10753" width="49.140625" style="74" bestFit="1" customWidth="1"/>
    <col min="10754" max="10757" width="18" style="74" customWidth="1"/>
    <col min="10758" max="10758" width="22.140625" style="74" bestFit="1" customWidth="1"/>
    <col min="10759" max="10759" width="25.7109375" style="74" customWidth="1"/>
    <col min="10760" max="10760" width="9.140625" style="74"/>
    <col min="10761" max="10761" width="16.140625" style="74" bestFit="1" customWidth="1"/>
    <col min="10762" max="11008" width="9.140625" style="74"/>
    <col min="11009" max="11009" width="49.140625" style="74" bestFit="1" customWidth="1"/>
    <col min="11010" max="11013" width="18" style="74" customWidth="1"/>
    <col min="11014" max="11014" width="22.140625" style="74" bestFit="1" customWidth="1"/>
    <col min="11015" max="11015" width="25.7109375" style="74" customWidth="1"/>
    <col min="11016" max="11016" width="9.140625" style="74"/>
    <col min="11017" max="11017" width="16.140625" style="74" bestFit="1" customWidth="1"/>
    <col min="11018" max="11264" width="9.140625" style="74"/>
    <col min="11265" max="11265" width="49.140625" style="74" bestFit="1" customWidth="1"/>
    <col min="11266" max="11269" width="18" style="74" customWidth="1"/>
    <col min="11270" max="11270" width="22.140625" style="74" bestFit="1" customWidth="1"/>
    <col min="11271" max="11271" width="25.7109375" style="74" customWidth="1"/>
    <col min="11272" max="11272" width="9.140625" style="74"/>
    <col min="11273" max="11273" width="16.140625" style="74" bestFit="1" customWidth="1"/>
    <col min="11274" max="11520" width="9.140625" style="74"/>
    <col min="11521" max="11521" width="49.140625" style="74" bestFit="1" customWidth="1"/>
    <col min="11522" max="11525" width="18" style="74" customWidth="1"/>
    <col min="11526" max="11526" width="22.140625" style="74" bestFit="1" customWidth="1"/>
    <col min="11527" max="11527" width="25.7109375" style="74" customWidth="1"/>
    <col min="11528" max="11528" width="9.140625" style="74"/>
    <col min="11529" max="11529" width="16.140625" style="74" bestFit="1" customWidth="1"/>
    <col min="11530" max="11776" width="9.140625" style="74"/>
    <col min="11777" max="11777" width="49.140625" style="74" bestFit="1" customWidth="1"/>
    <col min="11778" max="11781" width="18" style="74" customWidth="1"/>
    <col min="11782" max="11782" width="22.140625" style="74" bestFit="1" customWidth="1"/>
    <col min="11783" max="11783" width="25.7109375" style="74" customWidth="1"/>
    <col min="11784" max="11784" width="9.140625" style="74"/>
    <col min="11785" max="11785" width="16.140625" style="74" bestFit="1" customWidth="1"/>
    <col min="11786" max="12032" width="9.140625" style="74"/>
    <col min="12033" max="12033" width="49.140625" style="74" bestFit="1" customWidth="1"/>
    <col min="12034" max="12037" width="18" style="74" customWidth="1"/>
    <col min="12038" max="12038" width="22.140625" style="74" bestFit="1" customWidth="1"/>
    <col min="12039" max="12039" width="25.7109375" style="74" customWidth="1"/>
    <col min="12040" max="12040" width="9.140625" style="74"/>
    <col min="12041" max="12041" width="16.140625" style="74" bestFit="1" customWidth="1"/>
    <col min="12042" max="12288" width="9.140625" style="74"/>
    <col min="12289" max="12289" width="49.140625" style="74" bestFit="1" customWidth="1"/>
    <col min="12290" max="12293" width="18" style="74" customWidth="1"/>
    <col min="12294" max="12294" width="22.140625" style="74" bestFit="1" customWidth="1"/>
    <col min="12295" max="12295" width="25.7109375" style="74" customWidth="1"/>
    <col min="12296" max="12296" width="9.140625" style="74"/>
    <col min="12297" max="12297" width="16.140625" style="74" bestFit="1" customWidth="1"/>
    <col min="12298" max="12544" width="9.140625" style="74"/>
    <col min="12545" max="12545" width="49.140625" style="74" bestFit="1" customWidth="1"/>
    <col min="12546" max="12549" width="18" style="74" customWidth="1"/>
    <col min="12550" max="12550" width="22.140625" style="74" bestFit="1" customWidth="1"/>
    <col min="12551" max="12551" width="25.7109375" style="74" customWidth="1"/>
    <col min="12552" max="12552" width="9.140625" style="74"/>
    <col min="12553" max="12553" width="16.140625" style="74" bestFit="1" customWidth="1"/>
    <col min="12554" max="12800" width="9.140625" style="74"/>
    <col min="12801" max="12801" width="49.140625" style="74" bestFit="1" customWidth="1"/>
    <col min="12802" max="12805" width="18" style="74" customWidth="1"/>
    <col min="12806" max="12806" width="22.140625" style="74" bestFit="1" customWidth="1"/>
    <col min="12807" max="12807" width="25.7109375" style="74" customWidth="1"/>
    <col min="12808" max="12808" width="9.140625" style="74"/>
    <col min="12809" max="12809" width="16.140625" style="74" bestFit="1" customWidth="1"/>
    <col min="12810" max="13056" width="9.140625" style="74"/>
    <col min="13057" max="13057" width="49.140625" style="74" bestFit="1" customWidth="1"/>
    <col min="13058" max="13061" width="18" style="74" customWidth="1"/>
    <col min="13062" max="13062" width="22.140625" style="74" bestFit="1" customWidth="1"/>
    <col min="13063" max="13063" width="25.7109375" style="74" customWidth="1"/>
    <col min="13064" max="13064" width="9.140625" style="74"/>
    <col min="13065" max="13065" width="16.140625" style="74" bestFit="1" customWidth="1"/>
    <col min="13066" max="13312" width="9.140625" style="74"/>
    <col min="13313" max="13313" width="49.140625" style="74" bestFit="1" customWidth="1"/>
    <col min="13314" max="13317" width="18" style="74" customWidth="1"/>
    <col min="13318" max="13318" width="22.140625" style="74" bestFit="1" customWidth="1"/>
    <col min="13319" max="13319" width="25.7109375" style="74" customWidth="1"/>
    <col min="13320" max="13320" width="9.140625" style="74"/>
    <col min="13321" max="13321" width="16.140625" style="74" bestFit="1" customWidth="1"/>
    <col min="13322" max="13568" width="9.140625" style="74"/>
    <col min="13569" max="13569" width="49.140625" style="74" bestFit="1" customWidth="1"/>
    <col min="13570" max="13573" width="18" style="74" customWidth="1"/>
    <col min="13574" max="13574" width="22.140625" style="74" bestFit="1" customWidth="1"/>
    <col min="13575" max="13575" width="25.7109375" style="74" customWidth="1"/>
    <col min="13576" max="13576" width="9.140625" style="74"/>
    <col min="13577" max="13577" width="16.140625" style="74" bestFit="1" customWidth="1"/>
    <col min="13578" max="13824" width="9.140625" style="74"/>
    <col min="13825" max="13825" width="49.140625" style="74" bestFit="1" customWidth="1"/>
    <col min="13826" max="13829" width="18" style="74" customWidth="1"/>
    <col min="13830" max="13830" width="22.140625" style="74" bestFit="1" customWidth="1"/>
    <col min="13831" max="13831" width="25.7109375" style="74" customWidth="1"/>
    <col min="13832" max="13832" width="9.140625" style="74"/>
    <col min="13833" max="13833" width="16.140625" style="74" bestFit="1" customWidth="1"/>
    <col min="13834" max="14080" width="9.140625" style="74"/>
    <col min="14081" max="14081" width="49.140625" style="74" bestFit="1" customWidth="1"/>
    <col min="14082" max="14085" width="18" style="74" customWidth="1"/>
    <col min="14086" max="14086" width="22.140625" style="74" bestFit="1" customWidth="1"/>
    <col min="14087" max="14087" width="25.7109375" style="74" customWidth="1"/>
    <col min="14088" max="14088" width="9.140625" style="74"/>
    <col min="14089" max="14089" width="16.140625" style="74" bestFit="1" customWidth="1"/>
    <col min="14090" max="14336" width="9.140625" style="74"/>
    <col min="14337" max="14337" width="49.140625" style="74" bestFit="1" customWidth="1"/>
    <col min="14338" max="14341" width="18" style="74" customWidth="1"/>
    <col min="14342" max="14342" width="22.140625" style="74" bestFit="1" customWidth="1"/>
    <col min="14343" max="14343" width="25.7109375" style="74" customWidth="1"/>
    <col min="14344" max="14344" width="9.140625" style="74"/>
    <col min="14345" max="14345" width="16.140625" style="74" bestFit="1" customWidth="1"/>
    <col min="14346" max="14592" width="9.140625" style="74"/>
    <col min="14593" max="14593" width="49.140625" style="74" bestFit="1" customWidth="1"/>
    <col min="14594" max="14597" width="18" style="74" customWidth="1"/>
    <col min="14598" max="14598" width="22.140625" style="74" bestFit="1" customWidth="1"/>
    <col min="14599" max="14599" width="25.7109375" style="74" customWidth="1"/>
    <col min="14600" max="14600" width="9.140625" style="74"/>
    <col min="14601" max="14601" width="16.140625" style="74" bestFit="1" customWidth="1"/>
    <col min="14602" max="14848" width="9.140625" style="74"/>
    <col min="14849" max="14849" width="49.140625" style="74" bestFit="1" customWidth="1"/>
    <col min="14850" max="14853" width="18" style="74" customWidth="1"/>
    <col min="14854" max="14854" width="22.140625" style="74" bestFit="1" customWidth="1"/>
    <col min="14855" max="14855" width="25.7109375" style="74" customWidth="1"/>
    <col min="14856" max="14856" width="9.140625" style="74"/>
    <col min="14857" max="14857" width="16.140625" style="74" bestFit="1" customWidth="1"/>
    <col min="14858" max="15104" width="9.140625" style="74"/>
    <col min="15105" max="15105" width="49.140625" style="74" bestFit="1" customWidth="1"/>
    <col min="15106" max="15109" width="18" style="74" customWidth="1"/>
    <col min="15110" max="15110" width="22.140625" style="74" bestFit="1" customWidth="1"/>
    <col min="15111" max="15111" width="25.7109375" style="74" customWidth="1"/>
    <col min="15112" max="15112" width="9.140625" style="74"/>
    <col min="15113" max="15113" width="16.140625" style="74" bestFit="1" customWidth="1"/>
    <col min="15114" max="15360" width="9.140625" style="74"/>
    <col min="15361" max="15361" width="49.140625" style="74" bestFit="1" customWidth="1"/>
    <col min="15362" max="15365" width="18" style="74" customWidth="1"/>
    <col min="15366" max="15366" width="22.140625" style="74" bestFit="1" customWidth="1"/>
    <col min="15367" max="15367" width="25.7109375" style="74" customWidth="1"/>
    <col min="15368" max="15368" width="9.140625" style="74"/>
    <col min="15369" max="15369" width="16.140625" style="74" bestFit="1" customWidth="1"/>
    <col min="15370" max="15616" width="9.140625" style="74"/>
    <col min="15617" max="15617" width="49.140625" style="74" bestFit="1" customWidth="1"/>
    <col min="15618" max="15621" width="18" style="74" customWidth="1"/>
    <col min="15622" max="15622" width="22.140625" style="74" bestFit="1" customWidth="1"/>
    <col min="15623" max="15623" width="25.7109375" style="74" customWidth="1"/>
    <col min="15624" max="15624" width="9.140625" style="74"/>
    <col min="15625" max="15625" width="16.140625" style="74" bestFit="1" customWidth="1"/>
    <col min="15626" max="15872" width="9.140625" style="74"/>
    <col min="15873" max="15873" width="49.140625" style="74" bestFit="1" customWidth="1"/>
    <col min="15874" max="15877" width="18" style="74" customWidth="1"/>
    <col min="15878" max="15878" width="22.140625" style="74" bestFit="1" customWidth="1"/>
    <col min="15879" max="15879" width="25.7109375" style="74" customWidth="1"/>
    <col min="15880" max="15880" width="9.140625" style="74"/>
    <col min="15881" max="15881" width="16.140625" style="74" bestFit="1" customWidth="1"/>
    <col min="15882" max="16128" width="9.140625" style="74"/>
    <col min="16129" max="16129" width="49.140625" style="74" bestFit="1" customWidth="1"/>
    <col min="16130" max="16133" width="18" style="74" customWidth="1"/>
    <col min="16134" max="16134" width="22.140625" style="74" bestFit="1" customWidth="1"/>
    <col min="16135" max="16135" width="25.7109375" style="74" customWidth="1"/>
    <col min="16136" max="16136" width="9.140625" style="74"/>
    <col min="16137" max="16137" width="16.140625" style="74" bestFit="1" customWidth="1"/>
    <col min="16138" max="16384" width="9.140625" style="74"/>
  </cols>
  <sheetData>
    <row r="1" spans="1:9" x14ac:dyDescent="0.25">
      <c r="A1" s="77">
        <f>'[1]B.F. 05 '!A5:K5</f>
        <v>44136</v>
      </c>
      <c r="D1" s="78"/>
      <c r="I1" s="79" t="s">
        <v>75</v>
      </c>
    </row>
    <row r="2" spans="1:9" ht="15.75" x14ac:dyDescent="0.25">
      <c r="A2" s="226" t="s">
        <v>0</v>
      </c>
      <c r="B2" s="226"/>
      <c r="C2" s="226"/>
      <c r="D2" s="226"/>
      <c r="E2" s="226"/>
      <c r="F2" s="226"/>
      <c r="G2" s="226"/>
      <c r="H2" s="74" t="s">
        <v>76</v>
      </c>
      <c r="I2" s="79">
        <f>'Balanço Financeiro '!G7</f>
        <v>23710361.93</v>
      </c>
    </row>
    <row r="3" spans="1:9" ht="15.75" x14ac:dyDescent="0.25">
      <c r="A3" s="226" t="s">
        <v>77</v>
      </c>
      <c r="B3" s="226"/>
      <c r="C3" s="226"/>
      <c r="D3" s="226"/>
      <c r="E3" s="226"/>
      <c r="F3" s="226"/>
      <c r="G3" s="226"/>
      <c r="H3" s="74" t="s">
        <v>78</v>
      </c>
      <c r="I3" s="79">
        <f>F8</f>
        <v>23710361.93</v>
      </c>
    </row>
    <row r="4" spans="1:9" ht="15.75" x14ac:dyDescent="0.25">
      <c r="A4" s="226" t="s">
        <v>79</v>
      </c>
      <c r="B4" s="226"/>
      <c r="C4" s="226"/>
      <c r="D4" s="226"/>
      <c r="E4" s="226"/>
      <c r="F4" s="226"/>
      <c r="G4" s="226"/>
      <c r="H4" s="74" t="s">
        <v>80</v>
      </c>
      <c r="I4" s="80">
        <f>L2-L3</f>
        <v>0</v>
      </c>
    </row>
    <row r="5" spans="1:9" ht="15.75" x14ac:dyDescent="0.25">
      <c r="A5" s="226" t="s">
        <v>81</v>
      </c>
      <c r="B5" s="226"/>
      <c r="C5" s="226"/>
      <c r="D5" s="226"/>
      <c r="E5" s="226"/>
      <c r="F5" s="226"/>
      <c r="G5" s="226"/>
    </row>
    <row r="6" spans="1:9" x14ac:dyDescent="0.25">
      <c r="A6" s="81"/>
      <c r="B6" s="81"/>
      <c r="C6" s="81"/>
      <c r="D6" s="81"/>
      <c r="E6" s="81"/>
    </row>
    <row r="7" spans="1:9" x14ac:dyDescent="0.25">
      <c r="A7" s="82" t="s">
        <v>82</v>
      </c>
      <c r="B7" s="227" t="s">
        <v>83</v>
      </c>
      <c r="C7" s="227"/>
      <c r="D7" s="227" t="s">
        <v>84</v>
      </c>
      <c r="E7" s="227"/>
      <c r="F7" s="83" t="s">
        <v>85</v>
      </c>
      <c r="G7" s="83" t="s">
        <v>86</v>
      </c>
    </row>
    <row r="8" spans="1:9" ht="15.75" x14ac:dyDescent="0.25">
      <c r="A8" s="84" t="s">
        <v>87</v>
      </c>
      <c r="B8" s="228">
        <f>SUM(B9:B16)</f>
        <v>86517256</v>
      </c>
      <c r="C8" s="228"/>
      <c r="D8" s="228">
        <f>SUM(D9:D16)</f>
        <v>86517256</v>
      </c>
      <c r="E8" s="228"/>
      <c r="F8" s="85">
        <f>SUM(F9:F16)</f>
        <v>23710361.93</v>
      </c>
      <c r="G8" s="85">
        <f>F8-D8</f>
        <v>-62806894.07</v>
      </c>
    </row>
    <row r="9" spans="1:9" ht="15.75" x14ac:dyDescent="0.25">
      <c r="A9" s="86" t="s">
        <v>88</v>
      </c>
      <c r="B9" s="229"/>
      <c r="C9" s="230"/>
      <c r="D9" s="229"/>
      <c r="E9" s="230"/>
      <c r="F9" s="87"/>
      <c r="G9" s="87">
        <f t="shared" ref="G9:G22" si="0">F9-D9</f>
        <v>0</v>
      </c>
    </row>
    <row r="10" spans="1:9" ht="15.75" x14ac:dyDescent="0.25">
      <c r="A10" s="86" t="s">
        <v>89</v>
      </c>
      <c r="B10" s="231"/>
      <c r="C10" s="232"/>
      <c r="D10" s="229"/>
      <c r="E10" s="230"/>
      <c r="F10" s="87"/>
      <c r="G10" s="87">
        <f t="shared" si="0"/>
        <v>0</v>
      </c>
    </row>
    <row r="11" spans="1:9" ht="15.75" x14ac:dyDescent="0.25">
      <c r="A11" s="86" t="s">
        <v>90</v>
      </c>
      <c r="B11" s="231">
        <f>HLOOKUP($A$1,[1]DADOS!$A1:$IV200,4,0)</f>
        <v>16517256</v>
      </c>
      <c r="C11" s="232"/>
      <c r="D11" s="229">
        <f>$B$11</f>
        <v>16517256</v>
      </c>
      <c r="E11" s="230"/>
      <c r="F11" s="88">
        <f>HLOOKUP($A$1,[1]DADOS!$A1:$IV200,8,0)</f>
        <v>5018309.419999999</v>
      </c>
      <c r="G11" s="87">
        <f>F11-D11</f>
        <v>-11498946.580000002</v>
      </c>
    </row>
    <row r="12" spans="1:9" ht="15.75" x14ac:dyDescent="0.25">
      <c r="A12" s="86" t="s">
        <v>91</v>
      </c>
      <c r="B12" s="231"/>
      <c r="C12" s="232"/>
      <c r="D12" s="229">
        <f>B12</f>
        <v>0</v>
      </c>
      <c r="E12" s="230"/>
      <c r="F12" s="87"/>
      <c r="G12" s="87">
        <f t="shared" si="0"/>
        <v>0</v>
      </c>
    </row>
    <row r="13" spans="1:9" ht="15.75" x14ac:dyDescent="0.25">
      <c r="A13" s="86" t="s">
        <v>92</v>
      </c>
      <c r="B13" s="229"/>
      <c r="C13" s="230"/>
      <c r="D13" s="229">
        <f>B13</f>
        <v>0</v>
      </c>
      <c r="E13" s="230"/>
      <c r="F13" s="87"/>
      <c r="G13" s="87">
        <f t="shared" si="0"/>
        <v>0</v>
      </c>
    </row>
    <row r="14" spans="1:9" ht="15.75" x14ac:dyDescent="0.25">
      <c r="A14" s="86" t="s">
        <v>93</v>
      </c>
      <c r="B14" s="229"/>
      <c r="C14" s="230"/>
      <c r="D14" s="229">
        <f>B14</f>
        <v>0</v>
      </c>
      <c r="E14" s="230"/>
      <c r="F14" s="87"/>
      <c r="G14" s="87">
        <f t="shared" si="0"/>
        <v>0</v>
      </c>
    </row>
    <row r="15" spans="1:9" ht="15.75" x14ac:dyDescent="0.25">
      <c r="A15" s="86" t="s">
        <v>94</v>
      </c>
      <c r="B15" s="229"/>
      <c r="C15" s="230"/>
      <c r="D15" s="229">
        <f>B15</f>
        <v>0</v>
      </c>
      <c r="E15" s="230"/>
      <c r="F15" s="87">
        <f>HLOOKUP($A$1,[1]DADOS!$A1:$IV200,53,0)+HLOOKUP($A$1,[1]DADOS!$A1:$IV200,59,0)</f>
        <v>0</v>
      </c>
      <c r="G15" s="87">
        <f>F15-D15</f>
        <v>0</v>
      </c>
    </row>
    <row r="16" spans="1:9" ht="15.75" x14ac:dyDescent="0.25">
      <c r="A16" s="86" t="s">
        <v>95</v>
      </c>
      <c r="B16" s="231">
        <f>HLOOKUP($A$1,[1]DADOS!$A1:$IV200,12,0)</f>
        <v>70000000</v>
      </c>
      <c r="C16" s="232"/>
      <c r="D16" s="229">
        <f>$B$16</f>
        <v>70000000</v>
      </c>
      <c r="E16" s="230"/>
      <c r="F16" s="88">
        <f>HLOOKUP($A$1,[1]DADOS!$A1:$IV174,16,0)+HLOOKUP($A$1,[1]DADOS!$A1:$IV174,26,0)+HLOOKUP($A$1,[1]DADOS!$A1:$IV174,34,0)+HLOOKUP($A$1,[1]DADOS!$A1:$IV174,42,0)++HLOOKUP($A$1,[1]DADOS!$A1:$IV174,50,0)++HLOOKUP($A$1,[1]DADOS!$A1:$IV174,83,0)</f>
        <v>18692052.510000002</v>
      </c>
      <c r="G16" s="87">
        <f>F16-D16</f>
        <v>-51307947.489999995</v>
      </c>
    </row>
    <row r="17" spans="1:9" ht="15.75" x14ac:dyDescent="0.25">
      <c r="A17" s="89" t="s">
        <v>96</v>
      </c>
      <c r="B17" s="233">
        <f>SUM(B18:B22)</f>
        <v>0</v>
      </c>
      <c r="C17" s="233"/>
      <c r="D17" s="233">
        <f>SUM(D18:D22)</f>
        <v>0</v>
      </c>
      <c r="E17" s="233"/>
      <c r="F17" s="90">
        <f>SUM(F18:F22)</f>
        <v>0</v>
      </c>
      <c r="G17" s="90">
        <f t="shared" si="0"/>
        <v>0</v>
      </c>
    </row>
    <row r="18" spans="1:9" ht="15.75" x14ac:dyDescent="0.25">
      <c r="A18" s="86" t="s">
        <v>97</v>
      </c>
      <c r="B18" s="234"/>
      <c r="C18" s="235"/>
      <c r="D18" s="234"/>
      <c r="E18" s="235"/>
      <c r="F18" s="91"/>
      <c r="G18" s="92">
        <f t="shared" si="0"/>
        <v>0</v>
      </c>
    </row>
    <row r="19" spans="1:9" ht="15.75" x14ac:dyDescent="0.25">
      <c r="A19" s="86" t="s">
        <v>98</v>
      </c>
      <c r="B19" s="234"/>
      <c r="C19" s="235"/>
      <c r="D19" s="234"/>
      <c r="E19" s="235"/>
      <c r="F19" s="91"/>
      <c r="G19" s="92">
        <f t="shared" si="0"/>
        <v>0</v>
      </c>
    </row>
    <row r="20" spans="1:9" ht="15.75" x14ac:dyDescent="0.25">
      <c r="A20" s="86" t="s">
        <v>99</v>
      </c>
      <c r="B20" s="234"/>
      <c r="C20" s="235"/>
      <c r="D20" s="234"/>
      <c r="E20" s="235"/>
      <c r="F20" s="91"/>
      <c r="G20" s="92">
        <f t="shared" si="0"/>
        <v>0</v>
      </c>
    </row>
    <row r="21" spans="1:9" ht="15.75" x14ac:dyDescent="0.25">
      <c r="A21" s="86" t="s">
        <v>100</v>
      </c>
      <c r="B21" s="234"/>
      <c r="C21" s="235"/>
      <c r="D21" s="234"/>
      <c r="E21" s="235"/>
      <c r="F21" s="91"/>
      <c r="G21" s="92">
        <f t="shared" si="0"/>
        <v>0</v>
      </c>
    </row>
    <row r="22" spans="1:9" ht="15.75" x14ac:dyDescent="0.25">
      <c r="A22" s="86" t="s">
        <v>101</v>
      </c>
      <c r="B22" s="234"/>
      <c r="C22" s="235"/>
      <c r="D22" s="234"/>
      <c r="E22" s="235"/>
      <c r="F22" s="91"/>
      <c r="G22" s="92">
        <f t="shared" si="0"/>
        <v>0</v>
      </c>
    </row>
    <row r="23" spans="1:9" ht="15.75" hidden="1" x14ac:dyDescent="0.25">
      <c r="A23" s="93"/>
      <c r="B23" s="236"/>
      <c r="C23" s="237"/>
      <c r="D23" s="236"/>
      <c r="E23" s="237"/>
      <c r="F23" s="94"/>
      <c r="G23" s="94"/>
    </row>
    <row r="24" spans="1:9" s="96" customFormat="1" ht="15.75" x14ac:dyDescent="0.25">
      <c r="A24" s="89" t="s">
        <v>102</v>
      </c>
      <c r="B24" s="238">
        <f>B8+B17+B23</f>
        <v>86517256</v>
      </c>
      <c r="C24" s="238"/>
      <c r="D24" s="238">
        <f>D8+D17+D23</f>
        <v>86517256</v>
      </c>
      <c r="E24" s="238"/>
      <c r="F24" s="95">
        <f>F8+F17+F23</f>
        <v>23710361.93</v>
      </c>
      <c r="G24" s="95">
        <f>F24-D24</f>
        <v>-62806894.07</v>
      </c>
      <c r="I24" s="97"/>
    </row>
    <row r="25" spans="1:9" ht="15.75" x14ac:dyDescent="0.25">
      <c r="A25" s="84" t="s">
        <v>103</v>
      </c>
      <c r="B25" s="239">
        <f>SUM(B26:B31)</f>
        <v>0</v>
      </c>
      <c r="C25" s="239"/>
      <c r="D25" s="239">
        <f>SUM(D26:D31)</f>
        <v>0</v>
      </c>
      <c r="E25" s="239"/>
      <c r="F25" s="98">
        <f>SUM(F26:F31)</f>
        <v>0</v>
      </c>
      <c r="G25" s="98">
        <f>F25-D25</f>
        <v>0</v>
      </c>
    </row>
    <row r="26" spans="1:9" ht="15.75" x14ac:dyDescent="0.25">
      <c r="A26" s="86" t="s">
        <v>104</v>
      </c>
      <c r="B26" s="240"/>
      <c r="C26" s="241"/>
      <c r="D26" s="234"/>
      <c r="E26" s="235"/>
      <c r="F26" s="91"/>
      <c r="G26" s="91"/>
    </row>
    <row r="27" spans="1:9" ht="15.75" x14ac:dyDescent="0.25">
      <c r="A27" s="86" t="s">
        <v>105</v>
      </c>
      <c r="B27" s="234"/>
      <c r="C27" s="235"/>
      <c r="D27" s="234"/>
      <c r="E27" s="235"/>
      <c r="F27" s="91"/>
      <c r="G27" s="91"/>
    </row>
    <row r="28" spans="1:9" ht="15.75" x14ac:dyDescent="0.25">
      <c r="A28" s="86" t="s">
        <v>106</v>
      </c>
      <c r="B28" s="234"/>
      <c r="C28" s="235"/>
      <c r="D28" s="234"/>
      <c r="E28" s="235"/>
      <c r="F28" s="91"/>
      <c r="G28" s="91"/>
    </row>
    <row r="29" spans="1:9" ht="15.75" x14ac:dyDescent="0.25">
      <c r="A29" s="86" t="s">
        <v>107</v>
      </c>
      <c r="B29" s="234"/>
      <c r="C29" s="235"/>
      <c r="D29" s="234"/>
      <c r="E29" s="235"/>
      <c r="F29" s="91"/>
      <c r="G29" s="91"/>
    </row>
    <row r="30" spans="1:9" ht="15.75" x14ac:dyDescent="0.25">
      <c r="A30" s="86" t="s">
        <v>105</v>
      </c>
      <c r="B30" s="234"/>
      <c r="C30" s="235"/>
      <c r="D30" s="234"/>
      <c r="E30" s="235"/>
      <c r="F30" s="91"/>
      <c r="G30" s="91"/>
    </row>
    <row r="31" spans="1:9" ht="15.75" x14ac:dyDescent="0.25">
      <c r="A31" s="86" t="s">
        <v>106</v>
      </c>
      <c r="B31" s="234"/>
      <c r="C31" s="235"/>
      <c r="D31" s="234"/>
      <c r="E31" s="235"/>
      <c r="F31" s="91"/>
      <c r="G31" s="91"/>
    </row>
    <row r="32" spans="1:9" ht="15.75" x14ac:dyDescent="0.25">
      <c r="A32" s="89" t="s">
        <v>108</v>
      </c>
      <c r="B32" s="238">
        <f>B25+B24</f>
        <v>86517256</v>
      </c>
      <c r="C32" s="238"/>
      <c r="D32" s="238">
        <f>D25+D24</f>
        <v>86517256</v>
      </c>
      <c r="E32" s="238"/>
      <c r="F32" s="95">
        <f>F25+F24</f>
        <v>23710361.93</v>
      </c>
      <c r="G32" s="95">
        <f>F32-D32</f>
        <v>-62806894.07</v>
      </c>
    </row>
    <row r="33" spans="1:9" ht="15.75" x14ac:dyDescent="0.25">
      <c r="A33" s="93" t="s">
        <v>109</v>
      </c>
      <c r="B33" s="242">
        <f>IF(B32&gt;B59,0,B59-B32)</f>
        <v>0</v>
      </c>
      <c r="C33" s="242"/>
      <c r="D33" s="242">
        <f>IF(D32&gt;C59,0,C59-D32)</f>
        <v>0</v>
      </c>
      <c r="E33" s="242"/>
      <c r="F33" s="99">
        <f>IF(F32&gt;D59,0,D59-F32)</f>
        <v>0</v>
      </c>
      <c r="G33" s="99">
        <f>+F33-D33</f>
        <v>0</v>
      </c>
      <c r="H33" s="100"/>
    </row>
    <row r="34" spans="1:9" s="96" customFormat="1" ht="15.75" x14ac:dyDescent="0.25">
      <c r="A34" s="89" t="s">
        <v>110</v>
      </c>
      <c r="B34" s="238">
        <f>B32+B33</f>
        <v>86517256</v>
      </c>
      <c r="C34" s="238"/>
      <c r="D34" s="238">
        <f>D32+D33</f>
        <v>86517256</v>
      </c>
      <c r="E34" s="238"/>
      <c r="F34" s="95">
        <f>F32+F33</f>
        <v>23710361.93</v>
      </c>
      <c r="G34" s="95">
        <f>F34-D34</f>
        <v>-62806894.07</v>
      </c>
      <c r="I34" s="97"/>
    </row>
    <row r="35" spans="1:9" ht="15.75" x14ac:dyDescent="0.25">
      <c r="A35" s="101" t="s">
        <v>111</v>
      </c>
      <c r="B35" s="245">
        <f>SUM(B36:C38)</f>
        <v>0</v>
      </c>
      <c r="C35" s="246"/>
      <c r="D35" s="245">
        <f>SUM(D36:E38)</f>
        <v>0</v>
      </c>
      <c r="E35" s="246"/>
      <c r="F35" s="102">
        <f>SUM(F36:F38)</f>
        <v>0</v>
      </c>
      <c r="G35" s="102">
        <f>SUM(G36:G38)</f>
        <v>0</v>
      </c>
    </row>
    <row r="36" spans="1:9" x14ac:dyDescent="0.25">
      <c r="A36" s="103" t="s">
        <v>112</v>
      </c>
      <c r="B36" s="247"/>
      <c r="C36" s="248"/>
      <c r="D36" s="249"/>
      <c r="E36" s="249"/>
      <c r="F36" s="104"/>
      <c r="G36" s="104"/>
    </row>
    <row r="37" spans="1:9" ht="15.75" x14ac:dyDescent="0.25">
      <c r="A37" s="105" t="s">
        <v>113</v>
      </c>
      <c r="B37" s="240"/>
      <c r="C37" s="250"/>
      <c r="D37" s="240"/>
      <c r="E37" s="250"/>
      <c r="F37" s="106"/>
      <c r="G37" s="107"/>
      <c r="H37" s="106"/>
    </row>
    <row r="38" spans="1:9" ht="15.75" x14ac:dyDescent="0.25">
      <c r="A38" s="108" t="s">
        <v>114</v>
      </c>
      <c r="B38" s="109"/>
      <c r="C38" s="110"/>
      <c r="D38" s="109"/>
      <c r="E38" s="110"/>
      <c r="F38" s="109"/>
      <c r="G38" s="111"/>
      <c r="H38" s="106"/>
    </row>
    <row r="40" spans="1:9" s="114" customFormat="1" ht="30" x14ac:dyDescent="0.2">
      <c r="A40" s="112" t="s">
        <v>115</v>
      </c>
      <c r="B40" s="113" t="s">
        <v>116</v>
      </c>
      <c r="C40" s="113" t="s">
        <v>117</v>
      </c>
      <c r="D40" s="113" t="s">
        <v>118</v>
      </c>
      <c r="E40" s="113" t="s">
        <v>119</v>
      </c>
      <c r="F40" s="113" t="s">
        <v>120</v>
      </c>
      <c r="G40" s="113" t="s">
        <v>121</v>
      </c>
      <c r="I40" s="115"/>
    </row>
    <row r="41" spans="1:9" ht="15.75" x14ac:dyDescent="0.25">
      <c r="A41" s="84" t="s">
        <v>122</v>
      </c>
      <c r="B41" s="116">
        <f>SUM(B42:B44)</f>
        <v>0</v>
      </c>
      <c r="C41" s="116">
        <f>SUM(C42:C44)</f>
        <v>0</v>
      </c>
      <c r="D41" s="116">
        <f>SUM(D42:D44)</f>
        <v>0</v>
      </c>
      <c r="E41" s="116">
        <f>SUM(E42:E44)</f>
        <v>177637062.22</v>
      </c>
      <c r="F41" s="116">
        <f>SUM(F42:F44)</f>
        <v>0</v>
      </c>
      <c r="G41" s="116">
        <f>C41-D41</f>
        <v>0</v>
      </c>
    </row>
    <row r="42" spans="1:9" ht="15.75" x14ac:dyDescent="0.25">
      <c r="A42" s="86" t="s">
        <v>123</v>
      </c>
      <c r="B42" s="86"/>
      <c r="C42" s="86"/>
      <c r="D42" s="86"/>
      <c r="E42" s="86"/>
      <c r="F42" s="86"/>
      <c r="G42" s="86"/>
    </row>
    <row r="43" spans="1:9" ht="15.75" x14ac:dyDescent="0.25">
      <c r="A43" s="86" t="s">
        <v>124</v>
      </c>
      <c r="B43" s="86"/>
      <c r="C43" s="86"/>
      <c r="D43" s="86"/>
      <c r="E43" s="86"/>
      <c r="F43" s="86"/>
      <c r="G43" s="86"/>
    </row>
    <row r="44" spans="1:9" ht="15.75" x14ac:dyDescent="0.25">
      <c r="A44" s="86" t="s">
        <v>125</v>
      </c>
      <c r="B44" s="117">
        <f>HLOOKUP($A$1,[1]DADOS!$A1:$IV200,100,0)</f>
        <v>0</v>
      </c>
      <c r="C44" s="118">
        <f>HLOOKUP($A$1,[1]DADOS!$A1:$IV200,101,0)</f>
        <v>0</v>
      </c>
      <c r="D44" s="117">
        <f>HLOOKUP($A$1,[1]DADOS!$A1:$IV200,102,0)</f>
        <v>0</v>
      </c>
      <c r="E44" s="117">
        <f>HLOOKUP($A$1,[1]DADOS!$A1:$IV200,103,0)</f>
        <v>177637062.22</v>
      </c>
      <c r="F44" s="117">
        <f>HLOOKUP($A$1,[1]DADOS!$A1:$IV200,104,0)</f>
        <v>0</v>
      </c>
      <c r="G44" s="118">
        <f>C44-D44</f>
        <v>0</v>
      </c>
    </row>
    <row r="45" spans="1:9" ht="15.75" x14ac:dyDescent="0.25">
      <c r="A45" s="89" t="s">
        <v>126</v>
      </c>
      <c r="B45" s="119">
        <f>SUM(B46:B48)</f>
        <v>0</v>
      </c>
      <c r="C45" s="119">
        <f>SUM(C46:C48)</f>
        <v>0</v>
      </c>
      <c r="D45" s="119">
        <f>SUM(D46:D48)</f>
        <v>382311.86</v>
      </c>
      <c r="E45" s="119">
        <f>SUM(E46:E48)</f>
        <v>178019374.08000001</v>
      </c>
      <c r="F45" s="119">
        <f>SUM(F46:F48)</f>
        <v>0</v>
      </c>
      <c r="G45" s="120">
        <f>C45-D45</f>
        <v>-382311.86</v>
      </c>
    </row>
    <row r="46" spans="1:9" ht="15.75" x14ac:dyDescent="0.25">
      <c r="A46" s="86" t="s">
        <v>127</v>
      </c>
      <c r="B46" s="117">
        <f>HLOOKUP($A$1,[1]DADOS!$A1:$IV200,106,0)</f>
        <v>0</v>
      </c>
      <c r="C46" s="118">
        <f>HLOOKUP($A$1,[1]DADOS!$A1:$IV200,107,0)</f>
        <v>0</v>
      </c>
      <c r="D46" s="117">
        <f>HLOOKUP($A$1,[1]DADOS!$A1:$IV200,108,0)</f>
        <v>382311.86</v>
      </c>
      <c r="E46" s="117">
        <f>HLOOKUP($A$1,[1]DADOS!$A1:$IV200,109,0)</f>
        <v>178019374.08000001</v>
      </c>
      <c r="F46" s="117">
        <f>HLOOKUP($A$1,[1]DADOS!$A1:$IV200,110,0)</f>
        <v>0</v>
      </c>
      <c r="G46" s="118">
        <f>C46-D46</f>
        <v>-382311.86</v>
      </c>
    </row>
    <row r="47" spans="1:9" ht="15.75" x14ac:dyDescent="0.25">
      <c r="A47" s="86" t="s">
        <v>128</v>
      </c>
      <c r="B47" s="86"/>
      <c r="C47" s="86"/>
      <c r="D47" s="86"/>
      <c r="E47" s="86"/>
      <c r="F47" s="86"/>
      <c r="G47" s="86"/>
    </row>
    <row r="48" spans="1:9" ht="15.75" x14ac:dyDescent="0.25">
      <c r="A48" s="86" t="s">
        <v>129</v>
      </c>
      <c r="B48" s="86"/>
      <c r="C48" s="86"/>
      <c r="D48" s="86"/>
      <c r="E48" s="86"/>
      <c r="F48" s="86"/>
      <c r="G48" s="86"/>
    </row>
    <row r="49" spans="1:16" ht="15.75" x14ac:dyDescent="0.25">
      <c r="A49" s="121" t="s">
        <v>130</v>
      </c>
      <c r="B49" s="121"/>
      <c r="C49" s="121"/>
      <c r="D49" s="121"/>
      <c r="E49" s="121"/>
      <c r="F49" s="121"/>
      <c r="G49" s="121"/>
    </row>
    <row r="50" spans="1:16" ht="15.75" hidden="1" x14ac:dyDescent="0.25">
      <c r="A50" s="121" t="s">
        <v>131</v>
      </c>
      <c r="B50" s="121"/>
      <c r="C50" s="121"/>
      <c r="D50" s="121"/>
      <c r="E50" s="121"/>
      <c r="F50" s="121"/>
      <c r="G50" s="121"/>
    </row>
    <row r="51" spans="1:16" ht="15.75" x14ac:dyDescent="0.25">
      <c r="A51" s="89" t="s">
        <v>132</v>
      </c>
      <c r="B51" s="120">
        <f>B41+B45+B49+B50</f>
        <v>0</v>
      </c>
      <c r="C51" s="120">
        <f>C41+C45+C49+C50</f>
        <v>0</v>
      </c>
      <c r="D51" s="120">
        <f>D41+D45+D49+D50</f>
        <v>382311.86</v>
      </c>
      <c r="E51" s="120">
        <f>E41+E45+E49+E50</f>
        <v>355656436.30000001</v>
      </c>
      <c r="F51" s="120">
        <f>F41+F45+F49+F50</f>
        <v>0</v>
      </c>
      <c r="G51" s="120">
        <f>C51-D51</f>
        <v>-382311.86</v>
      </c>
    </row>
    <row r="52" spans="1:16" ht="15.75" x14ac:dyDescent="0.25">
      <c r="A52" s="84" t="s">
        <v>133</v>
      </c>
      <c r="B52" s="102">
        <f>SUM(B53:B58)</f>
        <v>0</v>
      </c>
      <c r="C52" s="102">
        <f>SUM(C53:C58)</f>
        <v>0</v>
      </c>
      <c r="D52" s="102">
        <f>SUM(D53:D58)</f>
        <v>0</v>
      </c>
      <c r="E52" s="102">
        <f>SUM(E53:E58)</f>
        <v>0</v>
      </c>
      <c r="F52" s="102">
        <f>SUM(F53:F58)</f>
        <v>0</v>
      </c>
      <c r="G52" s="102">
        <f>(C52-D52)</f>
        <v>0</v>
      </c>
    </row>
    <row r="53" spans="1:16" ht="15.75" x14ac:dyDescent="0.25">
      <c r="A53" s="86" t="s">
        <v>134</v>
      </c>
      <c r="B53" s="86"/>
      <c r="C53" s="86"/>
      <c r="D53" s="86"/>
      <c r="E53" s="86"/>
      <c r="F53" s="86"/>
      <c r="G53" s="86"/>
    </row>
    <row r="54" spans="1:16" ht="15.75" x14ac:dyDescent="0.25">
      <c r="A54" s="86" t="s">
        <v>135</v>
      </c>
      <c r="B54" s="86"/>
      <c r="C54" s="86"/>
      <c r="D54" s="86"/>
      <c r="E54" s="86"/>
      <c r="F54" s="86"/>
      <c r="G54" s="86"/>
    </row>
    <row r="55" spans="1:16" ht="15.75" x14ac:dyDescent="0.25">
      <c r="A55" s="86" t="s">
        <v>136</v>
      </c>
      <c r="B55" s="86"/>
      <c r="C55" s="86"/>
      <c r="D55" s="86"/>
      <c r="E55" s="86"/>
      <c r="F55" s="86"/>
      <c r="G55" s="86"/>
    </row>
    <row r="56" spans="1:16" ht="15.75" x14ac:dyDescent="0.25">
      <c r="A56" s="86" t="s">
        <v>137</v>
      </c>
      <c r="B56" s="86"/>
      <c r="C56" s="86"/>
      <c r="D56" s="86"/>
      <c r="E56" s="86"/>
      <c r="F56" s="86"/>
      <c r="G56" s="86"/>
    </row>
    <row r="57" spans="1:16" ht="15.75" x14ac:dyDescent="0.25">
      <c r="A57" s="86" t="s">
        <v>138</v>
      </c>
      <c r="B57" s="86"/>
      <c r="C57" s="86"/>
      <c r="D57" s="86"/>
      <c r="E57" s="86"/>
      <c r="F57" s="86"/>
      <c r="G57" s="86"/>
    </row>
    <row r="58" spans="1:16" ht="15.75" x14ac:dyDescent="0.25">
      <c r="A58" s="86" t="s">
        <v>136</v>
      </c>
      <c r="B58" s="86"/>
      <c r="C58" s="86"/>
      <c r="D58" s="86"/>
      <c r="E58" s="86"/>
      <c r="F58" s="86"/>
      <c r="G58" s="86"/>
    </row>
    <row r="59" spans="1:16" ht="15.75" x14ac:dyDescent="0.25">
      <c r="A59" s="89" t="s">
        <v>139</v>
      </c>
      <c r="B59" s="120">
        <f>(B51+B52)</f>
        <v>0</v>
      </c>
      <c r="C59" s="120">
        <f>(C51+C52)</f>
        <v>0</v>
      </c>
      <c r="D59" s="120">
        <f>(D51+D52)</f>
        <v>382311.86</v>
      </c>
      <c r="E59" s="120">
        <f>(E51+E52)</f>
        <v>355656436.30000001</v>
      </c>
      <c r="F59" s="120">
        <f>(F51+F52)</f>
        <v>0</v>
      </c>
      <c r="G59" s="119">
        <f>(C59-D59)</f>
        <v>-382311.86</v>
      </c>
    </row>
    <row r="60" spans="1:16" ht="15.75" x14ac:dyDescent="0.25">
      <c r="A60" s="89" t="s">
        <v>140</v>
      </c>
      <c r="B60" s="119">
        <f>IF(B32&gt;B59,B32-B59,0)</f>
        <v>86517256</v>
      </c>
      <c r="C60" s="119">
        <f>IF(D32&gt;C59,D32-C59,0)</f>
        <v>86517256</v>
      </c>
      <c r="D60" s="119">
        <f>IF(F32&gt;D59,F32-D59,0)</f>
        <v>23328050.07</v>
      </c>
      <c r="E60" s="119">
        <f>IF(E32&gt;E59,E32-E59,0)</f>
        <v>0</v>
      </c>
      <c r="F60" s="119">
        <v>0</v>
      </c>
      <c r="G60" s="95">
        <f>+C60-D60</f>
        <v>63189205.93</v>
      </c>
    </row>
    <row r="61" spans="1:16" ht="15.75" x14ac:dyDescent="0.25">
      <c r="A61" s="89" t="s">
        <v>141</v>
      </c>
      <c r="B61" s="120">
        <f>B59+B60</f>
        <v>86517256</v>
      </c>
      <c r="C61" s="120">
        <f>C59+C60</f>
        <v>86517256</v>
      </c>
      <c r="D61" s="120">
        <f>D59+D60</f>
        <v>23710361.93</v>
      </c>
      <c r="E61" s="120">
        <f>E59+E60</f>
        <v>355656436.30000001</v>
      </c>
      <c r="F61" s="120">
        <f>F59+F60</f>
        <v>0</v>
      </c>
      <c r="G61" s="119">
        <f>(C61-D61)</f>
        <v>62806894.07</v>
      </c>
    </row>
    <row r="62" spans="1:16" ht="15.75" x14ac:dyDescent="0.25">
      <c r="A62" s="122" t="s">
        <v>142</v>
      </c>
      <c r="B62" s="120"/>
      <c r="C62" s="120"/>
      <c r="D62" s="120"/>
      <c r="E62" s="120"/>
      <c r="F62" s="120"/>
      <c r="G62" s="119"/>
    </row>
    <row r="63" spans="1:16" s="45" customFormat="1" ht="13.5" customHeight="1" x14ac:dyDescent="0.2">
      <c r="A63" s="123" t="s">
        <v>46</v>
      </c>
      <c r="B63" s="41"/>
      <c r="C63" s="41"/>
      <c r="D63" s="41"/>
      <c r="E63" s="42"/>
      <c r="F63" s="42"/>
      <c r="G63" s="42"/>
      <c r="H63" s="41"/>
      <c r="I63" s="124" t="s">
        <v>143</v>
      </c>
      <c r="J63" s="41"/>
      <c r="K63" s="42"/>
      <c r="L63" s="42"/>
      <c r="M63" s="42"/>
      <c r="N63" s="43"/>
    </row>
    <row r="64" spans="1:16" s="45" customFormat="1" ht="15" customHeight="1" x14ac:dyDescent="0.2">
      <c r="A64" s="123" t="s">
        <v>47</v>
      </c>
      <c r="B64" s="47"/>
      <c r="C64" s="47"/>
      <c r="D64" s="47"/>
      <c r="E64" s="47"/>
      <c r="F64" s="47"/>
      <c r="G64" s="47"/>
      <c r="H64" s="47"/>
      <c r="I64" s="125">
        <f>G34</f>
        <v>-62806894.07</v>
      </c>
      <c r="J64" s="126" t="s">
        <v>144</v>
      </c>
      <c r="K64" s="47"/>
      <c r="L64" s="47"/>
      <c r="M64" s="47"/>
      <c r="N64" s="127"/>
      <c r="P64" s="128"/>
    </row>
    <row r="65" spans="1:14" s="45" customFormat="1" ht="14.85" customHeight="1" x14ac:dyDescent="0.2">
      <c r="A65" s="129" t="s">
        <v>48</v>
      </c>
      <c r="B65" s="129"/>
      <c r="C65" s="129"/>
      <c r="D65" s="129"/>
      <c r="E65" s="129"/>
      <c r="F65" s="129"/>
      <c r="G65" s="129"/>
      <c r="H65" s="130"/>
      <c r="I65" s="131">
        <f>G61</f>
        <v>62806894.07</v>
      </c>
      <c r="J65" s="130" t="s">
        <v>145</v>
      </c>
      <c r="K65" s="130"/>
      <c r="L65" s="130"/>
      <c r="M65" s="132"/>
      <c r="N65" s="48"/>
    </row>
    <row r="66" spans="1:14" s="45" customFormat="1" ht="14.85" customHeight="1" x14ac:dyDescent="0.2">
      <c r="A66" s="133" t="s">
        <v>49</v>
      </c>
      <c r="B66" s="133"/>
      <c r="C66" s="133"/>
      <c r="D66" s="133"/>
      <c r="E66" s="133"/>
      <c r="F66" s="133"/>
      <c r="G66" s="133"/>
      <c r="H66" s="133"/>
      <c r="I66" s="134">
        <f>SUM(I64:I65)</f>
        <v>0</v>
      </c>
      <c r="J66" s="133"/>
      <c r="K66" s="133"/>
      <c r="L66" s="133"/>
      <c r="M66" s="135"/>
      <c r="N66" s="136"/>
    </row>
    <row r="67" spans="1:14" s="45" customFormat="1" ht="14.85" customHeight="1" x14ac:dyDescent="0.2">
      <c r="A67" s="129" t="s">
        <v>146</v>
      </c>
      <c r="B67" s="129"/>
      <c r="C67" s="129"/>
      <c r="D67" s="129"/>
      <c r="E67" s="129"/>
      <c r="F67" s="129"/>
      <c r="G67" s="129"/>
      <c r="H67" s="130"/>
      <c r="I67" s="130"/>
      <c r="J67" s="130"/>
      <c r="K67" s="130"/>
      <c r="L67" s="130"/>
      <c r="M67" s="132"/>
      <c r="N67" s="136"/>
    </row>
    <row r="68" spans="1:14" s="45" customFormat="1" ht="14.85" customHeight="1" x14ac:dyDescent="0.2">
      <c r="A68" s="243" t="s">
        <v>147</v>
      </c>
      <c r="B68" s="243"/>
      <c r="C68" s="243"/>
      <c r="D68" s="243"/>
      <c r="E68" s="243"/>
      <c r="F68" s="243"/>
      <c r="G68" s="243"/>
      <c r="H68" s="130"/>
      <c r="I68" s="130"/>
      <c r="J68" s="130"/>
      <c r="K68" s="130"/>
      <c r="L68" s="130"/>
      <c r="M68" s="132"/>
      <c r="N68" s="136"/>
    </row>
    <row r="69" spans="1:14" s="45" customFormat="1" ht="14.85" customHeight="1" x14ac:dyDescent="0.2">
      <c r="A69" s="244" t="s">
        <v>148</v>
      </c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N69" s="136"/>
    </row>
    <row r="70" spans="1:14" ht="12.75" customHeight="1" x14ac:dyDescent="0.25">
      <c r="A70" s="137"/>
    </row>
    <row r="71" spans="1:14" ht="12.75" customHeight="1" x14ac:dyDescent="0.25">
      <c r="A71" s="137"/>
    </row>
    <row r="72" spans="1:14" ht="12" customHeight="1" x14ac:dyDescent="0.25">
      <c r="A72" s="137"/>
    </row>
    <row r="75" spans="1:14" x14ac:dyDescent="0.25">
      <c r="A75" s="61"/>
      <c r="B75" s="61" t="s">
        <v>69</v>
      </c>
      <c r="D75" s="61"/>
      <c r="E75" s="72"/>
      <c r="F75" s="59" t="s">
        <v>70</v>
      </c>
      <c r="G75" s="72"/>
    </row>
    <row r="76" spans="1:14" s="68" customFormat="1" ht="13.5" customHeight="1" x14ac:dyDescent="0.2">
      <c r="A76" s="64"/>
      <c r="B76" s="64" t="s">
        <v>71</v>
      </c>
      <c r="D76" s="64"/>
      <c r="E76" s="73"/>
      <c r="F76" s="64" t="s">
        <v>72</v>
      </c>
      <c r="G76" s="73"/>
      <c r="H76" s="138"/>
      <c r="I76" s="139"/>
    </row>
    <row r="77" spans="1:14" s="1" customFormat="1" ht="13.5" customHeight="1" x14ac:dyDescent="0.25">
      <c r="A77" s="66"/>
      <c r="B77" s="66" t="s">
        <v>173</v>
      </c>
      <c r="D77" s="66"/>
      <c r="E77" s="74"/>
      <c r="F77" s="69" t="s">
        <v>73</v>
      </c>
      <c r="G77" s="74"/>
      <c r="H77" s="140"/>
      <c r="I77" s="2"/>
    </row>
    <row r="78" spans="1:14" s="1" customFormat="1" ht="13.5" customHeight="1" x14ac:dyDescent="0.25">
      <c r="A78" s="66"/>
      <c r="B78" s="66" t="s">
        <v>74</v>
      </c>
      <c r="D78" s="66"/>
      <c r="E78" s="74"/>
      <c r="F78" s="66" t="s">
        <v>74</v>
      </c>
      <c r="G78" s="74"/>
      <c r="H78" s="72"/>
      <c r="I78" s="2"/>
    </row>
    <row r="79" spans="1:14" s="1" customFormat="1" ht="13.5" customHeight="1" x14ac:dyDescent="0.25">
      <c r="A79" s="74"/>
      <c r="B79" s="74"/>
      <c r="C79" s="74"/>
      <c r="D79" s="74"/>
      <c r="E79" s="74"/>
      <c r="F79" s="74"/>
      <c r="G79" s="74"/>
      <c r="H79" s="73"/>
      <c r="I79" s="2"/>
    </row>
  </sheetData>
  <mergeCells count="68">
    <mergeCell ref="A68:G68"/>
    <mergeCell ref="A69:L69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81A60-8605-4C02-B7A0-ED1D74B412B1}">
  <sheetPr codeName="Plan11">
    <tabColor indexed="42"/>
    <pageSetUpPr fitToPage="1"/>
  </sheetPr>
  <dimension ref="A1:O45"/>
  <sheetViews>
    <sheetView view="pageBreakPreview" topLeftCell="A16" zoomScale="60" zoomScaleNormal="100" workbookViewId="0">
      <selection activeCell="C34" sqref="C34"/>
    </sheetView>
  </sheetViews>
  <sheetFormatPr defaultRowHeight="15" x14ac:dyDescent="0.25"/>
  <cols>
    <col min="1" max="1" width="47.7109375" style="74" bestFit="1" customWidth="1"/>
    <col min="2" max="2" width="21.42578125" style="74" customWidth="1"/>
    <col min="3" max="3" width="22.85546875" style="74" customWidth="1"/>
    <col min="4" max="4" width="16.42578125" style="74" bestFit="1" customWidth="1"/>
    <col min="5" max="5" width="15.28515625" style="74" customWidth="1"/>
    <col min="6" max="6" width="19.42578125" style="74" customWidth="1"/>
    <col min="7" max="7" width="19.140625" style="74" bestFit="1" customWidth="1"/>
    <col min="8" max="8" width="9.140625" style="74" customWidth="1"/>
    <col min="9" max="9" width="17.7109375" style="74" hidden="1" customWidth="1"/>
    <col min="10" max="10" width="14.140625" style="74" hidden="1" customWidth="1"/>
    <col min="11" max="11" width="18" style="74" hidden="1" customWidth="1"/>
    <col min="12" max="13" width="0" style="74" hidden="1" customWidth="1"/>
    <col min="14" max="256" width="9.140625" style="74"/>
    <col min="257" max="257" width="47.7109375" style="74" bestFit="1" customWidth="1"/>
    <col min="258" max="258" width="21.42578125" style="74" customWidth="1"/>
    <col min="259" max="259" width="22.85546875" style="74" customWidth="1"/>
    <col min="260" max="260" width="16.42578125" style="74" bestFit="1" customWidth="1"/>
    <col min="261" max="261" width="15.28515625" style="74" customWidth="1"/>
    <col min="262" max="262" width="19.42578125" style="74" customWidth="1"/>
    <col min="263" max="263" width="19.140625" style="74" bestFit="1" customWidth="1"/>
    <col min="264" max="264" width="9.140625" style="74"/>
    <col min="265" max="265" width="17.7109375" style="74" bestFit="1" customWidth="1"/>
    <col min="266" max="266" width="14.140625" style="74" customWidth="1"/>
    <col min="267" max="267" width="18" style="74" customWidth="1"/>
    <col min="268" max="512" width="9.140625" style="74"/>
    <col min="513" max="513" width="47.7109375" style="74" bestFit="1" customWidth="1"/>
    <col min="514" max="514" width="21.42578125" style="74" customWidth="1"/>
    <col min="515" max="515" width="22.85546875" style="74" customWidth="1"/>
    <col min="516" max="516" width="16.42578125" style="74" bestFit="1" customWidth="1"/>
    <col min="517" max="517" width="15.28515625" style="74" customWidth="1"/>
    <col min="518" max="518" width="19.42578125" style="74" customWidth="1"/>
    <col min="519" max="519" width="19.140625" style="74" bestFit="1" customWidth="1"/>
    <col min="520" max="520" width="9.140625" style="74"/>
    <col min="521" max="521" width="17.7109375" style="74" bestFit="1" customWidth="1"/>
    <col min="522" max="522" width="14.140625" style="74" customWidth="1"/>
    <col min="523" max="523" width="18" style="74" customWidth="1"/>
    <col min="524" max="768" width="9.140625" style="74"/>
    <col min="769" max="769" width="47.7109375" style="74" bestFit="1" customWidth="1"/>
    <col min="770" max="770" width="21.42578125" style="74" customWidth="1"/>
    <col min="771" max="771" width="22.85546875" style="74" customWidth="1"/>
    <col min="772" max="772" width="16.42578125" style="74" bestFit="1" customWidth="1"/>
    <col min="773" max="773" width="15.28515625" style="74" customWidth="1"/>
    <col min="774" max="774" width="19.42578125" style="74" customWidth="1"/>
    <col min="775" max="775" width="19.140625" style="74" bestFit="1" customWidth="1"/>
    <col min="776" max="776" width="9.140625" style="74"/>
    <col min="777" max="777" width="17.7109375" style="74" bestFit="1" customWidth="1"/>
    <col min="778" max="778" width="14.140625" style="74" customWidth="1"/>
    <col min="779" max="779" width="18" style="74" customWidth="1"/>
    <col min="780" max="1024" width="9.140625" style="74"/>
    <col min="1025" max="1025" width="47.7109375" style="74" bestFit="1" customWidth="1"/>
    <col min="1026" max="1026" width="21.42578125" style="74" customWidth="1"/>
    <col min="1027" max="1027" width="22.85546875" style="74" customWidth="1"/>
    <col min="1028" max="1028" width="16.42578125" style="74" bestFit="1" customWidth="1"/>
    <col min="1029" max="1029" width="15.28515625" style="74" customWidth="1"/>
    <col min="1030" max="1030" width="19.42578125" style="74" customWidth="1"/>
    <col min="1031" max="1031" width="19.140625" style="74" bestFit="1" customWidth="1"/>
    <col min="1032" max="1032" width="9.140625" style="74"/>
    <col min="1033" max="1033" width="17.7109375" style="74" bestFit="1" customWidth="1"/>
    <col min="1034" max="1034" width="14.140625" style="74" customWidth="1"/>
    <col min="1035" max="1035" width="18" style="74" customWidth="1"/>
    <col min="1036" max="1280" width="9.140625" style="74"/>
    <col min="1281" max="1281" width="47.7109375" style="74" bestFit="1" customWidth="1"/>
    <col min="1282" max="1282" width="21.42578125" style="74" customWidth="1"/>
    <col min="1283" max="1283" width="22.85546875" style="74" customWidth="1"/>
    <col min="1284" max="1284" width="16.42578125" style="74" bestFit="1" customWidth="1"/>
    <col min="1285" max="1285" width="15.28515625" style="74" customWidth="1"/>
    <col min="1286" max="1286" width="19.42578125" style="74" customWidth="1"/>
    <col min="1287" max="1287" width="19.140625" style="74" bestFit="1" customWidth="1"/>
    <col min="1288" max="1288" width="9.140625" style="74"/>
    <col min="1289" max="1289" width="17.7109375" style="74" bestFit="1" customWidth="1"/>
    <col min="1290" max="1290" width="14.140625" style="74" customWidth="1"/>
    <col min="1291" max="1291" width="18" style="74" customWidth="1"/>
    <col min="1292" max="1536" width="9.140625" style="74"/>
    <col min="1537" max="1537" width="47.7109375" style="74" bestFit="1" customWidth="1"/>
    <col min="1538" max="1538" width="21.42578125" style="74" customWidth="1"/>
    <col min="1539" max="1539" width="22.85546875" style="74" customWidth="1"/>
    <col min="1540" max="1540" width="16.42578125" style="74" bestFit="1" customWidth="1"/>
    <col min="1541" max="1541" width="15.28515625" style="74" customWidth="1"/>
    <col min="1542" max="1542" width="19.42578125" style="74" customWidth="1"/>
    <col min="1543" max="1543" width="19.140625" style="74" bestFit="1" customWidth="1"/>
    <col min="1544" max="1544" width="9.140625" style="74"/>
    <col min="1545" max="1545" width="17.7109375" style="74" bestFit="1" customWidth="1"/>
    <col min="1546" max="1546" width="14.140625" style="74" customWidth="1"/>
    <col min="1547" max="1547" width="18" style="74" customWidth="1"/>
    <col min="1548" max="1792" width="9.140625" style="74"/>
    <col min="1793" max="1793" width="47.7109375" style="74" bestFit="1" customWidth="1"/>
    <col min="1794" max="1794" width="21.42578125" style="74" customWidth="1"/>
    <col min="1795" max="1795" width="22.85546875" style="74" customWidth="1"/>
    <col min="1796" max="1796" width="16.42578125" style="74" bestFit="1" customWidth="1"/>
    <col min="1797" max="1797" width="15.28515625" style="74" customWidth="1"/>
    <col min="1798" max="1798" width="19.42578125" style="74" customWidth="1"/>
    <col min="1799" max="1799" width="19.140625" style="74" bestFit="1" customWidth="1"/>
    <col min="1800" max="1800" width="9.140625" style="74"/>
    <col min="1801" max="1801" width="17.7109375" style="74" bestFit="1" customWidth="1"/>
    <col min="1802" max="1802" width="14.140625" style="74" customWidth="1"/>
    <col min="1803" max="1803" width="18" style="74" customWidth="1"/>
    <col min="1804" max="2048" width="9.140625" style="74"/>
    <col min="2049" max="2049" width="47.7109375" style="74" bestFit="1" customWidth="1"/>
    <col min="2050" max="2050" width="21.42578125" style="74" customWidth="1"/>
    <col min="2051" max="2051" width="22.85546875" style="74" customWidth="1"/>
    <col min="2052" max="2052" width="16.42578125" style="74" bestFit="1" customWidth="1"/>
    <col min="2053" max="2053" width="15.28515625" style="74" customWidth="1"/>
    <col min="2054" max="2054" width="19.42578125" style="74" customWidth="1"/>
    <col min="2055" max="2055" width="19.140625" style="74" bestFit="1" customWidth="1"/>
    <col min="2056" max="2056" width="9.140625" style="74"/>
    <col min="2057" max="2057" width="17.7109375" style="74" bestFit="1" customWidth="1"/>
    <col min="2058" max="2058" width="14.140625" style="74" customWidth="1"/>
    <col min="2059" max="2059" width="18" style="74" customWidth="1"/>
    <col min="2060" max="2304" width="9.140625" style="74"/>
    <col min="2305" max="2305" width="47.7109375" style="74" bestFit="1" customWidth="1"/>
    <col min="2306" max="2306" width="21.42578125" style="74" customWidth="1"/>
    <col min="2307" max="2307" width="22.85546875" style="74" customWidth="1"/>
    <col min="2308" max="2308" width="16.42578125" style="74" bestFit="1" customWidth="1"/>
    <col min="2309" max="2309" width="15.28515625" style="74" customWidth="1"/>
    <col min="2310" max="2310" width="19.42578125" style="74" customWidth="1"/>
    <col min="2311" max="2311" width="19.140625" style="74" bestFit="1" customWidth="1"/>
    <col min="2312" max="2312" width="9.140625" style="74"/>
    <col min="2313" max="2313" width="17.7109375" style="74" bestFit="1" customWidth="1"/>
    <col min="2314" max="2314" width="14.140625" style="74" customWidth="1"/>
    <col min="2315" max="2315" width="18" style="74" customWidth="1"/>
    <col min="2316" max="2560" width="9.140625" style="74"/>
    <col min="2561" max="2561" width="47.7109375" style="74" bestFit="1" customWidth="1"/>
    <col min="2562" max="2562" width="21.42578125" style="74" customWidth="1"/>
    <col min="2563" max="2563" width="22.85546875" style="74" customWidth="1"/>
    <col min="2564" max="2564" width="16.42578125" style="74" bestFit="1" customWidth="1"/>
    <col min="2565" max="2565" width="15.28515625" style="74" customWidth="1"/>
    <col min="2566" max="2566" width="19.42578125" style="74" customWidth="1"/>
    <col min="2567" max="2567" width="19.140625" style="74" bestFit="1" customWidth="1"/>
    <col min="2568" max="2568" width="9.140625" style="74"/>
    <col min="2569" max="2569" width="17.7109375" style="74" bestFit="1" customWidth="1"/>
    <col min="2570" max="2570" width="14.140625" style="74" customWidth="1"/>
    <col min="2571" max="2571" width="18" style="74" customWidth="1"/>
    <col min="2572" max="2816" width="9.140625" style="74"/>
    <col min="2817" max="2817" width="47.7109375" style="74" bestFit="1" customWidth="1"/>
    <col min="2818" max="2818" width="21.42578125" style="74" customWidth="1"/>
    <col min="2819" max="2819" width="22.85546875" style="74" customWidth="1"/>
    <col min="2820" max="2820" width="16.42578125" style="74" bestFit="1" customWidth="1"/>
    <col min="2821" max="2821" width="15.28515625" style="74" customWidth="1"/>
    <col min="2822" max="2822" width="19.42578125" style="74" customWidth="1"/>
    <col min="2823" max="2823" width="19.140625" style="74" bestFit="1" customWidth="1"/>
    <col min="2824" max="2824" width="9.140625" style="74"/>
    <col min="2825" max="2825" width="17.7109375" style="74" bestFit="1" customWidth="1"/>
    <col min="2826" max="2826" width="14.140625" style="74" customWidth="1"/>
    <col min="2827" max="2827" width="18" style="74" customWidth="1"/>
    <col min="2828" max="3072" width="9.140625" style="74"/>
    <col min="3073" max="3073" width="47.7109375" style="74" bestFit="1" customWidth="1"/>
    <col min="3074" max="3074" width="21.42578125" style="74" customWidth="1"/>
    <col min="3075" max="3075" width="22.85546875" style="74" customWidth="1"/>
    <col min="3076" max="3076" width="16.42578125" style="74" bestFit="1" customWidth="1"/>
    <col min="3077" max="3077" width="15.28515625" style="74" customWidth="1"/>
    <col min="3078" max="3078" width="19.42578125" style="74" customWidth="1"/>
    <col min="3079" max="3079" width="19.140625" style="74" bestFit="1" customWidth="1"/>
    <col min="3080" max="3080" width="9.140625" style="74"/>
    <col min="3081" max="3081" width="17.7109375" style="74" bestFit="1" customWidth="1"/>
    <col min="3082" max="3082" width="14.140625" style="74" customWidth="1"/>
    <col min="3083" max="3083" width="18" style="74" customWidth="1"/>
    <col min="3084" max="3328" width="9.140625" style="74"/>
    <col min="3329" max="3329" width="47.7109375" style="74" bestFit="1" customWidth="1"/>
    <col min="3330" max="3330" width="21.42578125" style="74" customWidth="1"/>
    <col min="3331" max="3331" width="22.85546875" style="74" customWidth="1"/>
    <col min="3332" max="3332" width="16.42578125" style="74" bestFit="1" customWidth="1"/>
    <col min="3333" max="3333" width="15.28515625" style="74" customWidth="1"/>
    <col min="3334" max="3334" width="19.42578125" style="74" customWidth="1"/>
    <col min="3335" max="3335" width="19.140625" style="74" bestFit="1" customWidth="1"/>
    <col min="3336" max="3336" width="9.140625" style="74"/>
    <col min="3337" max="3337" width="17.7109375" style="74" bestFit="1" customWidth="1"/>
    <col min="3338" max="3338" width="14.140625" style="74" customWidth="1"/>
    <col min="3339" max="3339" width="18" style="74" customWidth="1"/>
    <col min="3340" max="3584" width="9.140625" style="74"/>
    <col min="3585" max="3585" width="47.7109375" style="74" bestFit="1" customWidth="1"/>
    <col min="3586" max="3586" width="21.42578125" style="74" customWidth="1"/>
    <col min="3587" max="3587" width="22.85546875" style="74" customWidth="1"/>
    <col min="3588" max="3588" width="16.42578125" style="74" bestFit="1" customWidth="1"/>
    <col min="3589" max="3589" width="15.28515625" style="74" customWidth="1"/>
    <col min="3590" max="3590" width="19.42578125" style="74" customWidth="1"/>
    <col min="3591" max="3591" width="19.140625" style="74" bestFit="1" customWidth="1"/>
    <col min="3592" max="3592" width="9.140625" style="74"/>
    <col min="3593" max="3593" width="17.7109375" style="74" bestFit="1" customWidth="1"/>
    <col min="3594" max="3594" width="14.140625" style="74" customWidth="1"/>
    <col min="3595" max="3595" width="18" style="74" customWidth="1"/>
    <col min="3596" max="3840" width="9.140625" style="74"/>
    <col min="3841" max="3841" width="47.7109375" style="74" bestFit="1" customWidth="1"/>
    <col min="3842" max="3842" width="21.42578125" style="74" customWidth="1"/>
    <col min="3843" max="3843" width="22.85546875" style="74" customWidth="1"/>
    <col min="3844" max="3844" width="16.42578125" style="74" bestFit="1" customWidth="1"/>
    <col min="3845" max="3845" width="15.28515625" style="74" customWidth="1"/>
    <col min="3846" max="3846" width="19.42578125" style="74" customWidth="1"/>
    <col min="3847" max="3847" width="19.140625" style="74" bestFit="1" customWidth="1"/>
    <col min="3848" max="3848" width="9.140625" style="74"/>
    <col min="3849" max="3849" width="17.7109375" style="74" bestFit="1" customWidth="1"/>
    <col min="3850" max="3850" width="14.140625" style="74" customWidth="1"/>
    <col min="3851" max="3851" width="18" style="74" customWidth="1"/>
    <col min="3852" max="4096" width="9.140625" style="74"/>
    <col min="4097" max="4097" width="47.7109375" style="74" bestFit="1" customWidth="1"/>
    <col min="4098" max="4098" width="21.42578125" style="74" customWidth="1"/>
    <col min="4099" max="4099" width="22.85546875" style="74" customWidth="1"/>
    <col min="4100" max="4100" width="16.42578125" style="74" bestFit="1" customWidth="1"/>
    <col min="4101" max="4101" width="15.28515625" style="74" customWidth="1"/>
    <col min="4102" max="4102" width="19.42578125" style="74" customWidth="1"/>
    <col min="4103" max="4103" width="19.140625" style="74" bestFit="1" customWidth="1"/>
    <col min="4104" max="4104" width="9.140625" style="74"/>
    <col min="4105" max="4105" width="17.7109375" style="74" bestFit="1" customWidth="1"/>
    <col min="4106" max="4106" width="14.140625" style="74" customWidth="1"/>
    <col min="4107" max="4107" width="18" style="74" customWidth="1"/>
    <col min="4108" max="4352" width="9.140625" style="74"/>
    <col min="4353" max="4353" width="47.7109375" style="74" bestFit="1" customWidth="1"/>
    <col min="4354" max="4354" width="21.42578125" style="74" customWidth="1"/>
    <col min="4355" max="4355" width="22.85546875" style="74" customWidth="1"/>
    <col min="4356" max="4356" width="16.42578125" style="74" bestFit="1" customWidth="1"/>
    <col min="4357" max="4357" width="15.28515625" style="74" customWidth="1"/>
    <col min="4358" max="4358" width="19.42578125" style="74" customWidth="1"/>
    <col min="4359" max="4359" width="19.140625" style="74" bestFit="1" customWidth="1"/>
    <col min="4360" max="4360" width="9.140625" style="74"/>
    <col min="4361" max="4361" width="17.7109375" style="74" bestFit="1" customWidth="1"/>
    <col min="4362" max="4362" width="14.140625" style="74" customWidth="1"/>
    <col min="4363" max="4363" width="18" style="74" customWidth="1"/>
    <col min="4364" max="4608" width="9.140625" style="74"/>
    <col min="4609" max="4609" width="47.7109375" style="74" bestFit="1" customWidth="1"/>
    <col min="4610" max="4610" width="21.42578125" style="74" customWidth="1"/>
    <col min="4611" max="4611" width="22.85546875" style="74" customWidth="1"/>
    <col min="4612" max="4612" width="16.42578125" style="74" bestFit="1" customWidth="1"/>
    <col min="4613" max="4613" width="15.28515625" style="74" customWidth="1"/>
    <col min="4614" max="4614" width="19.42578125" style="74" customWidth="1"/>
    <col min="4615" max="4615" width="19.140625" style="74" bestFit="1" customWidth="1"/>
    <col min="4616" max="4616" width="9.140625" style="74"/>
    <col min="4617" max="4617" width="17.7109375" style="74" bestFit="1" customWidth="1"/>
    <col min="4618" max="4618" width="14.140625" style="74" customWidth="1"/>
    <col min="4619" max="4619" width="18" style="74" customWidth="1"/>
    <col min="4620" max="4864" width="9.140625" style="74"/>
    <col min="4865" max="4865" width="47.7109375" style="74" bestFit="1" customWidth="1"/>
    <col min="4866" max="4866" width="21.42578125" style="74" customWidth="1"/>
    <col min="4867" max="4867" width="22.85546875" style="74" customWidth="1"/>
    <col min="4868" max="4868" width="16.42578125" style="74" bestFit="1" customWidth="1"/>
    <col min="4869" max="4869" width="15.28515625" style="74" customWidth="1"/>
    <col min="4870" max="4870" width="19.42578125" style="74" customWidth="1"/>
    <col min="4871" max="4871" width="19.140625" style="74" bestFit="1" customWidth="1"/>
    <col min="4872" max="4872" width="9.140625" style="74"/>
    <col min="4873" max="4873" width="17.7109375" style="74" bestFit="1" customWidth="1"/>
    <col min="4874" max="4874" width="14.140625" style="74" customWidth="1"/>
    <col min="4875" max="4875" width="18" style="74" customWidth="1"/>
    <col min="4876" max="5120" width="9.140625" style="74"/>
    <col min="5121" max="5121" width="47.7109375" style="74" bestFit="1" customWidth="1"/>
    <col min="5122" max="5122" width="21.42578125" style="74" customWidth="1"/>
    <col min="5123" max="5123" width="22.85546875" style="74" customWidth="1"/>
    <col min="5124" max="5124" width="16.42578125" style="74" bestFit="1" customWidth="1"/>
    <col min="5125" max="5125" width="15.28515625" style="74" customWidth="1"/>
    <col min="5126" max="5126" width="19.42578125" style="74" customWidth="1"/>
    <col min="5127" max="5127" width="19.140625" style="74" bestFit="1" customWidth="1"/>
    <col min="5128" max="5128" width="9.140625" style="74"/>
    <col min="5129" max="5129" width="17.7109375" style="74" bestFit="1" customWidth="1"/>
    <col min="5130" max="5130" width="14.140625" style="74" customWidth="1"/>
    <col min="5131" max="5131" width="18" style="74" customWidth="1"/>
    <col min="5132" max="5376" width="9.140625" style="74"/>
    <col min="5377" max="5377" width="47.7109375" style="74" bestFit="1" customWidth="1"/>
    <col min="5378" max="5378" width="21.42578125" style="74" customWidth="1"/>
    <col min="5379" max="5379" width="22.85546875" style="74" customWidth="1"/>
    <col min="5380" max="5380" width="16.42578125" style="74" bestFit="1" customWidth="1"/>
    <col min="5381" max="5381" width="15.28515625" style="74" customWidth="1"/>
    <col min="5382" max="5382" width="19.42578125" style="74" customWidth="1"/>
    <col min="5383" max="5383" width="19.140625" style="74" bestFit="1" customWidth="1"/>
    <col min="5384" max="5384" width="9.140625" style="74"/>
    <col min="5385" max="5385" width="17.7109375" style="74" bestFit="1" customWidth="1"/>
    <col min="5386" max="5386" width="14.140625" style="74" customWidth="1"/>
    <col min="5387" max="5387" width="18" style="74" customWidth="1"/>
    <col min="5388" max="5632" width="9.140625" style="74"/>
    <col min="5633" max="5633" width="47.7109375" style="74" bestFit="1" customWidth="1"/>
    <col min="5634" max="5634" width="21.42578125" style="74" customWidth="1"/>
    <col min="5635" max="5635" width="22.85546875" style="74" customWidth="1"/>
    <col min="5636" max="5636" width="16.42578125" style="74" bestFit="1" customWidth="1"/>
    <col min="5637" max="5637" width="15.28515625" style="74" customWidth="1"/>
    <col min="5638" max="5638" width="19.42578125" style="74" customWidth="1"/>
    <col min="5639" max="5639" width="19.140625" style="74" bestFit="1" customWidth="1"/>
    <col min="5640" max="5640" width="9.140625" style="74"/>
    <col min="5641" max="5641" width="17.7109375" style="74" bestFit="1" customWidth="1"/>
    <col min="5642" max="5642" width="14.140625" style="74" customWidth="1"/>
    <col min="5643" max="5643" width="18" style="74" customWidth="1"/>
    <col min="5644" max="5888" width="9.140625" style="74"/>
    <col min="5889" max="5889" width="47.7109375" style="74" bestFit="1" customWidth="1"/>
    <col min="5890" max="5890" width="21.42578125" style="74" customWidth="1"/>
    <col min="5891" max="5891" width="22.85546875" style="74" customWidth="1"/>
    <col min="5892" max="5892" width="16.42578125" style="74" bestFit="1" customWidth="1"/>
    <col min="5893" max="5893" width="15.28515625" style="74" customWidth="1"/>
    <col min="5894" max="5894" width="19.42578125" style="74" customWidth="1"/>
    <col min="5895" max="5895" width="19.140625" style="74" bestFit="1" customWidth="1"/>
    <col min="5896" max="5896" width="9.140625" style="74"/>
    <col min="5897" max="5897" width="17.7109375" style="74" bestFit="1" customWidth="1"/>
    <col min="5898" max="5898" width="14.140625" style="74" customWidth="1"/>
    <col min="5899" max="5899" width="18" style="74" customWidth="1"/>
    <col min="5900" max="6144" width="9.140625" style="74"/>
    <col min="6145" max="6145" width="47.7109375" style="74" bestFit="1" customWidth="1"/>
    <col min="6146" max="6146" width="21.42578125" style="74" customWidth="1"/>
    <col min="6147" max="6147" width="22.85546875" style="74" customWidth="1"/>
    <col min="6148" max="6148" width="16.42578125" style="74" bestFit="1" customWidth="1"/>
    <col min="6149" max="6149" width="15.28515625" style="74" customWidth="1"/>
    <col min="6150" max="6150" width="19.42578125" style="74" customWidth="1"/>
    <col min="6151" max="6151" width="19.140625" style="74" bestFit="1" customWidth="1"/>
    <col min="6152" max="6152" width="9.140625" style="74"/>
    <col min="6153" max="6153" width="17.7109375" style="74" bestFit="1" customWidth="1"/>
    <col min="6154" max="6154" width="14.140625" style="74" customWidth="1"/>
    <col min="6155" max="6155" width="18" style="74" customWidth="1"/>
    <col min="6156" max="6400" width="9.140625" style="74"/>
    <col min="6401" max="6401" width="47.7109375" style="74" bestFit="1" customWidth="1"/>
    <col min="6402" max="6402" width="21.42578125" style="74" customWidth="1"/>
    <col min="6403" max="6403" width="22.85546875" style="74" customWidth="1"/>
    <col min="6404" max="6404" width="16.42578125" style="74" bestFit="1" customWidth="1"/>
    <col min="6405" max="6405" width="15.28515625" style="74" customWidth="1"/>
    <col min="6406" max="6406" width="19.42578125" style="74" customWidth="1"/>
    <col min="6407" max="6407" width="19.140625" style="74" bestFit="1" customWidth="1"/>
    <col min="6408" max="6408" width="9.140625" style="74"/>
    <col min="6409" max="6409" width="17.7109375" style="74" bestFit="1" customWidth="1"/>
    <col min="6410" max="6410" width="14.140625" style="74" customWidth="1"/>
    <col min="6411" max="6411" width="18" style="74" customWidth="1"/>
    <col min="6412" max="6656" width="9.140625" style="74"/>
    <col min="6657" max="6657" width="47.7109375" style="74" bestFit="1" customWidth="1"/>
    <col min="6658" max="6658" width="21.42578125" style="74" customWidth="1"/>
    <col min="6659" max="6659" width="22.85546875" style="74" customWidth="1"/>
    <col min="6660" max="6660" width="16.42578125" style="74" bestFit="1" customWidth="1"/>
    <col min="6661" max="6661" width="15.28515625" style="74" customWidth="1"/>
    <col min="6662" max="6662" width="19.42578125" style="74" customWidth="1"/>
    <col min="6663" max="6663" width="19.140625" style="74" bestFit="1" customWidth="1"/>
    <col min="6664" max="6664" width="9.140625" style="74"/>
    <col min="6665" max="6665" width="17.7109375" style="74" bestFit="1" customWidth="1"/>
    <col min="6666" max="6666" width="14.140625" style="74" customWidth="1"/>
    <col min="6667" max="6667" width="18" style="74" customWidth="1"/>
    <col min="6668" max="6912" width="9.140625" style="74"/>
    <col min="6913" max="6913" width="47.7109375" style="74" bestFit="1" customWidth="1"/>
    <col min="6914" max="6914" width="21.42578125" style="74" customWidth="1"/>
    <col min="6915" max="6915" width="22.85546875" style="74" customWidth="1"/>
    <col min="6916" max="6916" width="16.42578125" style="74" bestFit="1" customWidth="1"/>
    <col min="6917" max="6917" width="15.28515625" style="74" customWidth="1"/>
    <col min="6918" max="6918" width="19.42578125" style="74" customWidth="1"/>
    <col min="6919" max="6919" width="19.140625" style="74" bestFit="1" customWidth="1"/>
    <col min="6920" max="6920" width="9.140625" style="74"/>
    <col min="6921" max="6921" width="17.7109375" style="74" bestFit="1" customWidth="1"/>
    <col min="6922" max="6922" width="14.140625" style="74" customWidth="1"/>
    <col min="6923" max="6923" width="18" style="74" customWidth="1"/>
    <col min="6924" max="7168" width="9.140625" style="74"/>
    <col min="7169" max="7169" width="47.7109375" style="74" bestFit="1" customWidth="1"/>
    <col min="7170" max="7170" width="21.42578125" style="74" customWidth="1"/>
    <col min="7171" max="7171" width="22.85546875" style="74" customWidth="1"/>
    <col min="7172" max="7172" width="16.42578125" style="74" bestFit="1" customWidth="1"/>
    <col min="7173" max="7173" width="15.28515625" style="74" customWidth="1"/>
    <col min="7174" max="7174" width="19.42578125" style="74" customWidth="1"/>
    <col min="7175" max="7175" width="19.140625" style="74" bestFit="1" customWidth="1"/>
    <col min="7176" max="7176" width="9.140625" style="74"/>
    <col min="7177" max="7177" width="17.7109375" style="74" bestFit="1" customWidth="1"/>
    <col min="7178" max="7178" width="14.140625" style="74" customWidth="1"/>
    <col min="7179" max="7179" width="18" style="74" customWidth="1"/>
    <col min="7180" max="7424" width="9.140625" style="74"/>
    <col min="7425" max="7425" width="47.7109375" style="74" bestFit="1" customWidth="1"/>
    <col min="7426" max="7426" width="21.42578125" style="74" customWidth="1"/>
    <col min="7427" max="7427" width="22.85546875" style="74" customWidth="1"/>
    <col min="7428" max="7428" width="16.42578125" style="74" bestFit="1" customWidth="1"/>
    <col min="7429" max="7429" width="15.28515625" style="74" customWidth="1"/>
    <col min="7430" max="7430" width="19.42578125" style="74" customWidth="1"/>
    <col min="7431" max="7431" width="19.140625" style="74" bestFit="1" customWidth="1"/>
    <col min="7432" max="7432" width="9.140625" style="74"/>
    <col min="7433" max="7433" width="17.7109375" style="74" bestFit="1" customWidth="1"/>
    <col min="7434" max="7434" width="14.140625" style="74" customWidth="1"/>
    <col min="7435" max="7435" width="18" style="74" customWidth="1"/>
    <col min="7436" max="7680" width="9.140625" style="74"/>
    <col min="7681" max="7681" width="47.7109375" style="74" bestFit="1" customWidth="1"/>
    <col min="7682" max="7682" width="21.42578125" style="74" customWidth="1"/>
    <col min="7683" max="7683" width="22.85546875" style="74" customWidth="1"/>
    <col min="7684" max="7684" width="16.42578125" style="74" bestFit="1" customWidth="1"/>
    <col min="7685" max="7685" width="15.28515625" style="74" customWidth="1"/>
    <col min="7686" max="7686" width="19.42578125" style="74" customWidth="1"/>
    <col min="7687" max="7687" width="19.140625" style="74" bestFit="1" customWidth="1"/>
    <col min="7688" max="7688" width="9.140625" style="74"/>
    <col min="7689" max="7689" width="17.7109375" style="74" bestFit="1" customWidth="1"/>
    <col min="7690" max="7690" width="14.140625" style="74" customWidth="1"/>
    <col min="7691" max="7691" width="18" style="74" customWidth="1"/>
    <col min="7692" max="7936" width="9.140625" style="74"/>
    <col min="7937" max="7937" width="47.7109375" style="74" bestFit="1" customWidth="1"/>
    <col min="7938" max="7938" width="21.42578125" style="74" customWidth="1"/>
    <col min="7939" max="7939" width="22.85546875" style="74" customWidth="1"/>
    <col min="7940" max="7940" width="16.42578125" style="74" bestFit="1" customWidth="1"/>
    <col min="7941" max="7941" width="15.28515625" style="74" customWidth="1"/>
    <col min="7942" max="7942" width="19.42578125" style="74" customWidth="1"/>
    <col min="7943" max="7943" width="19.140625" style="74" bestFit="1" customWidth="1"/>
    <col min="7944" max="7944" width="9.140625" style="74"/>
    <col min="7945" max="7945" width="17.7109375" style="74" bestFit="1" customWidth="1"/>
    <col min="7946" max="7946" width="14.140625" style="74" customWidth="1"/>
    <col min="7947" max="7947" width="18" style="74" customWidth="1"/>
    <col min="7948" max="8192" width="9.140625" style="74"/>
    <col min="8193" max="8193" width="47.7109375" style="74" bestFit="1" customWidth="1"/>
    <col min="8194" max="8194" width="21.42578125" style="74" customWidth="1"/>
    <col min="8195" max="8195" width="22.85546875" style="74" customWidth="1"/>
    <col min="8196" max="8196" width="16.42578125" style="74" bestFit="1" customWidth="1"/>
    <col min="8197" max="8197" width="15.28515625" style="74" customWidth="1"/>
    <col min="8198" max="8198" width="19.42578125" style="74" customWidth="1"/>
    <col min="8199" max="8199" width="19.140625" style="74" bestFit="1" customWidth="1"/>
    <col min="8200" max="8200" width="9.140625" style="74"/>
    <col min="8201" max="8201" width="17.7109375" style="74" bestFit="1" customWidth="1"/>
    <col min="8202" max="8202" width="14.140625" style="74" customWidth="1"/>
    <col min="8203" max="8203" width="18" style="74" customWidth="1"/>
    <col min="8204" max="8448" width="9.140625" style="74"/>
    <col min="8449" max="8449" width="47.7109375" style="74" bestFit="1" customWidth="1"/>
    <col min="8450" max="8450" width="21.42578125" style="74" customWidth="1"/>
    <col min="8451" max="8451" width="22.85546875" style="74" customWidth="1"/>
    <col min="8452" max="8452" width="16.42578125" style="74" bestFit="1" customWidth="1"/>
    <col min="8453" max="8453" width="15.28515625" style="74" customWidth="1"/>
    <col min="8454" max="8454" width="19.42578125" style="74" customWidth="1"/>
    <col min="8455" max="8455" width="19.140625" style="74" bestFit="1" customWidth="1"/>
    <col min="8456" max="8456" width="9.140625" style="74"/>
    <col min="8457" max="8457" width="17.7109375" style="74" bestFit="1" customWidth="1"/>
    <col min="8458" max="8458" width="14.140625" style="74" customWidth="1"/>
    <col min="8459" max="8459" width="18" style="74" customWidth="1"/>
    <col min="8460" max="8704" width="9.140625" style="74"/>
    <col min="8705" max="8705" width="47.7109375" style="74" bestFit="1" customWidth="1"/>
    <col min="8706" max="8706" width="21.42578125" style="74" customWidth="1"/>
    <col min="8707" max="8707" width="22.85546875" style="74" customWidth="1"/>
    <col min="8708" max="8708" width="16.42578125" style="74" bestFit="1" customWidth="1"/>
    <col min="8709" max="8709" width="15.28515625" style="74" customWidth="1"/>
    <col min="8710" max="8710" width="19.42578125" style="74" customWidth="1"/>
    <col min="8711" max="8711" width="19.140625" style="74" bestFit="1" customWidth="1"/>
    <col min="8712" max="8712" width="9.140625" style="74"/>
    <col min="8713" max="8713" width="17.7109375" style="74" bestFit="1" customWidth="1"/>
    <col min="8714" max="8714" width="14.140625" style="74" customWidth="1"/>
    <col min="8715" max="8715" width="18" style="74" customWidth="1"/>
    <col min="8716" max="8960" width="9.140625" style="74"/>
    <col min="8961" max="8961" width="47.7109375" style="74" bestFit="1" customWidth="1"/>
    <col min="8962" max="8962" width="21.42578125" style="74" customWidth="1"/>
    <col min="8963" max="8963" width="22.85546875" style="74" customWidth="1"/>
    <col min="8964" max="8964" width="16.42578125" style="74" bestFit="1" customWidth="1"/>
    <col min="8965" max="8965" width="15.28515625" style="74" customWidth="1"/>
    <col min="8966" max="8966" width="19.42578125" style="74" customWidth="1"/>
    <col min="8967" max="8967" width="19.140625" style="74" bestFit="1" customWidth="1"/>
    <col min="8968" max="8968" width="9.140625" style="74"/>
    <col min="8969" max="8969" width="17.7109375" style="74" bestFit="1" customWidth="1"/>
    <col min="8970" max="8970" width="14.140625" style="74" customWidth="1"/>
    <col min="8971" max="8971" width="18" style="74" customWidth="1"/>
    <col min="8972" max="9216" width="9.140625" style="74"/>
    <col min="9217" max="9217" width="47.7109375" style="74" bestFit="1" customWidth="1"/>
    <col min="9218" max="9218" width="21.42578125" style="74" customWidth="1"/>
    <col min="9219" max="9219" width="22.85546875" style="74" customWidth="1"/>
    <col min="9220" max="9220" width="16.42578125" style="74" bestFit="1" customWidth="1"/>
    <col min="9221" max="9221" width="15.28515625" style="74" customWidth="1"/>
    <col min="9222" max="9222" width="19.42578125" style="74" customWidth="1"/>
    <col min="9223" max="9223" width="19.140625" style="74" bestFit="1" customWidth="1"/>
    <col min="9224" max="9224" width="9.140625" style="74"/>
    <col min="9225" max="9225" width="17.7109375" style="74" bestFit="1" customWidth="1"/>
    <col min="9226" max="9226" width="14.140625" style="74" customWidth="1"/>
    <col min="9227" max="9227" width="18" style="74" customWidth="1"/>
    <col min="9228" max="9472" width="9.140625" style="74"/>
    <col min="9473" max="9473" width="47.7109375" style="74" bestFit="1" customWidth="1"/>
    <col min="9474" max="9474" width="21.42578125" style="74" customWidth="1"/>
    <col min="9475" max="9475" width="22.85546875" style="74" customWidth="1"/>
    <col min="9476" max="9476" width="16.42578125" style="74" bestFit="1" customWidth="1"/>
    <col min="9477" max="9477" width="15.28515625" style="74" customWidth="1"/>
    <col min="9478" max="9478" width="19.42578125" style="74" customWidth="1"/>
    <col min="9479" max="9479" width="19.140625" style="74" bestFit="1" customWidth="1"/>
    <col min="9480" max="9480" width="9.140625" style="74"/>
    <col min="9481" max="9481" width="17.7109375" style="74" bestFit="1" customWidth="1"/>
    <col min="9482" max="9482" width="14.140625" style="74" customWidth="1"/>
    <col min="9483" max="9483" width="18" style="74" customWidth="1"/>
    <col min="9484" max="9728" width="9.140625" style="74"/>
    <col min="9729" max="9729" width="47.7109375" style="74" bestFit="1" customWidth="1"/>
    <col min="9730" max="9730" width="21.42578125" style="74" customWidth="1"/>
    <col min="9731" max="9731" width="22.85546875" style="74" customWidth="1"/>
    <col min="9732" max="9732" width="16.42578125" style="74" bestFit="1" customWidth="1"/>
    <col min="9733" max="9733" width="15.28515625" style="74" customWidth="1"/>
    <col min="9734" max="9734" width="19.42578125" style="74" customWidth="1"/>
    <col min="9735" max="9735" width="19.140625" style="74" bestFit="1" customWidth="1"/>
    <col min="9736" max="9736" width="9.140625" style="74"/>
    <col min="9737" max="9737" width="17.7109375" style="74" bestFit="1" customWidth="1"/>
    <col min="9738" max="9738" width="14.140625" style="74" customWidth="1"/>
    <col min="9739" max="9739" width="18" style="74" customWidth="1"/>
    <col min="9740" max="9984" width="9.140625" style="74"/>
    <col min="9985" max="9985" width="47.7109375" style="74" bestFit="1" customWidth="1"/>
    <col min="9986" max="9986" width="21.42578125" style="74" customWidth="1"/>
    <col min="9987" max="9987" width="22.85546875" style="74" customWidth="1"/>
    <col min="9988" max="9988" width="16.42578125" style="74" bestFit="1" customWidth="1"/>
    <col min="9989" max="9989" width="15.28515625" style="74" customWidth="1"/>
    <col min="9990" max="9990" width="19.42578125" style="74" customWidth="1"/>
    <col min="9991" max="9991" width="19.140625" style="74" bestFit="1" customWidth="1"/>
    <col min="9992" max="9992" width="9.140625" style="74"/>
    <col min="9993" max="9993" width="17.7109375" style="74" bestFit="1" customWidth="1"/>
    <col min="9994" max="9994" width="14.140625" style="74" customWidth="1"/>
    <col min="9995" max="9995" width="18" style="74" customWidth="1"/>
    <col min="9996" max="10240" width="9.140625" style="74"/>
    <col min="10241" max="10241" width="47.7109375" style="74" bestFit="1" customWidth="1"/>
    <col min="10242" max="10242" width="21.42578125" style="74" customWidth="1"/>
    <col min="10243" max="10243" width="22.85546875" style="74" customWidth="1"/>
    <col min="10244" max="10244" width="16.42578125" style="74" bestFit="1" customWidth="1"/>
    <col min="10245" max="10245" width="15.28515625" style="74" customWidth="1"/>
    <col min="10246" max="10246" width="19.42578125" style="74" customWidth="1"/>
    <col min="10247" max="10247" width="19.140625" style="74" bestFit="1" customWidth="1"/>
    <col min="10248" max="10248" width="9.140625" style="74"/>
    <col min="10249" max="10249" width="17.7109375" style="74" bestFit="1" customWidth="1"/>
    <col min="10250" max="10250" width="14.140625" style="74" customWidth="1"/>
    <col min="10251" max="10251" width="18" style="74" customWidth="1"/>
    <col min="10252" max="10496" width="9.140625" style="74"/>
    <col min="10497" max="10497" width="47.7109375" style="74" bestFit="1" customWidth="1"/>
    <col min="10498" max="10498" width="21.42578125" style="74" customWidth="1"/>
    <col min="10499" max="10499" width="22.85546875" style="74" customWidth="1"/>
    <col min="10500" max="10500" width="16.42578125" style="74" bestFit="1" customWidth="1"/>
    <col min="10501" max="10501" width="15.28515625" style="74" customWidth="1"/>
    <col min="10502" max="10502" width="19.42578125" style="74" customWidth="1"/>
    <col min="10503" max="10503" width="19.140625" style="74" bestFit="1" customWidth="1"/>
    <col min="10504" max="10504" width="9.140625" style="74"/>
    <col min="10505" max="10505" width="17.7109375" style="74" bestFit="1" customWidth="1"/>
    <col min="10506" max="10506" width="14.140625" style="74" customWidth="1"/>
    <col min="10507" max="10507" width="18" style="74" customWidth="1"/>
    <col min="10508" max="10752" width="9.140625" style="74"/>
    <col min="10753" max="10753" width="47.7109375" style="74" bestFit="1" customWidth="1"/>
    <col min="10754" max="10754" width="21.42578125" style="74" customWidth="1"/>
    <col min="10755" max="10755" width="22.85546875" style="74" customWidth="1"/>
    <col min="10756" max="10756" width="16.42578125" style="74" bestFit="1" customWidth="1"/>
    <col min="10757" max="10757" width="15.28515625" style="74" customWidth="1"/>
    <col min="10758" max="10758" width="19.42578125" style="74" customWidth="1"/>
    <col min="10759" max="10759" width="19.140625" style="74" bestFit="1" customWidth="1"/>
    <col min="10760" max="10760" width="9.140625" style="74"/>
    <col min="10761" max="10761" width="17.7109375" style="74" bestFit="1" customWidth="1"/>
    <col min="10762" max="10762" width="14.140625" style="74" customWidth="1"/>
    <col min="10763" max="10763" width="18" style="74" customWidth="1"/>
    <col min="10764" max="11008" width="9.140625" style="74"/>
    <col min="11009" max="11009" width="47.7109375" style="74" bestFit="1" customWidth="1"/>
    <col min="11010" max="11010" width="21.42578125" style="74" customWidth="1"/>
    <col min="11011" max="11011" width="22.85546875" style="74" customWidth="1"/>
    <col min="11012" max="11012" width="16.42578125" style="74" bestFit="1" customWidth="1"/>
    <col min="11013" max="11013" width="15.28515625" style="74" customWidth="1"/>
    <col min="11014" max="11014" width="19.42578125" style="74" customWidth="1"/>
    <col min="11015" max="11015" width="19.140625" style="74" bestFit="1" customWidth="1"/>
    <col min="11016" max="11016" width="9.140625" style="74"/>
    <col min="11017" max="11017" width="17.7109375" style="74" bestFit="1" customWidth="1"/>
    <col min="11018" max="11018" width="14.140625" style="74" customWidth="1"/>
    <col min="11019" max="11019" width="18" style="74" customWidth="1"/>
    <col min="11020" max="11264" width="9.140625" style="74"/>
    <col min="11265" max="11265" width="47.7109375" style="74" bestFit="1" customWidth="1"/>
    <col min="11266" max="11266" width="21.42578125" style="74" customWidth="1"/>
    <col min="11267" max="11267" width="22.85546875" style="74" customWidth="1"/>
    <col min="11268" max="11268" width="16.42578125" style="74" bestFit="1" customWidth="1"/>
    <col min="11269" max="11269" width="15.28515625" style="74" customWidth="1"/>
    <col min="11270" max="11270" width="19.42578125" style="74" customWidth="1"/>
    <col min="11271" max="11271" width="19.140625" style="74" bestFit="1" customWidth="1"/>
    <col min="11272" max="11272" width="9.140625" style="74"/>
    <col min="11273" max="11273" width="17.7109375" style="74" bestFit="1" customWidth="1"/>
    <col min="11274" max="11274" width="14.140625" style="74" customWidth="1"/>
    <col min="11275" max="11275" width="18" style="74" customWidth="1"/>
    <col min="11276" max="11520" width="9.140625" style="74"/>
    <col min="11521" max="11521" width="47.7109375" style="74" bestFit="1" customWidth="1"/>
    <col min="11522" max="11522" width="21.42578125" style="74" customWidth="1"/>
    <col min="11523" max="11523" width="22.85546875" style="74" customWidth="1"/>
    <col min="11524" max="11524" width="16.42578125" style="74" bestFit="1" customWidth="1"/>
    <col min="11525" max="11525" width="15.28515625" style="74" customWidth="1"/>
    <col min="11526" max="11526" width="19.42578125" style="74" customWidth="1"/>
    <col min="11527" max="11527" width="19.140625" style="74" bestFit="1" customWidth="1"/>
    <col min="11528" max="11528" width="9.140625" style="74"/>
    <col min="11529" max="11529" width="17.7109375" style="74" bestFit="1" customWidth="1"/>
    <col min="11530" max="11530" width="14.140625" style="74" customWidth="1"/>
    <col min="11531" max="11531" width="18" style="74" customWidth="1"/>
    <col min="11532" max="11776" width="9.140625" style="74"/>
    <col min="11777" max="11777" width="47.7109375" style="74" bestFit="1" customWidth="1"/>
    <col min="11778" max="11778" width="21.42578125" style="74" customWidth="1"/>
    <col min="11779" max="11779" width="22.85546875" style="74" customWidth="1"/>
    <col min="11780" max="11780" width="16.42578125" style="74" bestFit="1" customWidth="1"/>
    <col min="11781" max="11781" width="15.28515625" style="74" customWidth="1"/>
    <col min="11782" max="11782" width="19.42578125" style="74" customWidth="1"/>
    <col min="11783" max="11783" width="19.140625" style="74" bestFit="1" customWidth="1"/>
    <col min="11784" max="11784" width="9.140625" style="74"/>
    <col min="11785" max="11785" width="17.7109375" style="74" bestFit="1" customWidth="1"/>
    <col min="11786" max="11786" width="14.140625" style="74" customWidth="1"/>
    <col min="11787" max="11787" width="18" style="74" customWidth="1"/>
    <col min="11788" max="12032" width="9.140625" style="74"/>
    <col min="12033" max="12033" width="47.7109375" style="74" bestFit="1" customWidth="1"/>
    <col min="12034" max="12034" width="21.42578125" style="74" customWidth="1"/>
    <col min="12035" max="12035" width="22.85546875" style="74" customWidth="1"/>
    <col min="12036" max="12036" width="16.42578125" style="74" bestFit="1" customWidth="1"/>
    <col min="12037" max="12037" width="15.28515625" style="74" customWidth="1"/>
    <col min="12038" max="12038" width="19.42578125" style="74" customWidth="1"/>
    <col min="12039" max="12039" width="19.140625" style="74" bestFit="1" customWidth="1"/>
    <col min="12040" max="12040" width="9.140625" style="74"/>
    <col min="12041" max="12041" width="17.7109375" style="74" bestFit="1" customWidth="1"/>
    <col min="12042" max="12042" width="14.140625" style="74" customWidth="1"/>
    <col min="12043" max="12043" width="18" style="74" customWidth="1"/>
    <col min="12044" max="12288" width="9.140625" style="74"/>
    <col min="12289" max="12289" width="47.7109375" style="74" bestFit="1" customWidth="1"/>
    <col min="12290" max="12290" width="21.42578125" style="74" customWidth="1"/>
    <col min="12291" max="12291" width="22.85546875" style="74" customWidth="1"/>
    <col min="12292" max="12292" width="16.42578125" style="74" bestFit="1" customWidth="1"/>
    <col min="12293" max="12293" width="15.28515625" style="74" customWidth="1"/>
    <col min="12294" max="12294" width="19.42578125" style="74" customWidth="1"/>
    <col min="12295" max="12295" width="19.140625" style="74" bestFit="1" customWidth="1"/>
    <col min="12296" max="12296" width="9.140625" style="74"/>
    <col min="12297" max="12297" width="17.7109375" style="74" bestFit="1" customWidth="1"/>
    <col min="12298" max="12298" width="14.140625" style="74" customWidth="1"/>
    <col min="12299" max="12299" width="18" style="74" customWidth="1"/>
    <col min="12300" max="12544" width="9.140625" style="74"/>
    <col min="12545" max="12545" width="47.7109375" style="74" bestFit="1" customWidth="1"/>
    <col min="12546" max="12546" width="21.42578125" style="74" customWidth="1"/>
    <col min="12547" max="12547" width="22.85546875" style="74" customWidth="1"/>
    <col min="12548" max="12548" width="16.42578125" style="74" bestFit="1" customWidth="1"/>
    <col min="12549" max="12549" width="15.28515625" style="74" customWidth="1"/>
    <col min="12550" max="12550" width="19.42578125" style="74" customWidth="1"/>
    <col min="12551" max="12551" width="19.140625" style="74" bestFit="1" customWidth="1"/>
    <col min="12552" max="12552" width="9.140625" style="74"/>
    <col min="12553" max="12553" width="17.7109375" style="74" bestFit="1" customWidth="1"/>
    <col min="12554" max="12554" width="14.140625" style="74" customWidth="1"/>
    <col min="12555" max="12555" width="18" style="74" customWidth="1"/>
    <col min="12556" max="12800" width="9.140625" style="74"/>
    <col min="12801" max="12801" width="47.7109375" style="74" bestFit="1" customWidth="1"/>
    <col min="12802" max="12802" width="21.42578125" style="74" customWidth="1"/>
    <col min="12803" max="12803" width="22.85546875" style="74" customWidth="1"/>
    <col min="12804" max="12804" width="16.42578125" style="74" bestFit="1" customWidth="1"/>
    <col min="12805" max="12805" width="15.28515625" style="74" customWidth="1"/>
    <col min="12806" max="12806" width="19.42578125" style="74" customWidth="1"/>
    <col min="12807" max="12807" width="19.140625" style="74" bestFit="1" customWidth="1"/>
    <col min="12808" max="12808" width="9.140625" style="74"/>
    <col min="12809" max="12809" width="17.7109375" style="74" bestFit="1" customWidth="1"/>
    <col min="12810" max="12810" width="14.140625" style="74" customWidth="1"/>
    <col min="12811" max="12811" width="18" style="74" customWidth="1"/>
    <col min="12812" max="13056" width="9.140625" style="74"/>
    <col min="13057" max="13057" width="47.7109375" style="74" bestFit="1" customWidth="1"/>
    <col min="13058" max="13058" width="21.42578125" style="74" customWidth="1"/>
    <col min="13059" max="13059" width="22.85546875" style="74" customWidth="1"/>
    <col min="13060" max="13060" width="16.42578125" style="74" bestFit="1" customWidth="1"/>
    <col min="13061" max="13061" width="15.28515625" style="74" customWidth="1"/>
    <col min="13062" max="13062" width="19.42578125" style="74" customWidth="1"/>
    <col min="13063" max="13063" width="19.140625" style="74" bestFit="1" customWidth="1"/>
    <col min="13064" max="13064" width="9.140625" style="74"/>
    <col min="13065" max="13065" width="17.7109375" style="74" bestFit="1" customWidth="1"/>
    <col min="13066" max="13066" width="14.140625" style="74" customWidth="1"/>
    <col min="13067" max="13067" width="18" style="74" customWidth="1"/>
    <col min="13068" max="13312" width="9.140625" style="74"/>
    <col min="13313" max="13313" width="47.7109375" style="74" bestFit="1" customWidth="1"/>
    <col min="13314" max="13314" width="21.42578125" style="74" customWidth="1"/>
    <col min="13315" max="13315" width="22.85546875" style="74" customWidth="1"/>
    <col min="13316" max="13316" width="16.42578125" style="74" bestFit="1" customWidth="1"/>
    <col min="13317" max="13317" width="15.28515625" style="74" customWidth="1"/>
    <col min="13318" max="13318" width="19.42578125" style="74" customWidth="1"/>
    <col min="13319" max="13319" width="19.140625" style="74" bestFit="1" customWidth="1"/>
    <col min="13320" max="13320" width="9.140625" style="74"/>
    <col min="13321" max="13321" width="17.7109375" style="74" bestFit="1" customWidth="1"/>
    <col min="13322" max="13322" width="14.140625" style="74" customWidth="1"/>
    <col min="13323" max="13323" width="18" style="74" customWidth="1"/>
    <col min="13324" max="13568" width="9.140625" style="74"/>
    <col min="13569" max="13569" width="47.7109375" style="74" bestFit="1" customWidth="1"/>
    <col min="13570" max="13570" width="21.42578125" style="74" customWidth="1"/>
    <col min="13571" max="13571" width="22.85546875" style="74" customWidth="1"/>
    <col min="13572" max="13572" width="16.42578125" style="74" bestFit="1" customWidth="1"/>
    <col min="13573" max="13573" width="15.28515625" style="74" customWidth="1"/>
    <col min="13574" max="13574" width="19.42578125" style="74" customWidth="1"/>
    <col min="13575" max="13575" width="19.140625" style="74" bestFit="1" customWidth="1"/>
    <col min="13576" max="13576" width="9.140625" style="74"/>
    <col min="13577" max="13577" width="17.7109375" style="74" bestFit="1" customWidth="1"/>
    <col min="13578" max="13578" width="14.140625" style="74" customWidth="1"/>
    <col min="13579" max="13579" width="18" style="74" customWidth="1"/>
    <col min="13580" max="13824" width="9.140625" style="74"/>
    <col min="13825" max="13825" width="47.7109375" style="74" bestFit="1" customWidth="1"/>
    <col min="13826" max="13826" width="21.42578125" style="74" customWidth="1"/>
    <col min="13827" max="13827" width="22.85546875" style="74" customWidth="1"/>
    <col min="13828" max="13828" width="16.42578125" style="74" bestFit="1" customWidth="1"/>
    <col min="13829" max="13829" width="15.28515625" style="74" customWidth="1"/>
    <col min="13830" max="13830" width="19.42578125" style="74" customWidth="1"/>
    <col min="13831" max="13831" width="19.140625" style="74" bestFit="1" customWidth="1"/>
    <col min="13832" max="13832" width="9.140625" style="74"/>
    <col min="13833" max="13833" width="17.7109375" style="74" bestFit="1" customWidth="1"/>
    <col min="13834" max="13834" width="14.140625" style="74" customWidth="1"/>
    <col min="13835" max="13835" width="18" style="74" customWidth="1"/>
    <col min="13836" max="14080" width="9.140625" style="74"/>
    <col min="14081" max="14081" width="47.7109375" style="74" bestFit="1" customWidth="1"/>
    <col min="14082" max="14082" width="21.42578125" style="74" customWidth="1"/>
    <col min="14083" max="14083" width="22.85546875" style="74" customWidth="1"/>
    <col min="14084" max="14084" width="16.42578125" style="74" bestFit="1" customWidth="1"/>
    <col min="14085" max="14085" width="15.28515625" style="74" customWidth="1"/>
    <col min="14086" max="14086" width="19.42578125" style="74" customWidth="1"/>
    <col min="14087" max="14087" width="19.140625" style="74" bestFit="1" customWidth="1"/>
    <col min="14088" max="14088" width="9.140625" style="74"/>
    <col min="14089" max="14089" width="17.7109375" style="74" bestFit="1" customWidth="1"/>
    <col min="14090" max="14090" width="14.140625" style="74" customWidth="1"/>
    <col min="14091" max="14091" width="18" style="74" customWidth="1"/>
    <col min="14092" max="14336" width="9.140625" style="74"/>
    <col min="14337" max="14337" width="47.7109375" style="74" bestFit="1" customWidth="1"/>
    <col min="14338" max="14338" width="21.42578125" style="74" customWidth="1"/>
    <col min="14339" max="14339" width="22.85546875" style="74" customWidth="1"/>
    <col min="14340" max="14340" width="16.42578125" style="74" bestFit="1" customWidth="1"/>
    <col min="14341" max="14341" width="15.28515625" style="74" customWidth="1"/>
    <col min="14342" max="14342" width="19.42578125" style="74" customWidth="1"/>
    <col min="14343" max="14343" width="19.140625" style="74" bestFit="1" customWidth="1"/>
    <col min="14344" max="14344" width="9.140625" style="74"/>
    <col min="14345" max="14345" width="17.7109375" style="74" bestFit="1" customWidth="1"/>
    <col min="14346" max="14346" width="14.140625" style="74" customWidth="1"/>
    <col min="14347" max="14347" width="18" style="74" customWidth="1"/>
    <col min="14348" max="14592" width="9.140625" style="74"/>
    <col min="14593" max="14593" width="47.7109375" style="74" bestFit="1" customWidth="1"/>
    <col min="14594" max="14594" width="21.42578125" style="74" customWidth="1"/>
    <col min="14595" max="14595" width="22.85546875" style="74" customWidth="1"/>
    <col min="14596" max="14596" width="16.42578125" style="74" bestFit="1" customWidth="1"/>
    <col min="14597" max="14597" width="15.28515625" style="74" customWidth="1"/>
    <col min="14598" max="14598" width="19.42578125" style="74" customWidth="1"/>
    <col min="14599" max="14599" width="19.140625" style="74" bestFit="1" customWidth="1"/>
    <col min="14600" max="14600" width="9.140625" style="74"/>
    <col min="14601" max="14601" width="17.7109375" style="74" bestFit="1" customWidth="1"/>
    <col min="14602" max="14602" width="14.140625" style="74" customWidth="1"/>
    <col min="14603" max="14603" width="18" style="74" customWidth="1"/>
    <col min="14604" max="14848" width="9.140625" style="74"/>
    <col min="14849" max="14849" width="47.7109375" style="74" bestFit="1" customWidth="1"/>
    <col min="14850" max="14850" width="21.42578125" style="74" customWidth="1"/>
    <col min="14851" max="14851" width="22.85546875" style="74" customWidth="1"/>
    <col min="14852" max="14852" width="16.42578125" style="74" bestFit="1" customWidth="1"/>
    <col min="14853" max="14853" width="15.28515625" style="74" customWidth="1"/>
    <col min="14854" max="14854" width="19.42578125" style="74" customWidth="1"/>
    <col min="14855" max="14855" width="19.140625" style="74" bestFit="1" customWidth="1"/>
    <col min="14856" max="14856" width="9.140625" style="74"/>
    <col min="14857" max="14857" width="17.7109375" style="74" bestFit="1" customWidth="1"/>
    <col min="14858" max="14858" width="14.140625" style="74" customWidth="1"/>
    <col min="14859" max="14859" width="18" style="74" customWidth="1"/>
    <col min="14860" max="15104" width="9.140625" style="74"/>
    <col min="15105" max="15105" width="47.7109375" style="74" bestFit="1" customWidth="1"/>
    <col min="15106" max="15106" width="21.42578125" style="74" customWidth="1"/>
    <col min="15107" max="15107" width="22.85546875" style="74" customWidth="1"/>
    <col min="15108" max="15108" width="16.42578125" style="74" bestFit="1" customWidth="1"/>
    <col min="15109" max="15109" width="15.28515625" style="74" customWidth="1"/>
    <col min="15110" max="15110" width="19.42578125" style="74" customWidth="1"/>
    <col min="15111" max="15111" width="19.140625" style="74" bestFit="1" customWidth="1"/>
    <col min="15112" max="15112" width="9.140625" style="74"/>
    <col min="15113" max="15113" width="17.7109375" style="74" bestFit="1" customWidth="1"/>
    <col min="15114" max="15114" width="14.140625" style="74" customWidth="1"/>
    <col min="15115" max="15115" width="18" style="74" customWidth="1"/>
    <col min="15116" max="15360" width="9.140625" style="74"/>
    <col min="15361" max="15361" width="47.7109375" style="74" bestFit="1" customWidth="1"/>
    <col min="15362" max="15362" width="21.42578125" style="74" customWidth="1"/>
    <col min="15363" max="15363" width="22.85546875" style="74" customWidth="1"/>
    <col min="15364" max="15364" width="16.42578125" style="74" bestFit="1" customWidth="1"/>
    <col min="15365" max="15365" width="15.28515625" style="74" customWidth="1"/>
    <col min="15366" max="15366" width="19.42578125" style="74" customWidth="1"/>
    <col min="15367" max="15367" width="19.140625" style="74" bestFit="1" customWidth="1"/>
    <col min="15368" max="15368" width="9.140625" style="74"/>
    <col min="15369" max="15369" width="17.7109375" style="74" bestFit="1" customWidth="1"/>
    <col min="15370" max="15370" width="14.140625" style="74" customWidth="1"/>
    <col min="15371" max="15371" width="18" style="74" customWidth="1"/>
    <col min="15372" max="15616" width="9.140625" style="74"/>
    <col min="15617" max="15617" width="47.7109375" style="74" bestFit="1" customWidth="1"/>
    <col min="15618" max="15618" width="21.42578125" style="74" customWidth="1"/>
    <col min="15619" max="15619" width="22.85546875" style="74" customWidth="1"/>
    <col min="15620" max="15620" width="16.42578125" style="74" bestFit="1" customWidth="1"/>
    <col min="15621" max="15621" width="15.28515625" style="74" customWidth="1"/>
    <col min="15622" max="15622" width="19.42578125" style="74" customWidth="1"/>
    <col min="15623" max="15623" width="19.140625" style="74" bestFit="1" customWidth="1"/>
    <col min="15624" max="15624" width="9.140625" style="74"/>
    <col min="15625" max="15625" width="17.7109375" style="74" bestFit="1" customWidth="1"/>
    <col min="15626" max="15626" width="14.140625" style="74" customWidth="1"/>
    <col min="15627" max="15627" width="18" style="74" customWidth="1"/>
    <col min="15628" max="15872" width="9.140625" style="74"/>
    <col min="15873" max="15873" width="47.7109375" style="74" bestFit="1" customWidth="1"/>
    <col min="15874" max="15874" width="21.42578125" style="74" customWidth="1"/>
    <col min="15875" max="15875" width="22.85546875" style="74" customWidth="1"/>
    <col min="15876" max="15876" width="16.42578125" style="74" bestFit="1" customWidth="1"/>
    <col min="15877" max="15877" width="15.28515625" style="74" customWidth="1"/>
    <col min="15878" max="15878" width="19.42578125" style="74" customWidth="1"/>
    <col min="15879" max="15879" width="19.140625" style="74" bestFit="1" customWidth="1"/>
    <col min="15880" max="15880" width="9.140625" style="74"/>
    <col min="15881" max="15881" width="17.7109375" style="74" bestFit="1" customWidth="1"/>
    <col min="15882" max="15882" width="14.140625" style="74" customWidth="1"/>
    <col min="15883" max="15883" width="18" style="74" customWidth="1"/>
    <col min="15884" max="16128" width="9.140625" style="74"/>
    <col min="16129" max="16129" width="47.7109375" style="74" bestFit="1" customWidth="1"/>
    <col min="16130" max="16130" width="21.42578125" style="74" customWidth="1"/>
    <col min="16131" max="16131" width="22.85546875" style="74" customWidth="1"/>
    <col min="16132" max="16132" width="16.42578125" style="74" bestFit="1" customWidth="1"/>
    <col min="16133" max="16133" width="15.28515625" style="74" customWidth="1"/>
    <col min="16134" max="16134" width="19.42578125" style="74" customWidth="1"/>
    <col min="16135" max="16135" width="19.140625" style="74" bestFit="1" customWidth="1"/>
    <col min="16136" max="16136" width="9.140625" style="74"/>
    <col min="16137" max="16137" width="17.7109375" style="74" bestFit="1" customWidth="1"/>
    <col min="16138" max="16138" width="14.140625" style="74" customWidth="1"/>
    <col min="16139" max="16139" width="18" style="74" customWidth="1"/>
    <col min="16140" max="16384" width="9.140625" style="74"/>
  </cols>
  <sheetData>
    <row r="1" spans="1:7" x14ac:dyDescent="0.25">
      <c r="A1" s="77">
        <f>'Balanço Orçamentário MCASP'!A1</f>
        <v>44136</v>
      </c>
    </row>
    <row r="2" spans="1:7" x14ac:dyDescent="0.25">
      <c r="A2" s="252" t="s">
        <v>0</v>
      </c>
      <c r="B2" s="252"/>
      <c r="C2" s="252"/>
      <c r="D2" s="252"/>
      <c r="E2" s="252"/>
      <c r="F2" s="252"/>
      <c r="G2" s="252"/>
    </row>
    <row r="3" spans="1:7" x14ac:dyDescent="0.25">
      <c r="A3" s="252" t="s">
        <v>149</v>
      </c>
      <c r="B3" s="252"/>
      <c r="C3" s="252"/>
      <c r="D3" s="252"/>
      <c r="E3" s="252"/>
      <c r="F3" s="252"/>
      <c r="G3" s="252"/>
    </row>
    <row r="4" spans="1:7" x14ac:dyDescent="0.25">
      <c r="A4" s="252" t="s">
        <v>81</v>
      </c>
      <c r="B4" s="252"/>
      <c r="C4" s="252"/>
      <c r="D4" s="252"/>
      <c r="E4" s="252"/>
      <c r="F4" s="252"/>
      <c r="G4" s="252"/>
    </row>
    <row r="5" spans="1:7" x14ac:dyDescent="0.25">
      <c r="A5" s="81"/>
      <c r="B5" s="81"/>
      <c r="C5" s="81"/>
      <c r="D5" s="81"/>
      <c r="E5" s="81"/>
      <c r="F5" s="81"/>
      <c r="G5" s="141"/>
    </row>
    <row r="6" spans="1:7" ht="15.75" thickBot="1" x14ac:dyDescent="0.3">
      <c r="A6" s="81"/>
      <c r="B6" s="81"/>
      <c r="C6" s="81"/>
      <c r="D6" s="81"/>
      <c r="E6" s="81"/>
      <c r="F6" s="81"/>
      <c r="G6" s="81"/>
    </row>
    <row r="7" spans="1:7" ht="15.75" thickBot="1" x14ac:dyDescent="0.3">
      <c r="A7" s="253" t="s">
        <v>150</v>
      </c>
      <c r="B7" s="255" t="s">
        <v>151</v>
      </c>
      <c r="C7" s="256"/>
      <c r="D7" s="257" t="s">
        <v>152</v>
      </c>
      <c r="E7" s="259" t="s">
        <v>153</v>
      </c>
      <c r="F7" s="257" t="s">
        <v>154</v>
      </c>
      <c r="G7" s="261" t="s">
        <v>155</v>
      </c>
    </row>
    <row r="8" spans="1:7" ht="42" customHeight="1" thickBot="1" x14ac:dyDescent="0.3">
      <c r="A8" s="254"/>
      <c r="B8" s="142" t="s">
        <v>156</v>
      </c>
      <c r="C8" s="143" t="s">
        <v>157</v>
      </c>
      <c r="D8" s="258"/>
      <c r="E8" s="260"/>
      <c r="F8" s="258"/>
      <c r="G8" s="262"/>
    </row>
    <row r="9" spans="1:7" ht="16.5" thickBot="1" x14ac:dyDescent="0.3">
      <c r="A9" s="144" t="s">
        <v>158</v>
      </c>
      <c r="B9" s="145">
        <f>SUM(B10:B12)</f>
        <v>0</v>
      </c>
      <c r="C9" s="146">
        <f>SUM(C10:C12)</f>
        <v>0</v>
      </c>
      <c r="D9" s="146">
        <f>SUM(D10:D12)</f>
        <v>65513385</v>
      </c>
      <c r="E9" s="145">
        <f>SUM(E10:E12)</f>
        <v>65513385</v>
      </c>
      <c r="F9" s="146">
        <f>SUM(F10:F12)</f>
        <v>39252678.259999998</v>
      </c>
      <c r="G9" s="147">
        <f t="shared" ref="G9:G16" si="0">B9+C9-E9-F9</f>
        <v>-104766063.25999999</v>
      </c>
    </row>
    <row r="10" spans="1:7" ht="15.75" x14ac:dyDescent="0.25">
      <c r="A10" s="148" t="s">
        <v>123</v>
      </c>
      <c r="B10" s="149"/>
      <c r="C10" s="150"/>
      <c r="D10" s="150"/>
      <c r="E10" s="149"/>
      <c r="F10" s="150"/>
      <c r="G10" s="151">
        <f t="shared" si="0"/>
        <v>0</v>
      </c>
    </row>
    <row r="11" spans="1:7" ht="15.75" x14ac:dyDescent="0.25">
      <c r="A11" s="148" t="s">
        <v>124</v>
      </c>
      <c r="B11" s="149"/>
      <c r="C11" s="150"/>
      <c r="D11" s="152"/>
      <c r="E11" s="153"/>
      <c r="F11" s="150"/>
      <c r="G11" s="151">
        <f t="shared" si="0"/>
        <v>0</v>
      </c>
    </row>
    <row r="12" spans="1:7" ht="16.5" thickBot="1" x14ac:dyDescent="0.3">
      <c r="A12" s="148" t="s">
        <v>125</v>
      </c>
      <c r="B12" s="154">
        <f>HLOOKUP($A$1,[1]DADOS!$A1:$IV200,140,0)</f>
        <v>0</v>
      </c>
      <c r="C12" s="155">
        <f>HLOOKUP($A$1,[1]DADOS!$A1:$IV200,124,0)</f>
        <v>0</v>
      </c>
      <c r="D12" s="156">
        <f>$E$12</f>
        <v>65513385</v>
      </c>
      <c r="E12" s="157">
        <f>HLOOKUP($A$1,[1]DADOS!$A1:$IV200,126,0)+HLOOKUP($A$1,[1]DADOS!$A1:$IV200,142,0)</f>
        <v>65513385</v>
      </c>
      <c r="F12" s="158">
        <f>HLOOKUP($A$1,[1]DADOS!$A1:$IV200,128,0)+HLOOKUP($A$1,[1]DADOS!$A1:$IV200,136,0)+HLOOKUP($A$1,[1]DADOS!$A1:$IV200,144,0)</f>
        <v>39252678.259999998</v>
      </c>
      <c r="G12" s="159">
        <f>B12+C12-E12-F12</f>
        <v>-104766063.25999999</v>
      </c>
    </row>
    <row r="13" spans="1:7" ht="16.5" thickBot="1" x14ac:dyDescent="0.3">
      <c r="A13" s="144" t="s">
        <v>159</v>
      </c>
      <c r="B13" s="160">
        <f>SUM(B14:B16)</f>
        <v>0</v>
      </c>
      <c r="C13" s="146">
        <f>SUM(C14:C16)</f>
        <v>0</v>
      </c>
      <c r="D13" s="146">
        <f>SUM(D14:D16)</f>
        <v>43000</v>
      </c>
      <c r="E13" s="145">
        <f>SUM(E14:E16)</f>
        <v>43000</v>
      </c>
      <c r="F13" s="146">
        <f>SUM(F14:F16)</f>
        <v>8641.73</v>
      </c>
      <c r="G13" s="147">
        <f t="shared" si="0"/>
        <v>-51641.729999999996</v>
      </c>
    </row>
    <row r="14" spans="1:7" ht="15.75" x14ac:dyDescent="0.25">
      <c r="A14" s="148" t="s">
        <v>127</v>
      </c>
      <c r="B14" s="149">
        <f>HLOOKUP($A$1,[1]DADOS!$A1:$IV200,139,0)</f>
        <v>0</v>
      </c>
      <c r="C14" s="155">
        <f>HLOOKUP($A$1,[1]DADOS!$A1:$IV200,131,0)</f>
        <v>0</v>
      </c>
      <c r="D14" s="158">
        <f>$E$14</f>
        <v>43000</v>
      </c>
      <c r="E14" s="154">
        <f>HLOOKUP($A$1,[1]DADOS!$A1:$IV200,133,0)+HLOOKUP($A$1,[1]DADOS!$A1:$IV200,149,0)</f>
        <v>43000</v>
      </c>
      <c r="F14" s="158">
        <f>HLOOKUP($A$1,[1]DADOS!$A1:$IV200,135,0)+HLOOKUP($A$1,[1]DADOS!$A1:$IV200,151,0)</f>
        <v>8641.73</v>
      </c>
      <c r="G14" s="151">
        <f t="shared" si="0"/>
        <v>-51641.729999999996</v>
      </c>
    </row>
    <row r="15" spans="1:7" ht="15.75" x14ac:dyDescent="0.25">
      <c r="A15" s="148" t="s">
        <v>128</v>
      </c>
      <c r="B15" s="149"/>
      <c r="C15" s="150"/>
      <c r="D15" s="150"/>
      <c r="E15" s="149"/>
      <c r="F15" s="150"/>
      <c r="G15" s="151">
        <f t="shared" si="0"/>
        <v>0</v>
      </c>
    </row>
    <row r="16" spans="1:7" ht="16.5" thickBot="1" x14ac:dyDescent="0.3">
      <c r="A16" s="161" t="s">
        <v>129</v>
      </c>
      <c r="B16" s="149"/>
      <c r="C16" s="150"/>
      <c r="D16" s="150"/>
      <c r="E16" s="162"/>
      <c r="F16" s="150"/>
      <c r="G16" s="151">
        <f t="shared" si="0"/>
        <v>0</v>
      </c>
    </row>
    <row r="17" spans="1:15" s="96" customFormat="1" ht="16.5" thickBot="1" x14ac:dyDescent="0.3">
      <c r="A17" s="163" t="s">
        <v>160</v>
      </c>
      <c r="B17" s="164">
        <f t="shared" ref="B17:G17" si="1">B9+B13</f>
        <v>0</v>
      </c>
      <c r="C17" s="164">
        <f t="shared" si="1"/>
        <v>0</v>
      </c>
      <c r="D17" s="164">
        <f t="shared" si="1"/>
        <v>65556385</v>
      </c>
      <c r="E17" s="164">
        <f t="shared" si="1"/>
        <v>65556385</v>
      </c>
      <c r="F17" s="164">
        <f t="shared" si="1"/>
        <v>39261319.989999995</v>
      </c>
      <c r="G17" s="164">
        <f t="shared" si="1"/>
        <v>-104817704.98999999</v>
      </c>
      <c r="I17" s="165">
        <f>G17</f>
        <v>-104817704.98999999</v>
      </c>
      <c r="J17" s="166" t="s">
        <v>161</v>
      </c>
      <c r="K17" s="167"/>
    </row>
    <row r="18" spans="1:15" x14ac:dyDescent="0.25">
      <c r="I18" s="106"/>
      <c r="K18" s="168"/>
    </row>
    <row r="19" spans="1:15" ht="15.75" thickBot="1" x14ac:dyDescent="0.3">
      <c r="A19" s="81"/>
      <c r="B19" s="81"/>
      <c r="C19" s="81"/>
      <c r="D19" s="81"/>
      <c r="E19" s="81"/>
      <c r="F19" s="81"/>
      <c r="G19" s="81"/>
      <c r="I19" s="106"/>
      <c r="K19" s="168"/>
    </row>
    <row r="20" spans="1:15" ht="15.75" thickBot="1" x14ac:dyDescent="0.3">
      <c r="A20" s="253" t="s">
        <v>162</v>
      </c>
      <c r="B20" s="255" t="s">
        <v>151</v>
      </c>
      <c r="C20" s="256"/>
      <c r="D20" s="264" t="s">
        <v>163</v>
      </c>
      <c r="E20" s="264" t="s">
        <v>164</v>
      </c>
      <c r="F20" s="264" t="s">
        <v>165</v>
      </c>
      <c r="I20" s="106"/>
      <c r="K20" s="168"/>
    </row>
    <row r="21" spans="1:15" ht="30.75" thickBot="1" x14ac:dyDescent="0.3">
      <c r="A21" s="263"/>
      <c r="B21" s="142" t="s">
        <v>156</v>
      </c>
      <c r="C21" s="143" t="s">
        <v>157</v>
      </c>
      <c r="D21" s="265"/>
      <c r="E21" s="265"/>
      <c r="F21" s="265"/>
      <c r="I21" s="106"/>
      <c r="K21" s="168"/>
    </row>
    <row r="22" spans="1:15" ht="16.5" thickBot="1" x14ac:dyDescent="0.3">
      <c r="A22" s="163" t="s">
        <v>158</v>
      </c>
      <c r="B22" s="145">
        <f>SUM(B23:B25)</f>
        <v>0</v>
      </c>
      <c r="C22" s="146">
        <f>SUM(C23:C25)</f>
        <v>0</v>
      </c>
      <c r="D22" s="146">
        <f>SUM(D23:D25)</f>
        <v>93211292.340000004</v>
      </c>
      <c r="E22" s="146">
        <f>SUM(E23:E25)</f>
        <v>32130878.509999998</v>
      </c>
      <c r="F22" s="146">
        <f t="shared" ref="F22:F27" si="2">B22+C22-D22-E22</f>
        <v>-125342170.84999999</v>
      </c>
      <c r="I22" s="106"/>
      <c r="K22" s="168"/>
    </row>
    <row r="23" spans="1:15" ht="15.75" x14ac:dyDescent="0.25">
      <c r="A23" s="169" t="s">
        <v>123</v>
      </c>
      <c r="B23" s="149"/>
      <c r="C23" s="149"/>
      <c r="D23" s="152"/>
      <c r="E23" s="152"/>
      <c r="F23" s="150">
        <f t="shared" si="2"/>
        <v>0</v>
      </c>
      <c r="I23" s="106"/>
      <c r="K23" s="168"/>
    </row>
    <row r="24" spans="1:15" ht="15.75" x14ac:dyDescent="0.25">
      <c r="A24" s="169" t="s">
        <v>124</v>
      </c>
      <c r="B24" s="149"/>
      <c r="C24" s="150"/>
      <c r="D24" s="150"/>
      <c r="E24" s="150"/>
      <c r="F24" s="150">
        <f t="shared" si="2"/>
        <v>0</v>
      </c>
      <c r="I24" s="106"/>
      <c r="K24" s="168"/>
    </row>
    <row r="25" spans="1:15" ht="16.5" thickBot="1" x14ac:dyDescent="0.3">
      <c r="A25" s="169" t="s">
        <v>125</v>
      </c>
      <c r="B25" s="157">
        <f>HLOOKUP($A$1,[1]DADOS!$A1:$IV200,141,0)</f>
        <v>0</v>
      </c>
      <c r="C25" s="157">
        <f>HLOOKUP($A$1,[1]DADOS!$A1:$IV200,125,0)</f>
        <v>0</v>
      </c>
      <c r="D25" s="158">
        <f>HLOOKUP($A$1,[1]DADOS!$A1:$IV200,127,0)+HLOOKUP($A$1,[1]DADOS!$A1:$IV200,143,0)</f>
        <v>93211292.340000004</v>
      </c>
      <c r="E25" s="158">
        <f>HLOOKUP($A$1,[1]DADOS!$A1:$IV200,129,0)+HLOOKUP($A$1,[1]DADOS!$A1:$IV200,145,0)</f>
        <v>32130878.509999998</v>
      </c>
      <c r="F25" s="155">
        <f t="shared" si="2"/>
        <v>-125342170.84999999</v>
      </c>
      <c r="I25" s="106"/>
      <c r="K25" s="168"/>
    </row>
    <row r="26" spans="1:15" ht="15.75" thickBot="1" x14ac:dyDescent="0.3">
      <c r="A26" s="163" t="s">
        <v>159</v>
      </c>
      <c r="B26" s="160">
        <f>SUM(B27:B29)</f>
        <v>0</v>
      </c>
      <c r="C26" s="170">
        <f>SUM(C27:C29)</f>
        <v>43000</v>
      </c>
      <c r="D26" s="170">
        <f>SUM(D27:D29)</f>
        <v>2003403.79</v>
      </c>
      <c r="E26" s="170">
        <f>SUM(E27:E29)</f>
        <v>263013.11</v>
      </c>
      <c r="F26" s="170">
        <f t="shared" si="2"/>
        <v>-2223416.9</v>
      </c>
      <c r="I26" s="106"/>
      <c r="K26" s="168"/>
    </row>
    <row r="27" spans="1:15" ht="15.75" x14ac:dyDescent="0.25">
      <c r="A27" s="169" t="s">
        <v>127</v>
      </c>
      <c r="B27" s="149">
        <f>HLOOKUP($A$1,[1]DADOS!$A1:$IV200,148,0)</f>
        <v>0</v>
      </c>
      <c r="C27" s="171">
        <f>HLOOKUP($A$1,[1]DADOS!$A1:$IV200,132,0)</f>
        <v>43000</v>
      </c>
      <c r="D27" s="150">
        <f>HLOOKUP($A$1,[1]DADOS!$A1:$IV200,134,0)+HLOOKUP($A$1,[1]DADOS!$A1:$IV200,150,0)</f>
        <v>2003403.79</v>
      </c>
      <c r="E27" s="150">
        <f>HLOOKUP($A$1,[1]DADOS!$A1:$IV200,136,0)+HLOOKUP($A$1,[1]DADOS!$A1:$IV200,152,0)</f>
        <v>263013.11</v>
      </c>
      <c r="F27" s="171">
        <f t="shared" si="2"/>
        <v>-2223416.9</v>
      </c>
      <c r="I27" s="106"/>
      <c r="K27" s="168"/>
    </row>
    <row r="28" spans="1:15" ht="15.75" x14ac:dyDescent="0.25">
      <c r="A28" s="169" t="s">
        <v>128</v>
      </c>
      <c r="B28" s="149"/>
      <c r="C28" s="150"/>
      <c r="D28" s="150"/>
      <c r="E28" s="150"/>
      <c r="F28" s="150"/>
      <c r="I28" s="106"/>
      <c r="K28" s="168"/>
    </row>
    <row r="29" spans="1:15" ht="16.5" thickBot="1" x14ac:dyDescent="0.3">
      <c r="A29" s="169" t="s">
        <v>129</v>
      </c>
      <c r="B29" s="162"/>
      <c r="C29" s="150"/>
      <c r="D29" s="150"/>
      <c r="E29" s="150"/>
      <c r="F29" s="150"/>
      <c r="I29" s="106"/>
      <c r="K29" s="168"/>
    </row>
    <row r="30" spans="1:15" s="96" customFormat="1" ht="18.75" thickBot="1" x14ac:dyDescent="0.45">
      <c r="A30" s="163" t="s">
        <v>160</v>
      </c>
      <c r="B30" s="164">
        <f>B22+B26</f>
        <v>0</v>
      </c>
      <c r="C30" s="164">
        <f>C22+C26</f>
        <v>43000</v>
      </c>
      <c r="D30" s="164">
        <f>D22+D26</f>
        <v>95214696.13000001</v>
      </c>
      <c r="E30" s="164">
        <f>E22+E26</f>
        <v>32393891.619999997</v>
      </c>
      <c r="F30" s="164">
        <f>F22+F26</f>
        <v>-127565587.75</v>
      </c>
      <c r="I30" s="172">
        <f>F30</f>
        <v>-127565587.75</v>
      </c>
      <c r="J30" s="173" t="s">
        <v>166</v>
      </c>
      <c r="K30" s="174"/>
    </row>
    <row r="31" spans="1:15" s="45" customFormat="1" ht="13.5" customHeight="1" x14ac:dyDescent="0.25">
      <c r="A31" s="40" t="s">
        <v>46</v>
      </c>
      <c r="B31" s="41"/>
      <c r="C31" s="41"/>
      <c r="D31" s="41"/>
      <c r="E31" s="42"/>
      <c r="F31" s="42"/>
      <c r="G31" s="42"/>
      <c r="H31" s="41"/>
      <c r="I31" s="175">
        <f>I17+I30</f>
        <v>-232383292.74000001</v>
      </c>
      <c r="J31" s="74" t="s">
        <v>167</v>
      </c>
      <c r="K31" s="176"/>
      <c r="L31" s="42"/>
      <c r="M31" s="43"/>
    </row>
    <row r="32" spans="1:15" s="45" customFormat="1" ht="13.5" customHeight="1" x14ac:dyDescent="0.2">
      <c r="A32" s="40" t="s">
        <v>47</v>
      </c>
      <c r="B32" s="47"/>
      <c r="C32" s="47"/>
      <c r="D32" s="47"/>
      <c r="E32" s="47"/>
      <c r="F32" s="47"/>
      <c r="G32" s="47"/>
      <c r="H32" s="47"/>
      <c r="I32" s="177">
        <v>-72409.919999999998</v>
      </c>
      <c r="J32" s="178" t="s">
        <v>168</v>
      </c>
      <c r="K32" s="179"/>
      <c r="L32" s="47"/>
      <c r="M32" s="48"/>
      <c r="O32" s="128"/>
    </row>
    <row r="33" spans="1:13" s="45" customFormat="1" ht="12.95" customHeight="1" x14ac:dyDescent="0.2">
      <c r="A33" s="180" t="s">
        <v>48</v>
      </c>
      <c r="B33" s="180"/>
      <c r="C33" s="180"/>
      <c r="D33" s="180"/>
      <c r="E33" s="180"/>
      <c r="F33" s="180"/>
      <c r="G33" s="180"/>
      <c r="H33" s="181"/>
      <c r="I33" s="182">
        <f>SUM(I31:I32)</f>
        <v>-232455702.66</v>
      </c>
      <c r="J33" s="183" t="s">
        <v>169</v>
      </c>
      <c r="K33" s="184"/>
      <c r="L33" s="181"/>
      <c r="M33" s="136"/>
    </row>
    <row r="34" spans="1:13" s="45" customFormat="1" ht="12.95" customHeight="1" x14ac:dyDescent="0.2">
      <c r="A34" s="185" t="s">
        <v>49</v>
      </c>
      <c r="B34" s="185"/>
      <c r="C34" s="185"/>
      <c r="D34" s="185"/>
      <c r="E34" s="185"/>
      <c r="F34" s="185"/>
      <c r="G34" s="185"/>
      <c r="H34" s="185"/>
      <c r="I34" s="186" t="s">
        <v>170</v>
      </c>
      <c r="J34" s="187"/>
      <c r="K34" s="188"/>
      <c r="L34" s="185"/>
      <c r="M34" s="135"/>
    </row>
    <row r="35" spans="1:13" s="45" customFormat="1" ht="12.95" customHeight="1" x14ac:dyDescent="0.25">
      <c r="A35" s="189" t="s">
        <v>171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74"/>
    </row>
    <row r="36" spans="1:13" ht="12.95" customHeight="1" x14ac:dyDescent="0.25">
      <c r="A36" s="251" t="s">
        <v>172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</row>
    <row r="40" spans="1:13" s="68" customFormat="1" ht="13.5" customHeight="1" x14ac:dyDescent="0.2">
      <c r="A40" s="59"/>
      <c r="B40" s="190"/>
      <c r="C40" s="190"/>
      <c r="D40" s="190"/>
      <c r="E40" s="138"/>
      <c r="F40" s="138"/>
      <c r="G40" s="138"/>
      <c r="H40" s="138"/>
    </row>
    <row r="41" spans="1:13" s="1" customFormat="1" ht="13.5" customHeight="1" x14ac:dyDescent="0.25">
      <c r="A41" s="74"/>
      <c r="B41" s="74"/>
      <c r="C41" s="74"/>
      <c r="D41" s="74"/>
      <c r="E41" s="74"/>
      <c r="F41" s="74"/>
      <c r="G41" s="74"/>
      <c r="H41" s="140"/>
    </row>
    <row r="42" spans="1:13" s="1" customFormat="1" ht="13.5" customHeight="1" x14ac:dyDescent="0.25">
      <c r="A42" s="61"/>
      <c r="B42" s="61" t="s">
        <v>69</v>
      </c>
      <c r="C42" s="74"/>
      <c r="D42" s="61"/>
      <c r="E42" s="72"/>
      <c r="F42" s="59" t="s">
        <v>70</v>
      </c>
      <c r="G42" s="72"/>
      <c r="H42" s="72"/>
    </row>
    <row r="43" spans="1:13" s="1" customFormat="1" ht="13.5" customHeight="1" x14ac:dyDescent="0.2">
      <c r="A43" s="64"/>
      <c r="B43" s="64" t="s">
        <v>71</v>
      </c>
      <c r="C43" s="68"/>
      <c r="D43" s="64"/>
      <c r="E43" s="73"/>
      <c r="F43" s="64" t="s">
        <v>72</v>
      </c>
      <c r="G43" s="73"/>
      <c r="H43" s="73"/>
    </row>
    <row r="44" spans="1:13" x14ac:dyDescent="0.25">
      <c r="A44" s="66"/>
      <c r="B44" s="66" t="s">
        <v>173</v>
      </c>
      <c r="C44" s="1"/>
      <c r="D44" s="66"/>
      <c r="F44" s="69" t="s">
        <v>73</v>
      </c>
    </row>
    <row r="45" spans="1:13" x14ac:dyDescent="0.25">
      <c r="A45" s="66"/>
      <c r="B45" s="66" t="s">
        <v>74</v>
      </c>
      <c r="C45" s="1"/>
      <c r="D45" s="66"/>
      <c r="F45" s="66" t="s">
        <v>74</v>
      </c>
    </row>
  </sheetData>
  <mergeCells count="15"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79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cp:lastPrinted>2021-07-14T20:00:31Z</cp:lastPrinted>
  <dcterms:created xsi:type="dcterms:W3CDTF">2021-07-02T15:06:26Z</dcterms:created>
  <dcterms:modified xsi:type="dcterms:W3CDTF">2021-07-14T20:00:35Z</dcterms:modified>
</cp:coreProperties>
</file>