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.prodam\smdhc_sgaf_execucao_orcamentaria\DENISE\2020\7. Julho\Balancetes Publicação\"/>
    </mc:Choice>
  </mc:AlternateContent>
  <xr:revisionPtr revIDLastSave="0" documentId="13_ncr:1_{10903E10-460B-400B-82CB-2A1FBEEE3674}" xr6:coauthVersionLast="47" xr6:coauthVersionMax="47" xr10:uidLastSave="{00000000-0000-0000-0000-000000000000}"/>
  <bookViews>
    <workbookView xWindow="-120" yWindow="-120" windowWidth="29040" windowHeight="15840" activeTab="2" xr2:uid="{C4E28E0A-B513-40D4-950A-FD3E80B62DA1}"/>
  </bookViews>
  <sheets>
    <sheet name="Balanço Financeiro " sheetId="1" r:id="rId1"/>
    <sheet name="Balanço Orçamentário MCASP" sheetId="2" r:id="rId2"/>
    <sheet name="Anexos do BO " sheetId="3" r:id="rId3"/>
  </sheets>
  <externalReferences>
    <externalReference r:id="rId4"/>
  </externalReferences>
  <definedNames>
    <definedName name="_xlnm.Print_Area" localSheetId="2">'Anexos do BO '!$A$2:$G$45</definedName>
    <definedName name="_xlnm.Print_Area" localSheetId="0">'Balanço Financeiro '!$A$1:$O$62</definedName>
    <definedName name="_xlnm.Print_Area" localSheetId="1">'Balanço Orçamentário MCASP'!$A$2:$G$79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3" l="1"/>
  <c r="F23" i="3"/>
  <c r="G16" i="3"/>
  <c r="G15" i="3"/>
  <c r="G11" i="3"/>
  <c r="G10" i="3"/>
  <c r="F52" i="2"/>
  <c r="E52" i="2"/>
  <c r="D52" i="2"/>
  <c r="C52" i="2"/>
  <c r="G52" i="2" s="1"/>
  <c r="B52" i="2"/>
  <c r="F46" i="2"/>
  <c r="F45" i="2" s="1"/>
  <c r="C46" i="2"/>
  <c r="F44" i="2"/>
  <c r="C44" i="2"/>
  <c r="F41" i="2"/>
  <c r="C41" i="2"/>
  <c r="G35" i="2"/>
  <c r="F35" i="2"/>
  <c r="D35" i="2"/>
  <c r="B35" i="2"/>
  <c r="G25" i="2"/>
  <c r="F25" i="2"/>
  <c r="D25" i="2"/>
  <c r="B25" i="2"/>
  <c r="G22" i="2"/>
  <c r="G21" i="2"/>
  <c r="G20" i="2"/>
  <c r="G19" i="2"/>
  <c r="G18" i="2"/>
  <c r="F17" i="2"/>
  <c r="D17" i="2"/>
  <c r="G17" i="2" s="1"/>
  <c r="B17" i="2"/>
  <c r="F16" i="2"/>
  <c r="D15" i="2"/>
  <c r="G14" i="2"/>
  <c r="D14" i="2"/>
  <c r="D13" i="2"/>
  <c r="G13" i="2" s="1"/>
  <c r="D12" i="2"/>
  <c r="G12" i="2" s="1"/>
  <c r="B11" i="2"/>
  <c r="G10" i="2"/>
  <c r="G9" i="2"/>
  <c r="A1" i="2"/>
  <c r="B46" i="2" s="1"/>
  <c r="B45" i="2" s="1"/>
  <c r="Q33" i="1"/>
  <c r="N31" i="1"/>
  <c r="N30" i="1" s="1"/>
  <c r="G31" i="1"/>
  <c r="G30" i="1"/>
  <c r="N29" i="1"/>
  <c r="G29" i="1"/>
  <c r="N28" i="1"/>
  <c r="G28" i="1"/>
  <c r="N27" i="1"/>
  <c r="G27" i="1"/>
  <c r="G25" i="1" s="1"/>
  <c r="N26" i="1"/>
  <c r="G26" i="1"/>
  <c r="N25" i="1"/>
  <c r="N24" i="1"/>
  <c r="G24" i="1"/>
  <c r="N23" i="1"/>
  <c r="G23" i="1"/>
  <c r="N22" i="1"/>
  <c r="N20" i="1" s="1"/>
  <c r="G22" i="1"/>
  <c r="N21" i="1"/>
  <c r="G21" i="1"/>
  <c r="G20" i="1" s="1"/>
  <c r="N19" i="1"/>
  <c r="G19" i="1"/>
  <c r="N18" i="1"/>
  <c r="G18" i="1"/>
  <c r="N17" i="1"/>
  <c r="G17" i="1"/>
  <c r="N16" i="1"/>
  <c r="G16" i="1"/>
  <c r="N15" i="1"/>
  <c r="G15" i="1"/>
  <c r="N14" i="1"/>
  <c r="G14" i="1"/>
  <c r="N13" i="1"/>
  <c r="N12" i="1" s="1"/>
  <c r="G13" i="1"/>
  <c r="G12" i="1"/>
  <c r="N11" i="1"/>
  <c r="G11" i="1"/>
  <c r="N10" i="1"/>
  <c r="G10" i="1"/>
  <c r="N9" i="1"/>
  <c r="N8" i="1" s="1"/>
  <c r="N7" i="1" s="1"/>
  <c r="N33" i="1" s="1"/>
  <c r="G9" i="1"/>
  <c r="G8" i="1" s="1"/>
  <c r="G7" i="1" s="1"/>
  <c r="G16" i="2" l="1"/>
  <c r="F51" i="2"/>
  <c r="F59" i="2" s="1"/>
  <c r="F61" i="2" s="1"/>
  <c r="I2" i="2"/>
  <c r="G33" i="1"/>
  <c r="P33" i="1" s="1"/>
  <c r="G46" i="2"/>
  <c r="C45" i="2"/>
  <c r="C51" i="2"/>
  <c r="D44" i="2"/>
  <c r="D41" i="2" s="1"/>
  <c r="D51" i="2" s="1"/>
  <c r="D59" i="2" s="1"/>
  <c r="D46" i="2"/>
  <c r="D45" i="2" s="1"/>
  <c r="A1" i="3"/>
  <c r="F15" i="2"/>
  <c r="G15" i="2" s="1"/>
  <c r="E44" i="2"/>
  <c r="E41" i="2" s="1"/>
  <c r="E46" i="2"/>
  <c r="E45" i="2" s="1"/>
  <c r="D11" i="2"/>
  <c r="D8" i="2" s="1"/>
  <c r="D24" i="2" s="1"/>
  <c r="D32" i="2" s="1"/>
  <c r="B16" i="2"/>
  <c r="D16" i="2" s="1"/>
  <c r="F11" i="2"/>
  <c r="B44" i="2"/>
  <c r="B41" i="2" s="1"/>
  <c r="B51" i="2" s="1"/>
  <c r="B59" i="2" s="1"/>
  <c r="G51" i="2" l="1"/>
  <c r="C59" i="2"/>
  <c r="G44" i="2"/>
  <c r="E51" i="2"/>
  <c r="E59" i="2" s="1"/>
  <c r="G45" i="2"/>
  <c r="D34" i="2"/>
  <c r="D33" i="2"/>
  <c r="F8" i="2"/>
  <c r="G11" i="2"/>
  <c r="E25" i="3"/>
  <c r="E22" i="3" s="1"/>
  <c r="E30" i="3" s="1"/>
  <c r="C14" i="3"/>
  <c r="C13" i="3" s="1"/>
  <c r="C12" i="3"/>
  <c r="C9" i="3" s="1"/>
  <c r="C17" i="3" s="1"/>
  <c r="E27" i="3"/>
  <c r="E26" i="3" s="1"/>
  <c r="D25" i="3"/>
  <c r="D22" i="3" s="1"/>
  <c r="B14" i="3"/>
  <c r="B12" i="3"/>
  <c r="C25" i="3"/>
  <c r="C22" i="3" s="1"/>
  <c r="D27" i="3"/>
  <c r="D26" i="3" s="1"/>
  <c r="B25" i="3"/>
  <c r="F14" i="3"/>
  <c r="F13" i="3" s="1"/>
  <c r="F12" i="3"/>
  <c r="F9" i="3" s="1"/>
  <c r="F17" i="3" s="1"/>
  <c r="B27" i="3"/>
  <c r="C27" i="3"/>
  <c r="C26" i="3" s="1"/>
  <c r="E14" i="3"/>
  <c r="E12" i="3"/>
  <c r="B8" i="2"/>
  <c r="B24" i="2" s="1"/>
  <c r="B32" i="2" s="1"/>
  <c r="G41" i="2"/>
  <c r="F27" i="3" l="1"/>
  <c r="B26" i="3"/>
  <c r="F26" i="3" s="1"/>
  <c r="B13" i="3"/>
  <c r="G14" i="3"/>
  <c r="B60" i="2"/>
  <c r="B61" i="2" s="1"/>
  <c r="B33" i="2"/>
  <c r="B34" i="2"/>
  <c r="D30" i="3"/>
  <c r="G8" i="2"/>
  <c r="F24" i="2"/>
  <c r="I3" i="2"/>
  <c r="I4" i="2" s="1"/>
  <c r="E60" i="2"/>
  <c r="E61" i="2"/>
  <c r="E9" i="3"/>
  <c r="D12" i="3"/>
  <c r="D9" i="3" s="1"/>
  <c r="D17" i="3" s="1"/>
  <c r="F25" i="3"/>
  <c r="B22" i="3"/>
  <c r="G12" i="3"/>
  <c r="B9" i="3"/>
  <c r="D14" i="3"/>
  <c r="D13" i="3" s="1"/>
  <c r="E13" i="3"/>
  <c r="G59" i="2"/>
  <c r="C30" i="3"/>
  <c r="C60" i="2"/>
  <c r="G13" i="3" l="1"/>
  <c r="E17" i="3"/>
  <c r="B17" i="3"/>
  <c r="G9" i="3"/>
  <c r="B30" i="3"/>
  <c r="F22" i="3"/>
  <c r="F30" i="3" s="1"/>
  <c r="I30" i="3" s="1"/>
  <c r="C61" i="2"/>
  <c r="F32" i="2"/>
  <c r="G24" i="2"/>
  <c r="F34" i="2" l="1"/>
  <c r="G34" i="2" s="1"/>
  <c r="I64" i="2" s="1"/>
  <c r="G32" i="2"/>
  <c r="D60" i="2"/>
  <c r="F33" i="2"/>
  <c r="G33" i="2" s="1"/>
  <c r="G17" i="3"/>
  <c r="I17" i="3" s="1"/>
  <c r="I31" i="3" s="1"/>
  <c r="I33" i="3" s="1"/>
  <c r="D61" i="2" l="1"/>
  <c r="G61" i="2" s="1"/>
  <c r="I65" i="2" s="1"/>
  <c r="G60" i="2"/>
  <c r="I66" i="2"/>
</calcChain>
</file>

<file path=xl/sharedStrings.xml><?xml version="1.0" encoding="utf-8"?>
<sst xmlns="http://schemas.openxmlformats.org/spreadsheetml/2006/main" count="257" uniqueCount="173">
  <si>
    <t>FUMCAD - Fundo Municipal da Criança e do Adolescente</t>
  </si>
  <si>
    <t xml:space="preserve">Balancete Financeiro </t>
  </si>
  <si>
    <t>Julho 2020</t>
  </si>
  <si>
    <t xml:space="preserve">                                           </t>
  </si>
  <si>
    <t>em R$</t>
  </si>
  <si>
    <t>INGRESSOS</t>
  </si>
  <si>
    <t>DISPÊNDIOS</t>
  </si>
  <si>
    <t>ESPECIFICAÇÃO</t>
  </si>
  <si>
    <t>Exercício Atual</t>
  </si>
  <si>
    <t>Exercício Anterior</t>
  </si>
  <si>
    <t xml:space="preserve">RECEITA ORÇAMENTÁRIA  (I)         </t>
  </si>
  <si>
    <t xml:space="preserve">DESPESA ORÇAMENTÁRIA  (VI)         </t>
  </si>
  <si>
    <t>ORDINÁRIA</t>
  </si>
  <si>
    <t>TESOURO MUNICIPAL</t>
  </si>
  <si>
    <t>RECURSOS PRÓPRIOS DA ADMINISTRAÇÃO INDIRETA</t>
  </si>
  <si>
    <t>-</t>
  </si>
  <si>
    <t>RECURSOS PRÓPRIOS DA EMPRESA DEPENDENTE</t>
  </si>
  <si>
    <t>VINCULADA</t>
  </si>
  <si>
    <t>OPERAÇÕES DE CRÉDITO</t>
  </si>
  <si>
    <t>TRANSFERÊNCIAS FEDERAIS</t>
  </si>
  <si>
    <t>TRANSFERÊNCIAS ESTADUAIS</t>
  </si>
  <si>
    <t>FUNDO CONSTITUCIONAL DE EDUCAÇÃO</t>
  </si>
  <si>
    <t>OUTRAS FONTES</t>
  </si>
  <si>
    <t>RECEITA CONDICIONADA</t>
  </si>
  <si>
    <t>TESOURO MUNICIPAL - RECURSO VINCULADO</t>
  </si>
  <si>
    <t xml:space="preserve">TRANSFERÊNCIAS FINANCEIRAS RECEBIDAS  (II)         </t>
  </si>
  <si>
    <t xml:space="preserve">TRANSFERÊNCIAS FINANCEIRAS CONCEDIDAS  (VII)         </t>
  </si>
  <si>
    <t>PARA  EXECUÇÃO ORÇAMENTÁRIA</t>
  </si>
  <si>
    <t>INDEPENDENTES DE EXECUÇÃO ORÇAMENTÁRIA</t>
  </si>
  <si>
    <t>PARA APORTES DE RECURSOS PARA O RPPS</t>
  </si>
  <si>
    <t>PARA APORTES DE RECURSOS PARA O RGPS</t>
  </si>
  <si>
    <t xml:space="preserve">RECEBIMENTOS EXTRAORÇAMENTÁRIOS (III)         </t>
  </si>
  <si>
    <t xml:space="preserve">PAGAMENTOS EXTRAORÇAMENTÁRIOS  (VIII)         </t>
  </si>
  <si>
    <t xml:space="preserve">EMPENHOS NÃO LIQUIDADOS A PAGAR </t>
  </si>
  <si>
    <t xml:space="preserve">PAGAMENTOS DE RESTOS A PAGAR NÃO PROCESSADOS </t>
  </si>
  <si>
    <t xml:space="preserve">EMPENHOS LIQUIDADOS A PAGAR </t>
  </si>
  <si>
    <t xml:space="preserve">PAGAMENTOS DE RESTOS A PAGAR PROCESSADOS </t>
  </si>
  <si>
    <t>DEPÓSITOS RESTITUÍVEIS E VALORES VINCULADOS</t>
  </si>
  <si>
    <t>OUTROS RECEBIMENTOS EXTRAORÇAMENTÁRIOS</t>
  </si>
  <si>
    <t>OUTROS PAGAMENTOS EXTRAORÇAMENTÁRIOS</t>
  </si>
  <si>
    <t xml:space="preserve">SALDO DO EXERCÍCIO ANTERIOR  (IV)         </t>
  </si>
  <si>
    <t xml:space="preserve">SALDO PARA O EXERCÍCIO SEGUINTE  (IX)         </t>
  </si>
  <si>
    <t xml:space="preserve">CAIXA E EQUIVALENTES DE CAIXA </t>
  </si>
  <si>
    <t>atual</t>
  </si>
  <si>
    <t>anterior</t>
  </si>
  <si>
    <t xml:space="preserve">TOTAL (V) = (I+II+III+IV)
</t>
  </si>
  <si>
    <t>TOTAL (X) = (VI+VII+VIII+IX)</t>
  </si>
  <si>
    <t>Fonte: Relatórios do Sistema de Orçamento e Finanças - SOF</t>
  </si>
  <si>
    <t>Notas:</t>
  </si>
  <si>
    <t>1. Em observância a Portaria SF nº 266, de Outubro de 2016.</t>
  </si>
  <si>
    <t>2. Os documentos que serviram de base para sua apresentação, encontram-se encartados no Processo SEI nº 6074.2019/0000/159-4</t>
  </si>
  <si>
    <r>
      <t xml:space="preserve">3. </t>
    </r>
    <r>
      <rPr>
        <b/>
        <sz val="9"/>
        <rFont val="Arial"/>
        <family val="2"/>
      </rPr>
      <t>Transferências Financeiras Concedidas:</t>
    </r>
  </si>
  <si>
    <t>3.1.Rendimentos financeiros, do recurso transferido para o Projeto Mais Escola , repassados para SME (mais o repasse complementar do projeto mais escola Decrerto nº 58.163/2018.)</t>
  </si>
  <si>
    <t>3.2 Desvinculação das Receitas Municipais, ref.a Portaria SF nº 217 de 06/08/2019, DOC 07/08/2019, - Vr. R$ 3.275.601,22 e orientação SF/DECON processo SEI 6017.2017.0004407-8.</t>
  </si>
  <si>
    <r>
      <t xml:space="preserve">4. </t>
    </r>
    <r>
      <rPr>
        <b/>
        <sz val="9"/>
        <rFont val="Arial"/>
        <family val="2"/>
      </rPr>
      <t>Caixa e Equivalente de Caixa</t>
    </r>
    <r>
      <rPr>
        <sz val="9"/>
        <rFont val="Arial"/>
        <family val="2"/>
      </rPr>
      <t xml:space="preserve"> - conciliados de acordo com as contas movimentos e de arredações de boletos do fundo.</t>
    </r>
  </si>
  <si>
    <r>
      <t xml:space="preserve">5. </t>
    </r>
    <r>
      <rPr>
        <b/>
        <sz val="9"/>
        <rFont val="Arial"/>
        <family val="2"/>
      </rPr>
      <t>Outros Recebimentos Extraorçamentários</t>
    </r>
  </si>
  <si>
    <t>5.1.Trata-se da conciliação dos boletos de arrecadações dos créditos e recursos extraorçamentários a apropriar.</t>
  </si>
  <si>
    <t xml:space="preserve">5.2 Estorno de parte do valor recolhido através da DRD nº 656/2020 (Guia de Remessa nº 21695/2020), no valor de R$ 2.478,66, para fins de restituição por tratar de depósito realizado em duplicidade, conforme despacho nº 027034157. Processo nº 6074.2020/0001719-0 </t>
  </si>
  <si>
    <t xml:space="preserve">5.3 Estorno de parte do valor recolhido através da DRD nº 7066/2018 (Guia de Remessa nº 126927/2018 ), no valor de R$ 20.800,00 para fins de devolução a Empresa PLISB COMERCIAL E PARTICIPAÇOES LTDA tendo em vista tratar de valor depositado indevidamente na conta da FUMCAD, conforme despacho SEI nº 027160773 Processo nº 6074.2020/0000583-4 </t>
  </si>
  <si>
    <t xml:space="preserve">5.4 Estorno de parte do valor recolhido através da DRD nº 6549/2019 (Guia de Remessa nº 144191/2019 ), no valor de R$ 127.000,00, para fins de devolução a Empresa PROSEGUR BRASIL S/A TRANSPORTADORA DE VALORES E SEGURANÇA tendo em vista tratar de valor depositado indevidamente na conta da FUMCAD, conforme despacho SEI nº 027091682. Processo nº 6074.2020/0000590-7 </t>
  </si>
  <si>
    <t>5.5 Estorno de parte do valor recolhido através daDRD nº 6459/2019 (Guia de Remessa nº 143927/2019), no valor de R$ 5.760,00, referente depósito indevido realizado na conta bancária específica para recepção de doações ao FUMCAD, para fins restituição conforme Despacho nº 028725147. Processo nº 6074.2020/0001669-0</t>
  </si>
  <si>
    <r>
      <t xml:space="preserve">6. </t>
    </r>
    <r>
      <rPr>
        <b/>
        <sz val="9"/>
        <rFont val="Arial"/>
        <family val="2"/>
      </rPr>
      <t>Outros Pagamentos Extraorçamentários</t>
    </r>
  </si>
  <si>
    <t>6.1.Trata-se de recursos extraorçamentários reclassificados como orçamentários, reclassificação entre contas de receitas e transferências de recursos para pagamentos a serem realizados na competência seguinte.</t>
  </si>
  <si>
    <t>6.2.Saída do Disponível em outubro/2019, no valor de R$ 1.300.041,12 a ser regularizado no mês seguinte, por SF/Didis.</t>
  </si>
  <si>
    <r>
      <t>7.0</t>
    </r>
    <r>
      <rPr>
        <b/>
        <sz val="9"/>
        <rFont val="Arial"/>
        <family val="2"/>
      </rPr>
      <t xml:space="preserve"> Receita Ordinária</t>
    </r>
    <r>
      <rPr>
        <sz val="9"/>
        <rFont val="Arial"/>
        <family val="2"/>
      </rPr>
      <t xml:space="preserve"> : Valor da Desvinculação de Recursos do Exercício de 2019, dos valores arrecadados até 30/06/2019.</t>
    </r>
  </si>
  <si>
    <r>
      <t>8.0.</t>
    </r>
    <r>
      <rPr>
        <b/>
        <sz val="9"/>
        <rFont val="Arial"/>
        <family val="2"/>
      </rPr>
      <t>Lei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>Orçamentaria - LOA -</t>
    </r>
    <r>
      <rPr>
        <sz val="9"/>
        <rFont val="Arial"/>
        <family val="2"/>
      </rPr>
      <t xml:space="preserve"> n</t>
    </r>
    <r>
      <rPr>
        <b/>
        <sz val="9"/>
        <rFont val="Arial"/>
        <family val="2"/>
      </rPr>
      <t>º</t>
    </r>
    <r>
      <rPr>
        <sz val="9"/>
        <rFont val="Arial"/>
        <family val="2"/>
      </rPr>
      <t xml:space="preserve"> 17.021 de 27 de Dezembro de 2018, que estima a receita e fixa a despesa para o exercício de 2019.</t>
    </r>
  </si>
  <si>
    <r>
      <t xml:space="preserve">9. </t>
    </r>
    <r>
      <rPr>
        <b/>
        <sz val="9"/>
        <rFont val="Arial"/>
        <family val="2"/>
      </rPr>
      <t>Receita de Operações Intraorçamentárias</t>
    </r>
  </si>
  <si>
    <r>
      <t xml:space="preserve">9.1 </t>
    </r>
    <r>
      <rPr>
        <b/>
        <sz val="9"/>
        <rFont val="Arial"/>
        <family val="2"/>
      </rPr>
      <t xml:space="preserve">Multas Decorrentes de Sentenças Judiciais - FUMCAD </t>
    </r>
    <r>
      <rPr>
        <sz val="9"/>
        <rFont val="Arial"/>
        <family val="2"/>
      </rPr>
      <t>- R$ 5.834.833,07</t>
    </r>
  </si>
  <si>
    <t>Denise de Cássia Santos Rodrigues</t>
  </si>
  <si>
    <t>Ana Claudia Carletto</t>
  </si>
  <si>
    <t>Assessor Técnico I</t>
  </si>
  <si>
    <t xml:space="preserve">Sec.Munic.de Direitos Humanos e Cidadania </t>
  </si>
  <si>
    <t>CPF: 140.594.658-01</t>
  </si>
  <si>
    <t>CPF: 212.634.168-29</t>
  </si>
  <si>
    <t>SMDHC</t>
  </si>
  <si>
    <t>Receitas</t>
  </si>
  <si>
    <t>B Financ</t>
  </si>
  <si>
    <t>BALANÇO ORÇAMENTÁRIO</t>
  </si>
  <si>
    <t>B Orçam</t>
  </si>
  <si>
    <t>ORÇAMENTOS FISCAL E DA SEGURIDADE SOCIAL</t>
  </si>
  <si>
    <t>dif</t>
  </si>
  <si>
    <t>COMPETÊNCIA: JULHO 2020</t>
  </si>
  <si>
    <t>RECEITAS ORÇAMENTÁRIAS</t>
  </si>
  <si>
    <t>Previsão Inicial (a)</t>
  </si>
  <si>
    <t>Previsão Atualizada (b)</t>
  </si>
  <si>
    <t>Receitas Realizadas ( c )</t>
  </si>
  <si>
    <t>Saldo d= (c-b)</t>
  </si>
  <si>
    <t>Receitas Correntes (I)</t>
  </si>
  <si>
    <t>Receita Tributária</t>
  </si>
  <si>
    <t>Receita de Contribuições</t>
  </si>
  <si>
    <t>Receita Patrimonial</t>
  </si>
  <si>
    <t>Receita Agropecuária</t>
  </si>
  <si>
    <t>Receita Industrial</t>
  </si>
  <si>
    <t>Receita de Serviços</t>
  </si>
  <si>
    <t>Transferências Correntes</t>
  </si>
  <si>
    <t>Outras Receitas Correntes</t>
  </si>
  <si>
    <t>Receitas de Capital (II)</t>
  </si>
  <si>
    <t>Operações de Crédito</t>
  </si>
  <si>
    <t>Alienação de Bens</t>
  </si>
  <si>
    <t>Amortizações de Empréstimos</t>
  </si>
  <si>
    <t>Transferências de Capital</t>
  </si>
  <si>
    <t>Outras Receitas de Capital</t>
  </si>
  <si>
    <t>SUBTOTAL DAS RECEITAS (III) = (I + II )</t>
  </si>
  <si>
    <t>Operações de Crédito / Refinanciamento (IV)</t>
  </si>
  <si>
    <t>Operações de Crédito Internas</t>
  </si>
  <si>
    <t>Mobiliária</t>
  </si>
  <si>
    <t>Contratual</t>
  </si>
  <si>
    <t>Operações de Crédito Externas</t>
  </si>
  <si>
    <t>SUBTOTAL COM REFINANCIAMENTO ( V) = (III + IV)</t>
  </si>
  <si>
    <t>Déficit (VI)</t>
  </si>
  <si>
    <t>TOTAL (VII) = (V + VI)</t>
  </si>
  <si>
    <t>SALDOS DE EXERCÍCIO ANTERIORES</t>
  </si>
  <si>
    <t>Recursos Arrecadados em Exercícios Anteriores</t>
  </si>
  <si>
    <t>Superávit Financeiro</t>
  </si>
  <si>
    <t>Reabertura de Créditos Adicionais</t>
  </si>
  <si>
    <t>DESPESAS ORÇAMENTÁRIAS</t>
  </si>
  <si>
    <t>Dotação Inicial (e)</t>
  </si>
  <si>
    <t>Dotação Atualizada (f)</t>
  </si>
  <si>
    <t>Despesas Empenhadas (g)</t>
  </si>
  <si>
    <t>Despesas Liquidadas (h)</t>
  </si>
  <si>
    <t>Despesas Pagas (i)</t>
  </si>
  <si>
    <t>Saldo da dotação (j) =(f-g)</t>
  </si>
  <si>
    <t>Despesas Correntes (VIII)</t>
  </si>
  <si>
    <t>Pessoal e Encargos Sociais</t>
  </si>
  <si>
    <t>Juros e Encargos da Dívida</t>
  </si>
  <si>
    <t>Outras Despesas Correntes</t>
  </si>
  <si>
    <t>Despesas de Capital (IX)</t>
  </si>
  <si>
    <t>Investimentos</t>
  </si>
  <si>
    <t>Inversões Financeiras</t>
  </si>
  <si>
    <t>Amortização da Dívida</t>
  </si>
  <si>
    <t>Reserva de Contingência (X)</t>
  </si>
  <si>
    <t>Reserva do RPPS (XII)</t>
  </si>
  <si>
    <t>SUBTOTAL DAS DESPESAS (XI)= (VIII + IX + X)</t>
  </si>
  <si>
    <t>Amortização da Dívida/ Refinanciamento (XII)</t>
  </si>
  <si>
    <t>Amortização da Dívida Interna</t>
  </si>
  <si>
    <t>Dívida mobiliária</t>
  </si>
  <si>
    <t>Outras Dívidas</t>
  </si>
  <si>
    <t>Amortização da Dívida Externa</t>
  </si>
  <si>
    <t>Dívida Mobiliária</t>
  </si>
  <si>
    <t>SUBTOTAL COM REFINANCIAMENTO (XIII)= (XI+ XII)</t>
  </si>
  <si>
    <t>Superávit (XIII)</t>
  </si>
  <si>
    <t>TOTAL (XIV) = (XII + XIII)</t>
  </si>
  <si>
    <t xml:space="preserve">Reserva do RPPS </t>
  </si>
  <si>
    <t>Equilibrio Orçamentario</t>
  </si>
  <si>
    <t>Receita</t>
  </si>
  <si>
    <t>Despesa</t>
  </si>
  <si>
    <t>3. Receita Patrimonial - Rendimentos Financeiros.</t>
  </si>
  <si>
    <t>4. Outras Receitas Correntes - Imposto de Renda; Devoluções; Apropriação sem identificação do doador;Multas de Sentenças Judiciais.</t>
  </si>
  <si>
    <r>
      <t>5. Lei Orçamentaria - LOA</t>
    </r>
    <r>
      <rPr>
        <b/>
        <sz val="10"/>
        <rFont val="Arial"/>
        <family val="2"/>
      </rPr>
      <t xml:space="preserve"> -</t>
    </r>
    <r>
      <rPr>
        <sz val="10"/>
        <rFont val="Arial"/>
        <family val="2"/>
      </rPr>
      <t xml:space="preserve"> n</t>
    </r>
    <r>
      <rPr>
        <b/>
        <sz val="10"/>
        <rFont val="Arial"/>
        <family val="2"/>
      </rPr>
      <t>º</t>
    </r>
    <r>
      <rPr>
        <sz val="10"/>
        <rFont val="Arial"/>
        <family val="2"/>
      </rPr>
      <t xml:space="preserve"> 17.021 de 27 de Dezembro de 2018, que estima a receita e fixa a despesa para o exercício de 2019.</t>
    </r>
  </si>
  <si>
    <t>EXECUÇÃO DE RESTOS A PAGAR PROCESSADO E NÃO PROCESSADOS</t>
  </si>
  <si>
    <t>RESTOS A PAGAR NÃO PROCESSADO</t>
  </si>
  <si>
    <t>Inscritos</t>
  </si>
  <si>
    <t>Liquidados ( c )</t>
  </si>
  <si>
    <t>Pagos ( d)</t>
  </si>
  <si>
    <t>Cancelados (e)</t>
  </si>
  <si>
    <t>Saldo (f)= (a+b-d-e)</t>
  </si>
  <si>
    <t>Em Exercícios Anteriores (a)</t>
  </si>
  <si>
    <t>Em 31 de Dezembro do Exercicio Anterior (b)</t>
  </si>
  <si>
    <t>Despesas Correntes</t>
  </si>
  <si>
    <t>Despesas de Capital</t>
  </si>
  <si>
    <t>TOTAL</t>
  </si>
  <si>
    <t xml:space="preserve"> RP N Processado</t>
  </si>
  <si>
    <t>RESTOS A PAGAR  PROCESSADO</t>
  </si>
  <si>
    <t>Pagos (c)</t>
  </si>
  <si>
    <t>Cancelados (d)</t>
  </si>
  <si>
    <t>Saldo (e)= (a+b-c-d)</t>
  </si>
  <si>
    <t>RP  Processado</t>
  </si>
  <si>
    <t>total restos planilha</t>
  </si>
  <si>
    <t>total relatorio2018 restos SOF</t>
  </si>
  <si>
    <r>
      <t xml:space="preserve">sd exerc ant </t>
    </r>
    <r>
      <rPr>
        <sz val="10"/>
        <color indexed="10"/>
        <rFont val="Arial"/>
        <family val="2"/>
      </rPr>
      <t xml:space="preserve">2016 </t>
    </r>
  </si>
  <si>
    <t>ok</t>
  </si>
  <si>
    <t>3. Modelo do MCASP - 8ª edição, a partir do exercício de 2019.</t>
  </si>
  <si>
    <r>
      <t>4. Lei Orçamentaria - LOA</t>
    </r>
    <r>
      <rPr>
        <b/>
        <sz val="10"/>
        <color indexed="8"/>
        <rFont val="Arial"/>
        <family val="2"/>
      </rPr>
      <t xml:space="preserve"> -</t>
    </r>
    <r>
      <rPr>
        <sz val="10"/>
        <color indexed="8"/>
        <rFont val="Arial"/>
        <family val="2"/>
      </rPr>
      <t xml:space="preserve"> n</t>
    </r>
    <r>
      <rPr>
        <b/>
        <sz val="10"/>
        <color indexed="8"/>
        <rFont val="Arial"/>
        <family val="2"/>
      </rPr>
      <t>º</t>
    </r>
    <r>
      <rPr>
        <sz val="10"/>
        <color indexed="8"/>
        <rFont val="Arial"/>
        <family val="2"/>
      </rPr>
      <t xml:space="preserve"> 17.021 de 27 de Dezembro de 2018, que estima a receita e fixa a despesa para o exercício de 2019.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</si>
</sst>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0_);\(#,##0.00\);\-"/>
    <numFmt numFmtId="165" formatCode="#,##0.00_ ;[Red]\-#,##0.00\ "/>
    <numFmt numFmtId="166" formatCode="#,##0.00_ ;\-#,##0.00\ "/>
    <numFmt numFmtId="167" formatCode="_(* #,##0.00_);_(* \(#,##0.00\);_(* \-??_);_(@_)"/>
  </numFmts>
  <fonts count="34" x14ac:knownFonts="1"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8"/>
      <color indexed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indexed="51"/>
      <name val="Arial"/>
      <family val="2"/>
    </font>
    <font>
      <b/>
      <sz val="9"/>
      <name val="Arial"/>
      <family val="2"/>
    </font>
    <font>
      <b/>
      <sz val="8"/>
      <color indexed="8"/>
      <name val="Arial"/>
      <family val="2"/>
    </font>
    <font>
      <b/>
      <sz val="7"/>
      <color indexed="8"/>
      <name val="Arial"/>
      <family val="2"/>
    </font>
    <font>
      <sz val="7"/>
      <color indexed="8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sz val="8.15"/>
      <color indexed="8"/>
      <name val="Arial"/>
      <family val="2"/>
    </font>
    <font>
      <sz val="8.15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7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b/>
      <sz val="8"/>
      <color indexed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u val="singleAccounting"/>
      <sz val="12"/>
      <color indexed="8"/>
      <name val="Calibri"/>
      <family val="2"/>
    </font>
    <font>
      <b/>
      <u/>
      <sz val="11"/>
      <color indexed="8"/>
      <name val="Calibri"/>
      <family val="2"/>
    </font>
    <font>
      <sz val="10"/>
      <color indexed="8"/>
      <name val="Calibri"/>
      <family val="2"/>
    </font>
    <font>
      <sz val="10"/>
      <color indexed="10"/>
      <name val="Arial"/>
      <family val="2"/>
    </font>
    <font>
      <b/>
      <sz val="10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>
      <alignment vertical="top"/>
    </xf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0" borderId="0"/>
  </cellStyleXfs>
  <cellXfs count="274">
    <xf numFmtId="0" fontId="0" fillId="0" borderId="0" xfId="0">
      <alignment vertical="top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 readingOrder="1"/>
    </xf>
    <xf numFmtId="43" fontId="3" fillId="0" borderId="0" xfId="1" applyFont="1" applyFill="1" applyAlignment="1">
      <alignment vertical="center"/>
    </xf>
    <xf numFmtId="49" fontId="4" fillId="0" borderId="0" xfId="0" applyNumberFormat="1" applyFont="1" applyAlignment="1">
      <alignment horizontal="center" vertical="center" readingOrder="1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 readingOrder="1"/>
    </xf>
    <xf numFmtId="0" fontId="5" fillId="0" borderId="0" xfId="0" applyFont="1" applyAlignment="1">
      <alignment horizontal="left" vertical="center" wrapText="1" readingOrder="1"/>
    </xf>
    <xf numFmtId="0" fontId="6" fillId="0" borderId="0" xfId="0" applyFont="1" applyAlignment="1">
      <alignment horizontal="right" vertical="center" wrapText="1" readingOrder="1"/>
    </xf>
    <xf numFmtId="0" fontId="3" fillId="2" borderId="0" xfId="0" applyFont="1" applyFill="1" applyAlignment="1">
      <alignment vertical="center"/>
    </xf>
    <xf numFmtId="0" fontId="7" fillId="3" borderId="1" xfId="0" applyFont="1" applyFill="1" applyBorder="1" applyAlignment="1">
      <alignment horizontal="center" vertical="center" readingOrder="1"/>
    </xf>
    <xf numFmtId="0" fontId="7" fillId="3" borderId="2" xfId="0" applyFont="1" applyFill="1" applyBorder="1" applyAlignment="1">
      <alignment horizontal="center" vertical="center" readingOrder="1"/>
    </xf>
    <xf numFmtId="0" fontId="7" fillId="3" borderId="2" xfId="0" applyFont="1" applyFill="1" applyBorder="1" applyAlignment="1">
      <alignment horizontal="center" vertical="center" readingOrder="1"/>
    </xf>
    <xf numFmtId="0" fontId="7" fillId="3" borderId="3" xfId="0" applyFont="1" applyFill="1" applyBorder="1" applyAlignment="1">
      <alignment horizontal="center" vertical="center" readingOrder="1"/>
    </xf>
    <xf numFmtId="0" fontId="8" fillId="3" borderId="4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readingOrder="1"/>
    </xf>
    <xf numFmtId="0" fontId="7" fillId="3" borderId="1" xfId="0" applyFont="1" applyFill="1" applyBorder="1" applyAlignment="1">
      <alignment horizontal="center" vertical="center" readingOrder="1"/>
    </xf>
    <xf numFmtId="0" fontId="7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164" fontId="7" fillId="0" borderId="6" xfId="0" applyNumberFormat="1" applyFont="1" applyBorder="1" applyAlignment="1">
      <alignment vertical="center"/>
    </xf>
    <xf numFmtId="164" fontId="7" fillId="4" borderId="6" xfId="0" applyNumberFormat="1" applyFont="1" applyFill="1" applyBorder="1" applyAlignment="1">
      <alignment vertical="center"/>
    </xf>
    <xf numFmtId="2" fontId="3" fillId="0" borderId="0" xfId="0" applyNumberFormat="1" applyFont="1" applyAlignment="1">
      <alignment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 indent="1"/>
    </xf>
    <xf numFmtId="0" fontId="6" fillId="0" borderId="0" xfId="0" applyFont="1" applyAlignment="1">
      <alignment horizontal="left" vertical="center" indent="1"/>
    </xf>
    <xf numFmtId="0" fontId="6" fillId="0" borderId="11" xfId="0" applyFont="1" applyBorder="1" applyAlignment="1">
      <alignment horizontal="left" vertical="center" indent="1"/>
    </xf>
    <xf numFmtId="164" fontId="6" fillId="0" borderId="5" xfId="0" applyNumberFormat="1" applyFont="1" applyBorder="1" applyAlignment="1">
      <alignment vertical="center"/>
    </xf>
    <xf numFmtId="164" fontId="6" fillId="4" borderId="5" xfId="0" applyNumberFormat="1" applyFont="1" applyFill="1" applyBorder="1" applyAlignment="1">
      <alignment vertical="center"/>
    </xf>
    <xf numFmtId="164" fontId="6" fillId="0" borderId="10" xfId="0" applyNumberFormat="1" applyFont="1" applyBorder="1" applyAlignment="1">
      <alignment vertical="center"/>
    </xf>
    <xf numFmtId="165" fontId="3" fillId="0" borderId="0" xfId="0" applyNumberFormat="1" applyFont="1" applyAlignment="1">
      <alignment vertical="center"/>
    </xf>
    <xf numFmtId="0" fontId="6" fillId="0" borderId="10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164" fontId="7" fillId="0" borderId="5" xfId="0" applyNumberFormat="1" applyFont="1" applyBorder="1" applyAlignment="1">
      <alignment vertical="center"/>
    </xf>
    <xf numFmtId="164" fontId="7" fillId="4" borderId="5" xfId="0" applyNumberFormat="1" applyFont="1" applyFill="1" applyBorder="1" applyAlignment="1">
      <alignment vertical="center"/>
    </xf>
    <xf numFmtId="4" fontId="0" fillId="0" borderId="0" xfId="0" applyNumberFormat="1">
      <alignment vertical="top"/>
    </xf>
    <xf numFmtId="0" fontId="6" fillId="0" borderId="12" xfId="0" applyFont="1" applyBorder="1" applyAlignment="1">
      <alignment horizontal="left" vertical="center" indent="1"/>
    </xf>
    <xf numFmtId="0" fontId="6" fillId="0" borderId="13" xfId="0" applyFont="1" applyBorder="1" applyAlignment="1">
      <alignment horizontal="left" vertical="center" indent="1"/>
    </xf>
    <xf numFmtId="0" fontId="6" fillId="0" borderId="14" xfId="0" applyFont="1" applyBorder="1" applyAlignment="1">
      <alignment horizontal="left" vertical="center" indent="1"/>
    </xf>
    <xf numFmtId="164" fontId="6" fillId="0" borderId="15" xfId="0" applyNumberFormat="1" applyFont="1" applyBorder="1" applyAlignment="1">
      <alignment vertical="center"/>
    </xf>
    <xf numFmtId="164" fontId="6" fillId="4" borderId="15" xfId="0" applyNumberFormat="1" applyFont="1" applyFill="1" applyBorder="1" applyAlignment="1">
      <alignment vertical="center"/>
    </xf>
    <xf numFmtId="164" fontId="7" fillId="0" borderId="15" xfId="0" applyNumberFormat="1" applyFont="1" applyBorder="1" applyAlignment="1">
      <alignment vertical="center"/>
    </xf>
    <xf numFmtId="164" fontId="7" fillId="0" borderId="4" xfId="0" applyNumberFormat="1" applyFont="1" applyBorder="1" applyAlignment="1">
      <alignment vertical="center"/>
    </xf>
    <xf numFmtId="164" fontId="7" fillId="4" borderId="15" xfId="0" applyNumberFormat="1" applyFont="1" applyFill="1" applyBorder="1" applyAlignment="1">
      <alignment vertical="center"/>
    </xf>
    <xf numFmtId="164" fontId="6" fillId="0" borderId="6" xfId="0" applyNumberFormat="1" applyFont="1" applyBorder="1" applyAlignment="1">
      <alignment vertical="center"/>
    </xf>
    <xf numFmtId="0" fontId="6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164" fontId="7" fillId="4" borderId="4" xfId="0" applyNumberFormat="1" applyFont="1" applyFill="1" applyBorder="1" applyAlignment="1">
      <alignment vertical="center"/>
    </xf>
    <xf numFmtId="164" fontId="6" fillId="0" borderId="9" xfId="0" applyNumberFormat="1" applyFont="1" applyBorder="1" applyAlignment="1">
      <alignment vertical="center"/>
    </xf>
    <xf numFmtId="164" fontId="6" fillId="4" borderId="6" xfId="0" applyNumberFormat="1" applyFont="1" applyFill="1" applyBorder="1" applyAlignment="1">
      <alignment vertical="center"/>
    </xf>
    <xf numFmtId="164" fontId="6" fillId="0" borderId="11" xfId="0" applyNumberFormat="1" applyFont="1" applyBorder="1" applyAlignment="1">
      <alignment vertical="center"/>
    </xf>
    <xf numFmtId="164" fontId="6" fillId="0" borderId="14" xfId="0" applyNumberFormat="1" applyFont="1" applyBorder="1" applyAlignment="1">
      <alignment vertical="center"/>
    </xf>
    <xf numFmtId="43" fontId="3" fillId="0" borderId="0" xfId="0" applyNumberFormat="1" applyFont="1" applyAlignment="1">
      <alignment vertical="center"/>
    </xf>
    <xf numFmtId="164" fontId="6" fillId="0" borderId="5" xfId="0" applyNumberFormat="1" applyFont="1" applyBorder="1" applyAlignment="1"/>
    <xf numFmtId="164" fontId="6" fillId="4" borderId="5" xfId="0" applyNumberFormat="1" applyFont="1" applyFill="1" applyBorder="1" applyAlignment="1"/>
    <xf numFmtId="164" fontId="6" fillId="0" borderId="5" xfId="0" applyNumberFormat="1" applyFont="1" applyBorder="1" applyAlignment="1">
      <alignment horizontal="right" vertical="center"/>
    </xf>
    <xf numFmtId="164" fontId="6" fillId="0" borderId="10" xfId="0" applyNumberFormat="1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164" fontId="6" fillId="4" borderId="5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64" fontId="7" fillId="0" borderId="4" xfId="0" applyNumberFormat="1" applyFont="1" applyBorder="1" applyAlignment="1">
      <alignment horizontal="right" vertical="center"/>
    </xf>
    <xf numFmtId="164" fontId="7" fillId="4" borderId="4" xfId="0" applyNumberFormat="1" applyFont="1" applyFill="1" applyBorder="1" applyAlignment="1">
      <alignment horizontal="right" vertical="center"/>
    </xf>
    <xf numFmtId="165" fontId="10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left" vertical="center"/>
    </xf>
    <xf numFmtId="0" fontId="7" fillId="0" borderId="0" xfId="0" applyFont="1" applyAlignment="1">
      <alignment vertical="center" readingOrder="1"/>
    </xf>
    <xf numFmtId="0" fontId="11" fillId="0" borderId="0" xfId="0" applyFont="1" applyAlignment="1">
      <alignment vertical="center" readingOrder="1"/>
    </xf>
    <xf numFmtId="164" fontId="11" fillId="0" borderId="0" xfId="0" applyNumberFormat="1" applyFont="1" applyAlignment="1">
      <alignment vertical="center"/>
    </xf>
    <xf numFmtId="164" fontId="11" fillId="0" borderId="0" xfId="0" applyNumberFormat="1" applyFont="1" applyAlignment="1">
      <alignment horizontal="right" vertical="center"/>
    </xf>
    <xf numFmtId="0" fontId="6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 readingOrder="1"/>
    </xf>
    <xf numFmtId="0" fontId="12" fillId="0" borderId="0" xfId="0" applyFont="1" applyAlignment="1">
      <alignment horizontal="left" vertical="center" readingOrder="1"/>
    </xf>
    <xf numFmtId="0" fontId="12" fillId="0" borderId="0" xfId="0" applyFont="1" applyAlignment="1">
      <alignment horizontal="right" vertical="center"/>
    </xf>
    <xf numFmtId="0" fontId="14" fillId="0" borderId="0" xfId="0" applyFont="1" applyAlignment="1">
      <alignment horizontal="left" vertical="center" readingOrder="1"/>
    </xf>
    <xf numFmtId="0" fontId="14" fillId="0" borderId="0" xfId="0" applyFont="1" applyAlignment="1">
      <alignment horizontal="left" vertical="center" readingOrder="1"/>
    </xf>
    <xf numFmtId="0" fontId="15" fillId="0" borderId="0" xfId="0" applyFont="1" applyAlignment="1">
      <alignment vertical="center"/>
    </xf>
    <xf numFmtId="0" fontId="14" fillId="0" borderId="0" xfId="0" applyFont="1" applyAlignment="1">
      <alignment horizontal="left" vertical="center" wrapText="1" readingOrder="1"/>
    </xf>
    <xf numFmtId="0" fontId="14" fillId="0" borderId="0" xfId="0" applyFont="1" applyAlignment="1">
      <alignment vertical="center" wrapText="1" readingOrder="1"/>
    </xf>
    <xf numFmtId="0" fontId="14" fillId="0" borderId="0" xfId="0" applyFont="1" applyAlignment="1">
      <alignment vertical="center" wrapText="1" readingOrder="1"/>
    </xf>
    <xf numFmtId="43" fontId="15" fillId="0" borderId="0" xfId="1" applyFont="1" applyFill="1" applyAlignment="1">
      <alignment vertical="center"/>
    </xf>
    <xf numFmtId="0" fontId="14" fillId="0" borderId="0" xfId="0" applyFont="1" applyAlignment="1">
      <alignment horizontal="left" vertical="center" wrapText="1" readingOrder="1"/>
    </xf>
    <xf numFmtId="0" fontId="16" fillId="0" borderId="0" xfId="0" applyFont="1" applyAlignment="1">
      <alignment vertical="center" wrapText="1" readingOrder="1"/>
    </xf>
    <xf numFmtId="43" fontId="15" fillId="2" borderId="0" xfId="1" applyFont="1" applyFill="1" applyAlignment="1">
      <alignment vertical="center"/>
    </xf>
    <xf numFmtId="0" fontId="15" fillId="2" borderId="0" xfId="0" applyFont="1" applyFill="1" applyAlignment="1">
      <alignment vertical="center"/>
    </xf>
    <xf numFmtId="43" fontId="1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0" fillId="0" borderId="0" xfId="0" applyFont="1" applyAlignment="1">
      <alignment vertical="center" wrapText="1" readingOrder="1"/>
    </xf>
    <xf numFmtId="0" fontId="21" fillId="0" borderId="0" xfId="0" applyFont="1" applyAlignment="1">
      <alignment horizontal="center" vertical="center" readingOrder="1"/>
    </xf>
    <xf numFmtId="0" fontId="10" fillId="0" borderId="0" xfId="0" applyFont="1" applyAlignment="1">
      <alignment vertical="center"/>
    </xf>
    <xf numFmtId="9" fontId="21" fillId="0" borderId="0" xfId="2" applyFont="1" applyFill="1" applyAlignment="1">
      <alignment vertical="center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readingOrder="1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9" fontId="14" fillId="0" borderId="0" xfId="2" applyFont="1" applyFill="1" applyAlignment="1">
      <alignment horizontal="center" vertical="center"/>
    </xf>
    <xf numFmtId="0" fontId="22" fillId="0" borderId="0" xfId="3"/>
    <xf numFmtId="9" fontId="21" fillId="0" borderId="0" xfId="2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164" fontId="3" fillId="0" borderId="0" xfId="0" applyNumberFormat="1" applyFont="1" applyAlignment="1">
      <alignment vertical="center"/>
    </xf>
    <xf numFmtId="0" fontId="24" fillId="0" borderId="0" xfId="0" applyFont="1" applyAlignment="1">
      <alignment horizontal="left" vertical="center" readingOrder="1"/>
    </xf>
    <xf numFmtId="0" fontId="25" fillId="0" borderId="0" xfId="0" applyFont="1" applyAlignment="1">
      <alignment horizontal="center" vertical="center" wrapText="1" readingOrder="1"/>
    </xf>
    <xf numFmtId="14" fontId="22" fillId="5" borderId="0" xfId="3" applyNumberFormat="1" applyFill="1"/>
    <xf numFmtId="49" fontId="22" fillId="0" borderId="0" xfId="3" applyNumberFormat="1"/>
    <xf numFmtId="43" fontId="22" fillId="0" borderId="0" xfId="1" applyFont="1"/>
    <xf numFmtId="0" fontId="26" fillId="0" borderId="0" xfId="3" applyFont="1" applyAlignment="1">
      <alignment horizontal="center"/>
    </xf>
    <xf numFmtId="166" fontId="22" fillId="0" borderId="0" xfId="1" applyNumberFormat="1" applyFont="1"/>
    <xf numFmtId="0" fontId="27" fillId="0" borderId="0" xfId="3" applyFont="1" applyAlignment="1">
      <alignment horizontal="center"/>
    </xf>
    <xf numFmtId="0" fontId="27" fillId="6" borderId="4" xfId="3" applyFont="1" applyFill="1" applyBorder="1"/>
    <xf numFmtId="0" fontId="27" fillId="6" borderId="4" xfId="3" applyFont="1" applyFill="1" applyBorder="1" applyAlignment="1">
      <alignment horizontal="center"/>
    </xf>
    <xf numFmtId="0" fontId="27" fillId="6" borderId="4" xfId="3" applyFont="1" applyFill="1" applyBorder="1" applyAlignment="1">
      <alignment horizontal="center"/>
    </xf>
    <xf numFmtId="0" fontId="26" fillId="6" borderId="15" xfId="3" applyFont="1" applyFill="1" applyBorder="1"/>
    <xf numFmtId="167" fontId="26" fillId="6" borderId="15" xfId="1" applyNumberFormat="1" applyFont="1" applyFill="1" applyBorder="1" applyAlignment="1">
      <alignment horizontal="center"/>
    </xf>
    <xf numFmtId="167" fontId="26" fillId="6" borderId="15" xfId="1" applyNumberFormat="1" applyFont="1" applyFill="1" applyBorder="1"/>
    <xf numFmtId="0" fontId="28" fillId="0" borderId="5" xfId="3" applyFont="1" applyBorder="1"/>
    <xf numFmtId="167" fontId="28" fillId="0" borderId="10" xfId="1" applyNumberFormat="1" applyFont="1" applyBorder="1" applyAlignment="1">
      <alignment horizontal="center"/>
    </xf>
    <xf numFmtId="167" fontId="28" fillId="0" borderId="11" xfId="1" applyNumberFormat="1" applyFont="1" applyBorder="1" applyAlignment="1">
      <alignment horizontal="center"/>
    </xf>
    <xf numFmtId="167" fontId="28" fillId="0" borderId="5" xfId="1" applyNumberFormat="1" applyFont="1" applyBorder="1"/>
    <xf numFmtId="167" fontId="28" fillId="0" borderId="10" xfId="1" applyNumberFormat="1" applyFont="1" applyFill="1" applyBorder="1" applyAlignment="1">
      <alignment horizontal="center"/>
    </xf>
    <xf numFmtId="167" fontId="28" fillId="0" borderId="11" xfId="1" applyNumberFormat="1" applyFont="1" applyFill="1" applyBorder="1" applyAlignment="1">
      <alignment horizontal="center"/>
    </xf>
    <xf numFmtId="167" fontId="28" fillId="0" borderId="5" xfId="1" applyNumberFormat="1" applyFont="1" applyFill="1" applyBorder="1"/>
    <xf numFmtId="0" fontId="26" fillId="6" borderId="4" xfId="3" applyFont="1" applyFill="1" applyBorder="1"/>
    <xf numFmtId="167" fontId="27" fillId="6" borderId="4" xfId="1" applyNumberFormat="1" applyFont="1" applyFill="1" applyBorder="1" applyAlignment="1">
      <alignment horizontal="center"/>
    </xf>
    <xf numFmtId="167" fontId="27" fillId="6" borderId="4" xfId="1" applyNumberFormat="1" applyFont="1" applyFill="1" applyBorder="1"/>
    <xf numFmtId="167" fontId="22" fillId="0" borderId="10" xfId="1" applyNumberFormat="1" applyFont="1" applyBorder="1" applyAlignment="1">
      <alignment horizontal="center"/>
    </xf>
    <xf numFmtId="167" fontId="22" fillId="0" borderId="11" xfId="1" applyNumberFormat="1" applyFont="1" applyBorder="1" applyAlignment="1">
      <alignment horizontal="center"/>
    </xf>
    <xf numFmtId="167" fontId="22" fillId="0" borderId="5" xfId="3" applyNumberFormat="1" applyBorder="1"/>
    <xf numFmtId="167" fontId="22" fillId="0" borderId="5" xfId="1" applyNumberFormat="1" applyFont="1" applyBorder="1"/>
    <xf numFmtId="0" fontId="26" fillId="6" borderId="6" xfId="3" applyFont="1" applyFill="1" applyBorder="1"/>
    <xf numFmtId="167" fontId="22" fillId="6" borderId="1" xfId="3" applyNumberFormat="1" applyFill="1" applyBorder="1" applyAlignment="1">
      <alignment horizontal="center"/>
    </xf>
    <xf numFmtId="167" fontId="22" fillId="6" borderId="3" xfId="3" applyNumberFormat="1" applyFill="1" applyBorder="1" applyAlignment="1">
      <alignment horizontal="center"/>
    </xf>
    <xf numFmtId="167" fontId="22" fillId="6" borderId="6" xfId="3" applyNumberFormat="1" applyFill="1" applyBorder="1"/>
    <xf numFmtId="167" fontId="26" fillId="6" borderId="4" xfId="3" applyNumberFormat="1" applyFont="1" applyFill="1" applyBorder="1" applyAlignment="1">
      <alignment horizontal="center"/>
    </xf>
    <xf numFmtId="167" fontId="26" fillId="6" borderId="4" xfId="3" applyNumberFormat="1" applyFont="1" applyFill="1" applyBorder="1"/>
    <xf numFmtId="0" fontId="27" fillId="0" borderId="0" xfId="3" applyFont="1"/>
    <xf numFmtId="43" fontId="27" fillId="0" borderId="0" xfId="1" applyFont="1"/>
    <xf numFmtId="167" fontId="22" fillId="6" borderId="15" xfId="1" applyNumberFormat="1" applyFont="1" applyFill="1" applyBorder="1" applyAlignment="1">
      <alignment horizontal="center"/>
    </xf>
    <xf numFmtId="167" fontId="22" fillId="6" borderId="15" xfId="1" applyNumberFormat="1" applyFont="1" applyFill="1" applyBorder="1"/>
    <xf numFmtId="167" fontId="22" fillId="0" borderId="10" xfId="3" applyNumberFormat="1" applyBorder="1" applyAlignment="1">
      <alignment horizontal="center"/>
    </xf>
    <xf numFmtId="167" fontId="22" fillId="0" borderId="11" xfId="3" applyNumberFormat="1" applyBorder="1" applyAlignment="1">
      <alignment horizontal="center"/>
    </xf>
    <xf numFmtId="167" fontId="26" fillId="6" borderId="6" xfId="3" applyNumberFormat="1" applyFont="1" applyFill="1" applyBorder="1" applyAlignment="1">
      <alignment horizontal="center"/>
    </xf>
    <xf numFmtId="167" fontId="26" fillId="6" borderId="6" xfId="3" applyNumberFormat="1" applyFont="1" applyFill="1" applyBorder="1"/>
    <xf numFmtId="0" fontId="22" fillId="2" borderId="0" xfId="3" applyFill="1"/>
    <xf numFmtId="0" fontId="26" fillId="6" borderId="5" xfId="3" applyFont="1" applyFill="1" applyBorder="1" applyAlignment="1">
      <alignment horizontal="left" wrapText="1"/>
    </xf>
    <xf numFmtId="167" fontId="26" fillId="6" borderId="15" xfId="3" applyNumberFormat="1" applyFont="1" applyFill="1" applyBorder="1" applyAlignment="1">
      <alignment horizontal="center" wrapText="1"/>
    </xf>
    <xf numFmtId="0" fontId="26" fillId="6" borderId="15" xfId="3" applyFont="1" applyFill="1" applyBorder="1" applyAlignment="1">
      <alignment horizontal="center" wrapText="1"/>
    </xf>
    <xf numFmtId="43" fontId="28" fillId="6" borderId="15" xfId="1" applyFont="1" applyFill="1" applyBorder="1"/>
    <xf numFmtId="0" fontId="27" fillId="0" borderId="5" xfId="3" applyFont="1" applyBorder="1"/>
    <xf numFmtId="43" fontId="22" fillId="0" borderId="7" xfId="3" applyNumberFormat="1" applyBorder="1" applyAlignment="1">
      <alignment horizontal="center"/>
    </xf>
    <xf numFmtId="43" fontId="22" fillId="0" borderId="9" xfId="3" applyNumberFormat="1" applyBorder="1" applyAlignment="1">
      <alignment horizontal="center"/>
    </xf>
    <xf numFmtId="167" fontId="22" fillId="0" borderId="6" xfId="3" applyNumberFormat="1" applyBorder="1" applyAlignment="1">
      <alignment horizontal="center"/>
    </xf>
    <xf numFmtId="0" fontId="22" fillId="0" borderId="6" xfId="3" applyBorder="1"/>
    <xf numFmtId="0" fontId="26" fillId="0" borderId="10" xfId="3" applyFont="1" applyBorder="1"/>
    <xf numFmtId="167" fontId="22" fillId="0" borderId="0" xfId="3" applyNumberFormat="1" applyAlignment="1">
      <alignment horizontal="center"/>
    </xf>
    <xf numFmtId="0" fontId="22" fillId="0" borderId="10" xfId="3" applyBorder="1"/>
    <xf numFmtId="0" fontId="22" fillId="0" borderId="5" xfId="3" applyBorder="1"/>
    <xf numFmtId="0" fontId="26" fillId="0" borderId="15" xfId="3" applyFont="1" applyBorder="1"/>
    <xf numFmtId="0" fontId="22" fillId="0" borderId="12" xfId="3" applyBorder="1"/>
    <xf numFmtId="0" fontId="22" fillId="0" borderId="13" xfId="3" applyBorder="1"/>
    <xf numFmtId="0" fontId="22" fillId="0" borderId="15" xfId="3" applyBorder="1"/>
    <xf numFmtId="0" fontId="26" fillId="6" borderId="4" xfId="3" applyFont="1" applyFill="1" applyBorder="1" applyAlignment="1">
      <alignment horizontal="center" vertical="center" wrapText="1"/>
    </xf>
    <xf numFmtId="0" fontId="27" fillId="6" borderId="4" xfId="3" applyFont="1" applyFill="1" applyBorder="1" applyAlignment="1">
      <alignment horizontal="center" vertical="center" wrapText="1"/>
    </xf>
    <xf numFmtId="0" fontId="22" fillId="0" borderId="0" xfId="3" applyAlignment="1">
      <alignment horizontal="center" vertical="center" wrapText="1"/>
    </xf>
    <xf numFmtId="43" fontId="22" fillId="0" borderId="0" xfId="1" applyFont="1" applyAlignment="1">
      <alignment horizontal="center" vertical="center" wrapText="1"/>
    </xf>
    <xf numFmtId="43" fontId="26" fillId="6" borderId="15" xfId="1" applyFont="1" applyFill="1" applyBorder="1"/>
    <xf numFmtId="43" fontId="28" fillId="0" borderId="5" xfId="1" applyFont="1" applyFill="1" applyBorder="1"/>
    <xf numFmtId="43" fontId="28" fillId="0" borderId="5" xfId="3" applyNumberFormat="1" applyFont="1" applyBorder="1"/>
    <xf numFmtId="43" fontId="26" fillId="6" borderId="4" xfId="1" applyFont="1" applyFill="1" applyBorder="1"/>
    <xf numFmtId="43" fontId="26" fillId="6" borderId="4" xfId="3" applyNumberFormat="1" applyFont="1" applyFill="1" applyBorder="1"/>
    <xf numFmtId="0" fontId="26" fillId="0" borderId="5" xfId="3" applyFont="1" applyBorder="1"/>
    <xf numFmtId="0" fontId="26" fillId="6" borderId="1" xfId="3" applyFont="1" applyFill="1" applyBorder="1"/>
    <xf numFmtId="0" fontId="9" fillId="0" borderId="0" xfId="0" applyFont="1" applyAlignment="1">
      <alignment vertical="center" readingOrder="1"/>
    </xf>
    <xf numFmtId="43" fontId="7" fillId="0" borderId="0" xfId="1" applyFont="1" applyFill="1" applyAlignment="1">
      <alignment vertical="center" readingOrder="1"/>
    </xf>
    <xf numFmtId="43" fontId="1" fillId="0" borderId="0" xfId="1" applyFont="1" applyFill="1" applyAlignment="1">
      <alignment horizontal="left" vertical="center" readingOrder="1"/>
    </xf>
    <xf numFmtId="0" fontId="6" fillId="0" borderId="0" xfId="0" applyFont="1" applyAlignment="1">
      <alignment horizontal="left" vertical="center" readingOrder="1"/>
    </xf>
    <xf numFmtId="43" fontId="12" fillId="0" borderId="0" xfId="1" applyFont="1" applyFill="1" applyAlignment="1">
      <alignment horizontal="right" vertical="center"/>
    </xf>
    <xf numFmtId="43" fontId="12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 readingOrder="1"/>
    </xf>
    <xf numFmtId="0" fontId="4" fillId="0" borderId="0" xfId="0" applyFont="1" applyAlignment="1">
      <alignment vertical="center" readingOrder="1"/>
    </xf>
    <xf numFmtId="43" fontId="4" fillId="0" borderId="0" xfId="0" applyNumberFormat="1" applyFont="1" applyAlignment="1">
      <alignment vertical="center" readingOrder="1"/>
    </xf>
    <xf numFmtId="0" fontId="14" fillId="0" borderId="0" xfId="0" applyFont="1" applyAlignment="1">
      <alignment vertical="center" readingOrder="1"/>
    </xf>
    <xf numFmtId="0" fontId="4" fillId="2" borderId="0" xfId="0" applyFont="1" applyFill="1" applyAlignment="1">
      <alignment horizontal="left" vertical="center" readingOrder="1"/>
    </xf>
    <xf numFmtId="43" fontId="4" fillId="2" borderId="0" xfId="0" applyNumberFormat="1" applyFont="1" applyFill="1" applyAlignment="1">
      <alignment horizontal="left" vertical="center" readingOrder="1"/>
    </xf>
    <xf numFmtId="0" fontId="14" fillId="2" borderId="0" xfId="0" applyFont="1" applyFill="1" applyAlignment="1">
      <alignment horizontal="left" vertical="center" readingOrder="1"/>
    </xf>
    <xf numFmtId="0" fontId="20" fillId="0" borderId="0" xfId="0" applyFont="1" applyAlignment="1">
      <alignment vertical="center" readingOrder="1"/>
    </xf>
    <xf numFmtId="0" fontId="4" fillId="0" borderId="0" xfId="0" applyFont="1" applyAlignment="1">
      <alignment horizontal="left" vertical="center" readingOrder="1"/>
    </xf>
    <xf numFmtId="0" fontId="4" fillId="2" borderId="0" xfId="0" applyFont="1" applyFill="1" applyAlignment="1">
      <alignment horizontal="left" vertical="center" wrapText="1" readingOrder="1"/>
    </xf>
    <xf numFmtId="0" fontId="3" fillId="0" borderId="0" xfId="3" applyFont="1"/>
    <xf numFmtId="0" fontId="27" fillId="0" borderId="0" xfId="3" applyFont="1" applyAlignment="1">
      <alignment horizontal="center"/>
    </xf>
    <xf numFmtId="43" fontId="27" fillId="0" borderId="0" xfId="3" applyNumberFormat="1" applyFont="1" applyAlignment="1">
      <alignment horizontal="center"/>
    </xf>
    <xf numFmtId="0" fontId="26" fillId="6" borderId="16" xfId="3" applyFont="1" applyFill="1" applyBorder="1" applyAlignment="1">
      <alignment horizontal="center" vertical="center"/>
    </xf>
    <xf numFmtId="0" fontId="27" fillId="6" borderId="17" xfId="3" applyFont="1" applyFill="1" applyBorder="1" applyAlignment="1">
      <alignment horizontal="center"/>
    </xf>
    <xf numFmtId="0" fontId="27" fillId="6" borderId="18" xfId="3" applyFont="1" applyFill="1" applyBorder="1" applyAlignment="1">
      <alignment horizontal="center"/>
    </xf>
    <xf numFmtId="0" fontId="27" fillId="6" borderId="16" xfId="3" applyFont="1" applyFill="1" applyBorder="1" applyAlignment="1">
      <alignment horizontal="center" vertical="center" wrapText="1"/>
    </xf>
    <xf numFmtId="0" fontId="27" fillId="6" borderId="19" xfId="3" applyFont="1" applyFill="1" applyBorder="1" applyAlignment="1">
      <alignment horizontal="center" vertical="center" wrapText="1"/>
    </xf>
    <xf numFmtId="0" fontId="27" fillId="6" borderId="20" xfId="3" applyFont="1" applyFill="1" applyBorder="1" applyAlignment="1">
      <alignment horizontal="center" vertical="center" wrapText="1"/>
    </xf>
    <xf numFmtId="0" fontId="26" fillId="6" borderId="21" xfId="3" applyFont="1" applyFill="1" applyBorder="1" applyAlignment="1">
      <alignment horizontal="center" vertical="center"/>
    </xf>
    <xf numFmtId="0" fontId="27" fillId="6" borderId="22" xfId="3" applyFont="1" applyFill="1" applyBorder="1" applyAlignment="1">
      <alignment horizontal="center" vertical="center" wrapText="1"/>
    </xf>
    <xf numFmtId="0" fontId="27" fillId="6" borderId="23" xfId="3" applyFont="1" applyFill="1" applyBorder="1" applyAlignment="1">
      <alignment horizontal="center" wrapText="1"/>
    </xf>
    <xf numFmtId="0" fontId="27" fillId="6" borderId="21" xfId="3" applyFont="1" applyFill="1" applyBorder="1" applyAlignment="1">
      <alignment horizontal="center" vertical="center" wrapText="1"/>
    </xf>
    <xf numFmtId="0" fontId="27" fillId="6" borderId="24" xfId="3" applyFont="1" applyFill="1" applyBorder="1" applyAlignment="1">
      <alignment horizontal="center" vertical="center" wrapText="1"/>
    </xf>
    <xf numFmtId="0" fontId="27" fillId="6" borderId="25" xfId="3" applyFont="1" applyFill="1" applyBorder="1" applyAlignment="1">
      <alignment horizontal="center" vertical="center" wrapText="1"/>
    </xf>
    <xf numFmtId="0" fontId="27" fillId="6" borderId="23" xfId="3" applyFont="1" applyFill="1" applyBorder="1"/>
    <xf numFmtId="167" fontId="26" fillId="6" borderId="22" xfId="1" applyNumberFormat="1" applyFont="1" applyFill="1" applyBorder="1"/>
    <xf numFmtId="167" fontId="26" fillId="6" borderId="23" xfId="1" applyNumberFormat="1" applyFont="1" applyFill="1" applyBorder="1"/>
    <xf numFmtId="167" fontId="26" fillId="6" borderId="26" xfId="1" applyNumberFormat="1" applyFont="1" applyFill="1" applyBorder="1"/>
    <xf numFmtId="0" fontId="28" fillId="0" borderId="27" xfId="3" applyFont="1" applyBorder="1"/>
    <xf numFmtId="167" fontId="22" fillId="0" borderId="28" xfId="3" applyNumberFormat="1" applyBorder="1"/>
    <xf numFmtId="167" fontId="22" fillId="0" borderId="27" xfId="3" applyNumberFormat="1" applyBorder="1"/>
    <xf numFmtId="167" fontId="22" fillId="0" borderId="29" xfId="3" applyNumberFormat="1" applyBorder="1"/>
    <xf numFmtId="167" fontId="22" fillId="0" borderId="27" xfId="1" applyNumberFormat="1" applyFont="1" applyBorder="1"/>
    <xf numFmtId="167" fontId="22" fillId="0" borderId="28" xfId="1" applyNumberFormat="1" applyFont="1" applyBorder="1"/>
    <xf numFmtId="167" fontId="28" fillId="0" borderId="28" xfId="3" applyNumberFormat="1" applyFont="1" applyBorder="1"/>
    <xf numFmtId="167" fontId="28" fillId="0" borderId="27" xfId="1" applyNumberFormat="1" applyFont="1" applyFill="1" applyBorder="1"/>
    <xf numFmtId="167" fontId="28" fillId="0" borderId="27" xfId="1" applyNumberFormat="1" applyFont="1" applyBorder="1"/>
    <xf numFmtId="167" fontId="28" fillId="0" borderId="28" xfId="1" applyNumberFormat="1" applyFont="1" applyFill="1" applyBorder="1"/>
    <xf numFmtId="167" fontId="28" fillId="0" borderId="27" xfId="3" applyNumberFormat="1" applyFont="1" applyBorder="1"/>
    <xf numFmtId="167" fontId="28" fillId="0" borderId="29" xfId="3" applyNumberFormat="1" applyFont="1" applyBorder="1"/>
    <xf numFmtId="167" fontId="27" fillId="6" borderId="22" xfId="1" applyNumberFormat="1" applyFont="1" applyFill="1" applyBorder="1"/>
    <xf numFmtId="0" fontId="28" fillId="0" borderId="30" xfId="3" applyFont="1" applyBorder="1"/>
    <xf numFmtId="167" fontId="22" fillId="0" borderId="31" xfId="3" applyNumberFormat="1" applyBorder="1"/>
    <xf numFmtId="0" fontId="27" fillId="6" borderId="22" xfId="3" applyFont="1" applyFill="1" applyBorder="1"/>
    <xf numFmtId="167" fontId="26" fillId="6" borderId="23" xfId="3" applyNumberFormat="1" applyFont="1" applyFill="1" applyBorder="1"/>
    <xf numFmtId="167" fontId="26" fillId="5" borderId="1" xfId="3" applyNumberFormat="1" applyFont="1" applyFill="1" applyBorder="1"/>
    <xf numFmtId="0" fontId="27" fillId="0" borderId="2" xfId="3" applyFont="1" applyBorder="1"/>
    <xf numFmtId="0" fontId="27" fillId="0" borderId="3" xfId="3" applyFont="1" applyBorder="1"/>
    <xf numFmtId="0" fontId="22" fillId="0" borderId="11" xfId="3" applyBorder="1"/>
    <xf numFmtId="0" fontId="27" fillId="6" borderId="32" xfId="3" applyFont="1" applyFill="1" applyBorder="1" applyAlignment="1">
      <alignment horizontal="center" vertical="center" wrapText="1"/>
    </xf>
    <xf numFmtId="0" fontId="26" fillId="6" borderId="24" xfId="3" applyFont="1" applyFill="1" applyBorder="1" applyAlignment="1">
      <alignment horizontal="center" vertical="center"/>
    </xf>
    <xf numFmtId="0" fontId="27" fillId="6" borderId="30" xfId="3" applyFont="1" applyFill="1" applyBorder="1" applyAlignment="1">
      <alignment horizontal="center" vertical="center" wrapText="1"/>
    </xf>
    <xf numFmtId="0" fontId="28" fillId="0" borderId="10" xfId="3" applyFont="1" applyBorder="1"/>
    <xf numFmtId="167" fontId="27" fillId="6" borderId="23" xfId="1" applyNumberFormat="1" applyFont="1" applyFill="1" applyBorder="1"/>
    <xf numFmtId="167" fontId="22" fillId="0" borderId="27" xfId="1" applyNumberFormat="1" applyFont="1" applyFill="1" applyBorder="1"/>
    <xf numFmtId="167" fontId="29" fillId="5" borderId="12" xfId="3" applyNumberFormat="1" applyFont="1" applyFill="1" applyBorder="1"/>
    <xf numFmtId="0" fontId="30" fillId="0" borderId="13" xfId="3" applyFont="1" applyBorder="1"/>
    <xf numFmtId="0" fontId="27" fillId="0" borderId="14" xfId="3" applyFont="1" applyBorder="1"/>
    <xf numFmtId="167" fontId="26" fillId="5" borderId="10" xfId="3" applyNumberFormat="1" applyFont="1" applyFill="1" applyBorder="1"/>
    <xf numFmtId="0" fontId="12" fillId="0" borderId="11" xfId="0" applyFont="1" applyBorder="1" applyAlignment="1">
      <alignment vertical="center"/>
    </xf>
    <xf numFmtId="43" fontId="26" fillId="7" borderId="10" xfId="1" applyFont="1" applyFill="1" applyBorder="1" applyAlignment="1">
      <alignment vertical="center" readingOrder="1"/>
    </xf>
    <xf numFmtId="164" fontId="17" fillId="0" borderId="0" xfId="0" applyNumberFormat="1" applyFont="1" applyAlignment="1">
      <alignment vertical="center"/>
    </xf>
    <xf numFmtId="0" fontId="12" fillId="0" borderId="11" xfId="0" applyFont="1" applyBorder="1" applyAlignment="1">
      <alignment horizontal="left" vertical="center" readingOrder="1"/>
    </xf>
    <xf numFmtId="0" fontId="1" fillId="0" borderId="0" xfId="0" applyFont="1" applyAlignment="1">
      <alignment horizontal="left" vertical="center" readingOrder="1"/>
    </xf>
    <xf numFmtId="0" fontId="1" fillId="0" borderId="0" xfId="0" applyFont="1" applyAlignment="1">
      <alignment vertical="center" readingOrder="1"/>
    </xf>
    <xf numFmtId="167" fontId="31" fillId="8" borderId="10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33" fillId="0" borderId="11" xfId="3" applyFont="1" applyBorder="1"/>
    <xf numFmtId="0" fontId="1" fillId="2" borderId="0" xfId="0" applyFont="1" applyFill="1" applyAlignment="1">
      <alignment horizontal="left" vertical="center" readingOrder="1"/>
    </xf>
    <xf numFmtId="0" fontId="1" fillId="0" borderId="12" xfId="0" applyFont="1" applyBorder="1" applyAlignment="1">
      <alignment horizontal="right" vertical="center"/>
    </xf>
    <xf numFmtId="0" fontId="1" fillId="0" borderId="13" xfId="0" applyFont="1" applyBorder="1" applyAlignment="1">
      <alignment vertical="center"/>
    </xf>
    <xf numFmtId="164" fontId="13" fillId="0" borderId="14" xfId="0" applyNumberFormat="1" applyFont="1" applyBorder="1" applyAlignment="1">
      <alignment vertical="center"/>
    </xf>
    <xf numFmtId="0" fontId="1" fillId="0" borderId="0" xfId="3" applyFont="1"/>
    <xf numFmtId="0" fontId="1" fillId="2" borderId="0" xfId="0" applyFont="1" applyFill="1" applyAlignment="1">
      <alignment horizontal="left" vertical="center" wrapText="1" readingOrder="1"/>
    </xf>
    <xf numFmtId="0" fontId="18" fillId="0" borderId="0" xfId="0" applyFont="1" applyAlignment="1">
      <alignment vertical="center"/>
    </xf>
    <xf numFmtId="0" fontId="21" fillId="0" borderId="0" xfId="0" applyFont="1" applyAlignment="1">
      <alignment vertical="center" readingOrder="1"/>
    </xf>
  </cellXfs>
  <cellStyles count="4">
    <cellStyle name="Normal" xfId="0" builtinId="0"/>
    <cellStyle name="Normal_BALANÇO ORÇAMENTÁRIO MCASP - Nov15" xfId="3" xr:uid="{6D6F6E46-1EDA-4738-8E59-365146730170}"/>
    <cellStyle name="Porcentagem" xfId="2" builtinId="5"/>
    <cellStyle name="Vírgula" xfId="1" builtinId="3"/>
  </cellStyles>
  <dxfs count="1"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57150</xdr:rowOff>
    </xdr:from>
    <xdr:to>
      <xdr:col>1</xdr:col>
      <xdr:colOff>85725</xdr:colOff>
      <xdr:row>2</xdr:row>
      <xdr:rowOff>190500</xdr:rowOff>
    </xdr:to>
    <xdr:pic>
      <xdr:nvPicPr>
        <xdr:cNvPr id="2" name="Picture -767">
          <a:extLst>
            <a:ext uri="{FF2B5EF4-FFF2-40B4-BE49-F238E27FC236}">
              <a16:creationId xmlns:a16="http://schemas.microsoft.com/office/drawing/2014/main" id="{2D3E1673-539A-4CC4-83DC-44A254C70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7150"/>
          <a:ext cx="7239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38100</xdr:rowOff>
    </xdr:from>
    <xdr:to>
      <xdr:col>0</xdr:col>
      <xdr:colOff>895350</xdr:colOff>
      <xdr:row>5</xdr:row>
      <xdr:rowOff>85725</xdr:rowOff>
    </xdr:to>
    <xdr:pic>
      <xdr:nvPicPr>
        <xdr:cNvPr id="2" name="Picture -767">
          <a:extLst>
            <a:ext uri="{FF2B5EF4-FFF2-40B4-BE49-F238E27FC236}">
              <a16:creationId xmlns:a16="http://schemas.microsoft.com/office/drawing/2014/main" id="{F846D77A-C99C-48D2-AE4E-13591C454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28600"/>
          <a:ext cx="85725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47625</xdr:rowOff>
    </xdr:from>
    <xdr:to>
      <xdr:col>0</xdr:col>
      <xdr:colOff>600075</xdr:colOff>
      <xdr:row>4</xdr:row>
      <xdr:rowOff>19050</xdr:rowOff>
    </xdr:to>
    <xdr:pic>
      <xdr:nvPicPr>
        <xdr:cNvPr id="2" name="Picture -767">
          <a:extLst>
            <a:ext uri="{FF2B5EF4-FFF2-40B4-BE49-F238E27FC236}">
              <a16:creationId xmlns:a16="http://schemas.microsoft.com/office/drawing/2014/main" id="{3DC35F34-13FC-4424-BBE5-563E7EA62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38125"/>
          <a:ext cx="5524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NISE/2020/7.%20Julho/Planilha%20FUMCAD%20(%20Mem&#243;ria%20de%20C&#225;lculo)%20Julho%20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B.F. 05 "/>
      <sheetName val="B.F. 00 "/>
      <sheetName val="Balanço Financeiro "/>
      <sheetName val="Balanço Orçamentário MCASP"/>
      <sheetName val="Anexos do BO "/>
      <sheetName val="BAL.Financeiro MOD DEZ"/>
    </sheetNames>
    <sheetDataSet>
      <sheetData sheetId="0">
        <row r="1">
          <cell r="A1" t="str">
            <v>RELATÓRIOS</v>
          </cell>
          <cell r="C1">
            <v>43831</v>
          </cell>
          <cell r="D1">
            <v>43862</v>
          </cell>
          <cell r="E1">
            <v>43891</v>
          </cell>
          <cell r="F1">
            <v>43922</v>
          </cell>
          <cell r="G1">
            <v>43952</v>
          </cell>
          <cell r="H1">
            <v>43983</v>
          </cell>
          <cell r="I1">
            <v>44013</v>
          </cell>
          <cell r="J1">
            <v>44044</v>
          </cell>
          <cell r="K1">
            <v>44075</v>
          </cell>
          <cell r="L1">
            <v>44105</v>
          </cell>
          <cell r="M1">
            <v>44136</v>
          </cell>
          <cell r="N1">
            <v>44166</v>
          </cell>
        </row>
        <row r="2">
          <cell r="A2" t="str">
            <v>BOLETIM DA RECEITA POR FONTE E ORGÃO</v>
          </cell>
        </row>
        <row r="3">
          <cell r="A3" t="str">
            <v>FONTE 05 - Outras Fontes</v>
          </cell>
        </row>
        <row r="4">
          <cell r="A4" t="str">
            <v>1.3.2.1.00.5.1.01.06.022.001.11.01.000 - FUMCAD</v>
          </cell>
          <cell r="B4" t="str">
            <v>Receita Prevista</v>
          </cell>
          <cell r="C4">
            <v>16517256</v>
          </cell>
          <cell r="D4">
            <v>16517256</v>
          </cell>
          <cell r="E4">
            <v>16517256</v>
          </cell>
          <cell r="F4">
            <v>16517256</v>
          </cell>
          <cell r="G4">
            <v>16517256</v>
          </cell>
          <cell r="H4">
            <v>16517256</v>
          </cell>
          <cell r="I4">
            <v>16517256</v>
          </cell>
        </row>
        <row r="5">
          <cell r="B5" t="str">
            <v>Realizada no Mês</v>
          </cell>
          <cell r="C5">
            <v>905293.08</v>
          </cell>
          <cell r="D5">
            <v>695048.89</v>
          </cell>
          <cell r="E5">
            <v>768114.96</v>
          </cell>
          <cell r="F5">
            <v>614097.30000000005</v>
          </cell>
          <cell r="G5">
            <v>495193.98</v>
          </cell>
          <cell r="H5">
            <v>441431.82</v>
          </cell>
          <cell r="I5">
            <v>415269.02</v>
          </cell>
        </row>
        <row r="6">
          <cell r="B6" t="str">
            <v>Realizada no Mês - CONCILIADO</v>
          </cell>
          <cell r="C6">
            <v>905293.08</v>
          </cell>
          <cell r="D6">
            <v>695048.89</v>
          </cell>
          <cell r="E6">
            <v>768114.96</v>
          </cell>
          <cell r="F6">
            <v>614097.30000000005</v>
          </cell>
          <cell r="G6">
            <v>495193.98</v>
          </cell>
          <cell r="H6">
            <v>441431.82</v>
          </cell>
          <cell r="I6">
            <v>415269.02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DIFERENÇA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Realizada até o Mês</v>
          </cell>
          <cell r="C8">
            <v>905293.08</v>
          </cell>
          <cell r="D8">
            <v>1600341.97</v>
          </cell>
          <cell r="E8">
            <v>2368456.9300000002</v>
          </cell>
          <cell r="F8">
            <v>2982554.23</v>
          </cell>
          <cell r="G8">
            <v>3477748.21</v>
          </cell>
          <cell r="H8">
            <v>3919180.03</v>
          </cell>
          <cell r="I8">
            <v>4334449.05</v>
          </cell>
          <cell r="J8">
            <v>4334449.05</v>
          </cell>
          <cell r="K8">
            <v>4334449.05</v>
          </cell>
          <cell r="L8">
            <v>4334449.05</v>
          </cell>
          <cell r="M8">
            <v>4334449.05</v>
          </cell>
          <cell r="N8">
            <v>4334449.05</v>
          </cell>
        </row>
        <row r="9">
          <cell r="B9" t="str">
            <v>Realizada até o Mês - CONCILIADO</v>
          </cell>
          <cell r="C9">
            <v>905293.08</v>
          </cell>
          <cell r="D9">
            <v>1600341.97</v>
          </cell>
          <cell r="E9">
            <v>2368456.9299999997</v>
          </cell>
          <cell r="F9">
            <v>2982554.2299999995</v>
          </cell>
          <cell r="G9">
            <v>3477748.2099999995</v>
          </cell>
          <cell r="H9">
            <v>3919180.0299999993</v>
          </cell>
          <cell r="I9">
            <v>4334449.0499999989</v>
          </cell>
          <cell r="J9">
            <v>4334449.0499999989</v>
          </cell>
          <cell r="K9">
            <v>4334449.0499999989</v>
          </cell>
          <cell r="L9">
            <v>4334449.0499999989</v>
          </cell>
          <cell r="M9">
            <v>4334449.0499999989</v>
          </cell>
          <cell r="N9">
            <v>4334449.0499999989</v>
          </cell>
        </row>
        <row r="10">
          <cell r="B10" t="str">
            <v>TOTAL</v>
          </cell>
          <cell r="C10">
            <v>905293.08</v>
          </cell>
          <cell r="D10">
            <v>1600341.97</v>
          </cell>
          <cell r="E10">
            <v>2368456.9299999997</v>
          </cell>
          <cell r="F10">
            <v>2982554.2299999995</v>
          </cell>
          <cell r="G10">
            <v>3477748.2099999995</v>
          </cell>
          <cell r="H10">
            <v>3919180.0299999993</v>
          </cell>
          <cell r="I10">
            <v>4334449.0499999989</v>
          </cell>
          <cell r="J10">
            <v>4334449.0499999989</v>
          </cell>
          <cell r="K10">
            <v>4334449.0499999989</v>
          </cell>
          <cell r="L10">
            <v>4334449.0499999989</v>
          </cell>
          <cell r="M10">
            <v>4334449.0499999989</v>
          </cell>
          <cell r="N10">
            <v>4334449.0499999989</v>
          </cell>
        </row>
        <row r="12">
          <cell r="A12" t="str">
            <v>1.7.7.0.00.1.1.00.00.000.000.11.01.000 - FUMCAD - Imposto de Renda</v>
          </cell>
          <cell r="B12" t="str">
            <v>Receita Prevista</v>
          </cell>
          <cell r="C12">
            <v>70000000</v>
          </cell>
          <cell r="D12">
            <v>70000000</v>
          </cell>
          <cell r="E12">
            <v>70000000</v>
          </cell>
          <cell r="F12">
            <v>70000000</v>
          </cell>
          <cell r="G12">
            <v>70000000</v>
          </cell>
          <cell r="H12">
            <v>70000000</v>
          </cell>
          <cell r="I12">
            <v>70000000</v>
          </cell>
        </row>
        <row r="13">
          <cell r="B13" t="str">
            <v>Realizada no Mês</v>
          </cell>
          <cell r="C13">
            <v>87278.42</v>
          </cell>
          <cell r="D13">
            <v>145609.21</v>
          </cell>
          <cell r="E13">
            <v>330089.38</v>
          </cell>
          <cell r="F13">
            <v>483307.59</v>
          </cell>
          <cell r="G13">
            <v>203880.73</v>
          </cell>
          <cell r="H13">
            <v>1177053.49</v>
          </cell>
          <cell r="I13">
            <v>1318574.17</v>
          </cell>
        </row>
        <row r="14">
          <cell r="B14" t="str">
            <v>Realizada no Mês - CONCILIADO</v>
          </cell>
          <cell r="C14">
            <v>87278.42</v>
          </cell>
          <cell r="D14">
            <v>145609.21</v>
          </cell>
          <cell r="E14">
            <v>330089.38</v>
          </cell>
          <cell r="F14">
            <v>483307.59</v>
          </cell>
          <cell r="G14">
            <v>203880.73</v>
          </cell>
          <cell r="H14">
            <v>1177053.49</v>
          </cell>
          <cell r="I14">
            <v>1318574.17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B15" t="str">
            <v>DIFERENÇA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B16" t="str">
            <v>Realizada até o Mês</v>
          </cell>
          <cell r="C16">
            <v>87278.42</v>
          </cell>
          <cell r="D16">
            <v>232887.63</v>
          </cell>
          <cell r="E16">
            <v>562977.01</v>
          </cell>
          <cell r="F16">
            <v>1046284.6</v>
          </cell>
          <cell r="G16">
            <v>1250165.33</v>
          </cell>
          <cell r="H16">
            <v>2427218.8200000003</v>
          </cell>
          <cell r="I16">
            <v>3745792.99</v>
          </cell>
          <cell r="J16">
            <v>3745792.99</v>
          </cell>
          <cell r="K16">
            <v>3745792.99</v>
          </cell>
          <cell r="L16">
            <v>3745792.99</v>
          </cell>
          <cell r="M16">
            <v>3745792.99</v>
          </cell>
          <cell r="N16">
            <v>3745792.99</v>
          </cell>
        </row>
        <row r="17">
          <cell r="B17" t="str">
            <v>Realizada até o Mês - CONCILIADO</v>
          </cell>
          <cell r="C17">
            <v>87278.42</v>
          </cell>
          <cell r="D17">
            <v>232887.63</v>
          </cell>
          <cell r="E17">
            <v>562977.01</v>
          </cell>
          <cell r="F17">
            <v>1046284.6</v>
          </cell>
          <cell r="G17">
            <v>1250165.33</v>
          </cell>
          <cell r="H17">
            <v>2427218.8200000003</v>
          </cell>
          <cell r="I17">
            <v>3745792.99</v>
          </cell>
          <cell r="J17">
            <v>3745792.99</v>
          </cell>
          <cell r="K17">
            <v>3745792.99</v>
          </cell>
          <cell r="L17">
            <v>3745792.99</v>
          </cell>
          <cell r="M17">
            <v>3745792.99</v>
          </cell>
          <cell r="N17">
            <v>3745792.99</v>
          </cell>
        </row>
        <row r="18">
          <cell r="B18" t="str">
            <v>TOTAL</v>
          </cell>
          <cell r="C18">
            <v>87278.42</v>
          </cell>
          <cell r="D18">
            <v>232887.63</v>
          </cell>
          <cell r="E18">
            <v>562977.01</v>
          </cell>
          <cell r="F18">
            <v>1046284.6000000001</v>
          </cell>
          <cell r="G18">
            <v>1250165.33</v>
          </cell>
          <cell r="H18">
            <v>2427218.8200000003</v>
          </cell>
          <cell r="I18">
            <v>3745792.99</v>
          </cell>
          <cell r="J18">
            <v>3745792.99</v>
          </cell>
          <cell r="K18">
            <v>3745792.99</v>
          </cell>
          <cell r="L18">
            <v>3745792.99</v>
          </cell>
          <cell r="M18">
            <v>3745792.99</v>
          </cell>
          <cell r="N18">
            <v>3745792.99</v>
          </cell>
        </row>
        <row r="20">
          <cell r="A20" t="str">
            <v>1.7.7.0.00.1.1.01.00.000.000.11.09.001 - Deduções FUMCAD - Imposto de Renda</v>
          </cell>
          <cell r="B20" t="str">
            <v>Receita Prevista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B21" t="str">
            <v>Realizada no Mês</v>
          </cell>
          <cell r="C21">
            <v>0</v>
          </cell>
          <cell r="D21">
            <v>0</v>
          </cell>
          <cell r="E21">
            <v>-2478.66</v>
          </cell>
          <cell r="F21">
            <v>-127000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B22" t="str">
            <v>Realizada no Mês - CONCILIADO</v>
          </cell>
          <cell r="C22">
            <v>0</v>
          </cell>
          <cell r="D22">
            <v>0</v>
          </cell>
          <cell r="E22">
            <v>-2478.66</v>
          </cell>
          <cell r="F22">
            <v>-127000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B23" t="str">
            <v>DIFERENÇA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B24" t="str">
            <v>Realizada até o Mês</v>
          </cell>
          <cell r="C24">
            <v>0</v>
          </cell>
          <cell r="D24">
            <v>0</v>
          </cell>
          <cell r="E24">
            <v>-2478.66</v>
          </cell>
          <cell r="F24">
            <v>-129478.66</v>
          </cell>
          <cell r="G24">
            <v>-129478.66</v>
          </cell>
          <cell r="H24">
            <v>-129478.66</v>
          </cell>
          <cell r="I24">
            <v>-129478.66</v>
          </cell>
          <cell r="J24">
            <v>-129478.66</v>
          </cell>
          <cell r="K24">
            <v>-129478.66</v>
          </cell>
          <cell r="L24">
            <v>-129478.66</v>
          </cell>
          <cell r="M24">
            <v>-129478.66</v>
          </cell>
          <cell r="N24">
            <v>-129478.66</v>
          </cell>
        </row>
        <row r="25">
          <cell r="B25" t="str">
            <v>Realizada até o Mês - CONCILIADO</v>
          </cell>
          <cell r="C25">
            <v>0</v>
          </cell>
          <cell r="D25">
            <v>0</v>
          </cell>
          <cell r="E25">
            <v>-2478.66</v>
          </cell>
          <cell r="F25">
            <v>0</v>
          </cell>
          <cell r="G25">
            <v>0</v>
          </cell>
          <cell r="H25">
            <v>-129478.66</v>
          </cell>
          <cell r="I25">
            <v>-129478.66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B26" t="str">
            <v>TOTAL</v>
          </cell>
          <cell r="C26">
            <v>0</v>
          </cell>
          <cell r="D26">
            <v>0</v>
          </cell>
          <cell r="E26">
            <v>-2478.66</v>
          </cell>
          <cell r="F26">
            <v>-129478.66</v>
          </cell>
          <cell r="G26">
            <v>-129478.66</v>
          </cell>
          <cell r="H26">
            <v>-129478.66</v>
          </cell>
          <cell r="I26">
            <v>-129478.66</v>
          </cell>
          <cell r="J26">
            <v>-129478.66</v>
          </cell>
          <cell r="K26">
            <v>-129478.66</v>
          </cell>
          <cell r="L26">
            <v>-129478.66</v>
          </cell>
          <cell r="M26">
            <v>-129478.66</v>
          </cell>
          <cell r="N26">
            <v>-129478.66</v>
          </cell>
        </row>
        <row r="28">
          <cell r="A28" t="str">
            <v>1.9.2.2.99.1.1.01.00.000.000.11.01.000 - FUMCAD - Outras Restituições</v>
          </cell>
          <cell r="B28" t="str">
            <v>Receita Prevista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B29" t="str">
            <v>Realizada no Mês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B30" t="str">
            <v>Realizada no Mês - CONCILIADO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B31" t="str">
            <v>DIFERENÇA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B32" t="str">
            <v>Realizada até o Mês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B33" t="str">
            <v>Realizada até o Mês - CONCILIADO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B34" t="str">
            <v>TOTAL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6">
          <cell r="A36" t="str">
            <v>1.9.9.0.99.1.1.05.00.000.000.11.01.000 - FUMCAD</v>
          </cell>
          <cell r="B36" t="str">
            <v>Receita Prevista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B37" t="str">
            <v>Realizada no Mês</v>
          </cell>
          <cell r="C37">
            <v>28082.35</v>
          </cell>
          <cell r="D37">
            <v>2037.01</v>
          </cell>
          <cell r="E37">
            <v>6576.22</v>
          </cell>
          <cell r="F37">
            <v>900.48</v>
          </cell>
          <cell r="G37">
            <v>5834833.0700000003</v>
          </cell>
          <cell r="H37">
            <v>4467.28</v>
          </cell>
          <cell r="I37">
            <v>-5805097.0300000003</v>
          </cell>
        </row>
        <row r="38">
          <cell r="B38" t="str">
            <v>Realizada no Mês - CONCILIADO</v>
          </cell>
          <cell r="C38">
            <v>0</v>
          </cell>
          <cell r="D38">
            <v>0</v>
          </cell>
          <cell r="E38">
            <v>6576.22</v>
          </cell>
          <cell r="F38">
            <v>900.48</v>
          </cell>
          <cell r="G38">
            <v>5834833.0700000003</v>
          </cell>
          <cell r="H38">
            <v>4467.28</v>
          </cell>
          <cell r="I38">
            <v>-5805097.0300000003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B39" t="str">
            <v>DIFERENÇA</v>
          </cell>
          <cell r="C39">
            <v>-28082.35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B40" t="str">
            <v>Realizada até o Mês</v>
          </cell>
          <cell r="C40">
            <v>28082.35</v>
          </cell>
          <cell r="D40">
            <v>30119.360000000001</v>
          </cell>
          <cell r="E40">
            <v>36695.58</v>
          </cell>
          <cell r="F40">
            <v>37596.060000000005</v>
          </cell>
          <cell r="G40">
            <v>5872429.1299999999</v>
          </cell>
          <cell r="H40">
            <v>5876896.4100000001</v>
          </cell>
          <cell r="I40">
            <v>71799.38</v>
          </cell>
        </row>
        <row r="41">
          <cell r="B41" t="str">
            <v>Realizada até o Mês - CONCILIADO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B42" t="str">
            <v>TOTAL</v>
          </cell>
          <cell r="C42">
            <v>0</v>
          </cell>
          <cell r="D42">
            <v>0</v>
          </cell>
          <cell r="E42">
            <v>36695.58</v>
          </cell>
          <cell r="F42">
            <v>37596.060000000005</v>
          </cell>
          <cell r="G42">
            <v>5872429.1299999999</v>
          </cell>
          <cell r="H42">
            <v>5876896.4100000001</v>
          </cell>
          <cell r="I42">
            <v>71799.379999999888</v>
          </cell>
          <cell r="J42">
            <v>71799.379999999888</v>
          </cell>
          <cell r="K42">
            <v>71799.379999999888</v>
          </cell>
          <cell r="L42">
            <v>71799.379999999888</v>
          </cell>
          <cell r="M42">
            <v>71799.379999999888</v>
          </cell>
          <cell r="N42">
            <v>71799.379999999888</v>
          </cell>
        </row>
        <row r="44">
          <cell r="A44" t="str">
            <v>1.9.9.0.99.1.1.05.00.000.000.11.09.001 Deduções FUMCAD</v>
          </cell>
          <cell r="B44" t="str">
            <v>Receita Prevista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B45" t="str">
            <v>Realizada no Mês</v>
          </cell>
          <cell r="E45">
            <v>-20800</v>
          </cell>
          <cell r="F45">
            <v>0</v>
          </cell>
          <cell r="G45">
            <v>0</v>
          </cell>
          <cell r="H45">
            <v>-5760</v>
          </cell>
          <cell r="I45">
            <v>0</v>
          </cell>
        </row>
        <row r="46">
          <cell r="B46" t="str">
            <v>Realizada no Mês - CONCILIADO</v>
          </cell>
          <cell r="C46">
            <v>0</v>
          </cell>
          <cell r="D46">
            <v>0</v>
          </cell>
          <cell r="E46">
            <v>-20800</v>
          </cell>
          <cell r="F46">
            <v>0</v>
          </cell>
          <cell r="G46">
            <v>0</v>
          </cell>
          <cell r="H46">
            <v>-5760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B47" t="str">
            <v>DIFERENÇA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B48" t="str">
            <v>Realizada até o Mês</v>
          </cell>
          <cell r="E48">
            <v>-20800</v>
          </cell>
          <cell r="F48">
            <v>-20800</v>
          </cell>
          <cell r="G48">
            <v>-20800</v>
          </cell>
          <cell r="H48">
            <v>-26560</v>
          </cell>
          <cell r="I48">
            <v>-26560</v>
          </cell>
        </row>
        <row r="49">
          <cell r="B49" t="str">
            <v>Realizada até o Mês - CONCILIADO</v>
          </cell>
          <cell r="C49">
            <v>0</v>
          </cell>
          <cell r="D49">
            <v>0</v>
          </cell>
          <cell r="E49">
            <v>-20800</v>
          </cell>
          <cell r="F49">
            <v>900.48</v>
          </cell>
          <cell r="G49">
            <v>5834833.0700000003</v>
          </cell>
          <cell r="H49">
            <v>4467.28</v>
          </cell>
          <cell r="I49">
            <v>-5805097.0300000003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B50" t="str">
            <v>TOTAL</v>
          </cell>
          <cell r="C50">
            <v>0</v>
          </cell>
          <cell r="D50">
            <v>0</v>
          </cell>
          <cell r="E50">
            <v>-20800</v>
          </cell>
          <cell r="F50">
            <v>-20800</v>
          </cell>
          <cell r="G50">
            <v>-20800</v>
          </cell>
          <cell r="H50">
            <v>-26560</v>
          </cell>
          <cell r="I50">
            <v>-26560</v>
          </cell>
          <cell r="J50">
            <v>-26560</v>
          </cell>
          <cell r="K50">
            <v>-26560</v>
          </cell>
          <cell r="L50">
            <v>-26560</v>
          </cell>
          <cell r="M50">
            <v>-26560</v>
          </cell>
          <cell r="N50">
            <v>-26560</v>
          </cell>
        </row>
        <row r="51">
          <cell r="B51" t="str">
            <v>TOTAL GERAL</v>
          </cell>
          <cell r="C51">
            <v>992571.5</v>
          </cell>
          <cell r="D51">
            <v>1833229.6</v>
          </cell>
          <cell r="E51">
            <v>2944850.8599999994</v>
          </cell>
          <cell r="F51">
            <v>3916156.2299999995</v>
          </cell>
          <cell r="G51">
            <v>10450064.009999998</v>
          </cell>
          <cell r="H51">
            <v>12067256.6</v>
          </cell>
          <cell r="I51">
            <v>7996002.7599999988</v>
          </cell>
          <cell r="J51">
            <v>7996002.7599999988</v>
          </cell>
          <cell r="K51">
            <v>7996002.7599999988</v>
          </cell>
          <cell r="L51">
            <v>7996002.7599999988</v>
          </cell>
          <cell r="M51">
            <v>7996002.7599999988</v>
          </cell>
          <cell r="N51">
            <v>7996002.7599999988</v>
          </cell>
        </row>
        <row r="53">
          <cell r="A53" t="str">
            <v>FONTE 08 - Tesouro Municipal - Recursos Vinculados</v>
          </cell>
        </row>
        <row r="54">
          <cell r="A54" t="str">
            <v>1.9.1.0.08.1.1.02.00.000.11.01.000 - FUMCAD - Multas Decorrentes De Sentenças Judiciais</v>
          </cell>
          <cell r="B54" t="str">
            <v>Receita Prevista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B55" t="str">
            <v>Realizada no Mês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B56" t="str">
            <v>Realizada no Mês - CONCILIADO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B57" t="str">
            <v>DIFERENÇA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B58" t="str">
            <v>Realizada até o Mês</v>
          </cell>
          <cell r="C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B59" t="str">
            <v>Realizada até o Mês - CONCILIADO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B60" t="str">
            <v>TOTAL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2">
          <cell r="A62" t="str">
            <v>FONTE 08 - Tesouro Municipal - Recursos Vinculados</v>
          </cell>
        </row>
        <row r="63">
          <cell r="A63" t="str">
            <v>1.7.4.0.00.1.1.01.13.000.000.11.01.000 Transf.Instituições Privadas - FUMCAD Doações Direcionadas[</v>
          </cell>
          <cell r="B63" t="str">
            <v>Receita Prevista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B64" t="str">
            <v>Realizada no Mês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B65" t="str">
            <v>Realizada no Mês - CONCILIADO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B66" t="str">
            <v>DIFERENÇA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B67" t="str">
            <v>Realizada até o Mês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B68" t="str">
            <v>Realizada até o Mês - CONCILIADO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1</v>
          </cell>
        </row>
        <row r="69">
          <cell r="B69" t="str">
            <v>TOTAL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A70" t="str">
            <v>1.7.7.0.00.1.1.10.00.000.11.01.000 Transf. Pessoas Fisicas - FUMCAD Doações Direcionadas</v>
          </cell>
          <cell r="B70" t="str">
            <v>Receita Prevista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B71" t="str">
            <v>Realizada no Mês</v>
          </cell>
          <cell r="L71">
            <v>0</v>
          </cell>
          <cell r="N71">
            <v>0</v>
          </cell>
        </row>
        <row r="72">
          <cell r="B72" t="str">
            <v>Realizada no Mês - CONCILIADO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B73" t="str">
            <v>DIFERENÇA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B74" t="str">
            <v>Realizada até o Mês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B75" t="str">
            <v>Realizada até o Mês - CONCILIADO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B76" t="str">
            <v>TOTAL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A77" t="str">
            <v>7.9.1.0.08.1.1.01.00.000.000.11.01.000 Multas Decorrentes de Sentenças Judiciais - FUMCAD</v>
          </cell>
          <cell r="B77" t="str">
            <v>Receita Prevista</v>
          </cell>
          <cell r="C77">
            <v>4337525</v>
          </cell>
          <cell r="D77">
            <v>4337525</v>
          </cell>
          <cell r="E77">
            <v>4337525</v>
          </cell>
          <cell r="F77">
            <v>4337525</v>
          </cell>
          <cell r="G77">
            <v>4337525</v>
          </cell>
          <cell r="H77">
            <v>4337525</v>
          </cell>
          <cell r="I77">
            <v>4337525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B78" t="str">
            <v>Realizada no Mês</v>
          </cell>
          <cell r="E78">
            <v>0</v>
          </cell>
          <cell r="G78">
            <v>0</v>
          </cell>
          <cell r="H78">
            <v>0</v>
          </cell>
          <cell r="I78">
            <v>5834833.0700000003</v>
          </cell>
          <cell r="L78">
            <v>0</v>
          </cell>
          <cell r="N78">
            <v>0</v>
          </cell>
        </row>
        <row r="79">
          <cell r="B79" t="str">
            <v>Realizada no Mês - CONCILIADO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5834833.0700000003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B80" t="str">
            <v>DIFERENÇA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B81" t="str">
            <v>Realizada até o Mês</v>
          </cell>
          <cell r="G81">
            <v>0</v>
          </cell>
          <cell r="H81">
            <v>0</v>
          </cell>
          <cell r="I81">
            <v>5834833.0700000003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B82" t="str">
            <v>Realizada até o Mês - CONCILIADO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5834833.0700000003</v>
          </cell>
          <cell r="J82">
            <v>5834833.0700000003</v>
          </cell>
          <cell r="K82">
            <v>5834833.0700000003</v>
          </cell>
          <cell r="L82">
            <v>5834833.0700000003</v>
          </cell>
          <cell r="M82">
            <v>5834833.0700000003</v>
          </cell>
          <cell r="N82">
            <v>5834833.0700000003</v>
          </cell>
        </row>
        <row r="83">
          <cell r="B83" t="str">
            <v>TOTAL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5834833.0700000003</v>
          </cell>
          <cell r="J83">
            <v>5834833.0700000003</v>
          </cell>
          <cell r="K83">
            <v>5834833.0700000003</v>
          </cell>
          <cell r="L83">
            <v>5834833.0700000003</v>
          </cell>
          <cell r="M83">
            <v>5834833.0700000003</v>
          </cell>
          <cell r="N83">
            <v>5834833.0700000003</v>
          </cell>
        </row>
        <row r="85">
          <cell r="A85" t="str">
            <v>RAZÃO DE ARRECADAÇÃO</v>
          </cell>
        </row>
        <row r="86">
          <cell r="A86" t="str">
            <v>1.3.2.1.00.5.1.01.06.022.001.11.01.000</v>
          </cell>
          <cell r="B86" t="str">
            <v>(25955) - FUMCAD</v>
          </cell>
          <cell r="C86">
            <v>905293.08</v>
          </cell>
          <cell r="D86">
            <v>695048.89</v>
          </cell>
          <cell r="E86">
            <v>768114.96</v>
          </cell>
          <cell r="F86">
            <v>614097.30000000005</v>
          </cell>
          <cell r="G86">
            <v>495193.98</v>
          </cell>
          <cell r="H86">
            <v>441431.82</v>
          </cell>
          <cell r="I86">
            <v>415269.02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B87" t="str">
            <v>Valores RENDIMENTO DA CONTA SME - PROJETO MAIS ESCOLA</v>
          </cell>
          <cell r="C87">
            <v>54210.35</v>
          </cell>
          <cell r="D87">
            <v>39529.86</v>
          </cell>
          <cell r="E87">
            <v>45605.58</v>
          </cell>
          <cell r="F87">
            <v>35691.230000000003</v>
          </cell>
          <cell r="G87">
            <v>28445.08</v>
          </cell>
          <cell r="H87">
            <v>25433.75</v>
          </cell>
          <cell r="I87">
            <v>23937.4</v>
          </cell>
          <cell r="O87">
            <v>252853.24999999997</v>
          </cell>
        </row>
        <row r="88">
          <cell r="A88" t="str">
            <v>1.7.7.0.00.1.1.00.00.000.000.11.01.000</v>
          </cell>
          <cell r="B88" t="str">
            <v>(28460) - FUMCAD - Imposto de Renda</v>
          </cell>
          <cell r="C88">
            <v>87278.42</v>
          </cell>
          <cell r="D88">
            <v>145609.21</v>
          </cell>
          <cell r="E88">
            <v>330089.38</v>
          </cell>
          <cell r="F88">
            <v>483307.59</v>
          </cell>
          <cell r="G88">
            <v>203880.73</v>
          </cell>
          <cell r="H88">
            <v>1177053.49</v>
          </cell>
          <cell r="I88">
            <v>1318574.17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</row>
        <row r="89">
          <cell r="B89" t="str">
            <v>Valores Indevidos (-)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</row>
        <row r="90">
          <cell r="A90" t="str">
            <v>1.7.7.0.00.1.1.01.00.000.000.11.09.001</v>
          </cell>
          <cell r="B90" t="str">
            <v>(28462) Deduções FUMCAD - Imposto de Renda</v>
          </cell>
          <cell r="C90">
            <v>0</v>
          </cell>
          <cell r="D90">
            <v>0</v>
          </cell>
          <cell r="E90">
            <v>-2478.66</v>
          </cell>
          <cell r="F90">
            <v>-127000</v>
          </cell>
          <cell r="G90">
            <v>0</v>
          </cell>
          <cell r="H90">
            <v>0</v>
          </cell>
          <cell r="I90">
            <v>0</v>
          </cell>
        </row>
        <row r="91">
          <cell r="A91" t="str">
            <v>1.9.2.2.99.1.1.01.00.000.000.11.01.000</v>
          </cell>
          <cell r="B91" t="str">
            <v>(28746) - FUMCAD - Outras Restit.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</row>
        <row r="92">
          <cell r="A92" t="str">
            <v xml:space="preserve">1.9.9.0.99.1.1.05.00.000.000.11.01.000 </v>
          </cell>
          <cell r="B92" t="str">
            <v>(28988) FUMCAD</v>
          </cell>
          <cell r="C92">
            <v>28082.35</v>
          </cell>
          <cell r="D92">
            <v>2037.01</v>
          </cell>
          <cell r="E92">
            <v>6576.22</v>
          </cell>
          <cell r="F92">
            <v>900.48</v>
          </cell>
          <cell r="G92">
            <v>5834833.0700000003</v>
          </cell>
          <cell r="H92">
            <v>4467.28</v>
          </cell>
          <cell r="I92">
            <v>-5805097.0300000003</v>
          </cell>
        </row>
        <row r="93">
          <cell r="A93" t="str">
            <v>1.9.1.0.08.1.1.02.00.000.000.11.01.000</v>
          </cell>
          <cell r="B93" t="str">
            <v>(28601) - FUMCAD - Multas Judiciais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A94" t="str">
            <v>1.9.9.0.99.1.1.05.00.000.000.11.09.001</v>
          </cell>
          <cell r="B94" t="str">
            <v>(28990) Deduções FUMCAD</v>
          </cell>
          <cell r="C94">
            <v>0</v>
          </cell>
          <cell r="D94">
            <v>0</v>
          </cell>
          <cell r="E94">
            <v>-20800</v>
          </cell>
          <cell r="F94">
            <v>0</v>
          </cell>
          <cell r="G94">
            <v>0</v>
          </cell>
          <cell r="H94">
            <v>-5760</v>
          </cell>
          <cell r="I94">
            <v>0</v>
          </cell>
        </row>
        <row r="95">
          <cell r="A95" t="str">
            <v>1.7.4.0.00.1.1.01.13.000.000.11.01.000</v>
          </cell>
          <cell r="B95" t="str">
            <v>(33693)Tranf.Inst.Priv.-Doações Direc.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</row>
        <row r="96">
          <cell r="A96" t="str">
            <v>1.7.7.0.00.1.1.10.00.000.000.11.01.000</v>
          </cell>
          <cell r="B96" t="str">
            <v>(33696)Tranf.Inst.Pes.Fis.-Doações Direc.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</row>
        <row r="97"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</row>
        <row r="98">
          <cell r="B98" t="str">
            <v>TOTAL</v>
          </cell>
          <cell r="C98">
            <v>1020653.85</v>
          </cell>
          <cell r="D98">
            <v>842695.11</v>
          </cell>
          <cell r="E98">
            <v>1081501.8999999999</v>
          </cell>
          <cell r="F98">
            <v>971305.37000000011</v>
          </cell>
          <cell r="G98">
            <v>6533907.7800000003</v>
          </cell>
          <cell r="H98">
            <v>1622952.59</v>
          </cell>
          <cell r="I98">
            <v>-4071253.8400000003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</row>
        <row r="100">
          <cell r="A100" t="str">
            <v>RAZÃO DE DISPONÍVEIS</v>
          </cell>
        </row>
        <row r="101">
          <cell r="A101" t="str">
            <v>Conta Corrente</v>
          </cell>
          <cell r="B101" t="str">
            <v>Saldo Inicial</v>
          </cell>
        </row>
        <row r="102">
          <cell r="A102" t="str">
            <v>Cód. 100738 - 8946-X</v>
          </cell>
          <cell r="B102">
            <v>1470</v>
          </cell>
          <cell r="C102">
            <v>1470</v>
          </cell>
          <cell r="D102">
            <v>1470</v>
          </cell>
          <cell r="E102">
            <v>1470</v>
          </cell>
          <cell r="F102">
            <v>1470</v>
          </cell>
          <cell r="G102">
            <v>1470</v>
          </cell>
          <cell r="H102">
            <v>1470</v>
          </cell>
          <cell r="I102">
            <v>1470</v>
          </cell>
        </row>
        <row r="103">
          <cell r="A103" t="str">
            <v>Cód. 100738 - Aplicação</v>
          </cell>
          <cell r="B103">
            <v>223187126.41</v>
          </cell>
          <cell r="C103">
            <v>220063977.59999999</v>
          </cell>
          <cell r="D103">
            <v>215174258.28999999</v>
          </cell>
          <cell r="E103">
            <v>203083585.46000001</v>
          </cell>
          <cell r="F103">
            <v>200835267.49000001</v>
          </cell>
          <cell r="G103">
            <v>203256668.93000001</v>
          </cell>
          <cell r="H103">
            <v>201825726.53999999</v>
          </cell>
          <cell r="I103">
            <v>203044264.28999999</v>
          </cell>
        </row>
        <row r="104">
          <cell r="A104" t="str">
            <v>Cód. 100071 - 5738-X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5">
          <cell r="A105" t="str">
            <v>Cód. 100071 - Aplicação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L105">
            <v>0</v>
          </cell>
          <cell r="M105">
            <v>0</v>
          </cell>
          <cell r="N105">
            <v>0</v>
          </cell>
        </row>
        <row r="106">
          <cell r="A106" t="str">
            <v>Cód. 100072 - 5737-1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L106">
            <v>0</v>
          </cell>
          <cell r="M106">
            <v>0</v>
          </cell>
          <cell r="N106">
            <v>0</v>
          </cell>
        </row>
        <row r="107">
          <cell r="A107" t="str">
            <v>Ajuste - Desvinculação de Receita 2018</v>
          </cell>
          <cell r="B107">
            <v>-7288706.7699999996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L107">
            <v>0</v>
          </cell>
          <cell r="M107">
            <v>0</v>
          </cell>
          <cell r="N107">
            <v>0</v>
          </cell>
        </row>
        <row r="108">
          <cell r="A108" t="str">
            <v>Cód. 100991 - 18114-X</v>
          </cell>
          <cell r="B108">
            <v>1776551.13</v>
          </cell>
          <cell r="C108">
            <v>110</v>
          </cell>
          <cell r="D108">
            <v>580</v>
          </cell>
          <cell r="E108">
            <v>3960</v>
          </cell>
          <cell r="F108">
            <v>8288.3700000000008</v>
          </cell>
          <cell r="G108">
            <v>5100</v>
          </cell>
          <cell r="H108">
            <v>0</v>
          </cell>
          <cell r="I108">
            <v>0</v>
          </cell>
          <cell r="L108">
            <v>0</v>
          </cell>
          <cell r="M108">
            <v>0</v>
          </cell>
        </row>
        <row r="109">
          <cell r="A109" t="str">
            <v>TOTAL</v>
          </cell>
          <cell r="B109">
            <v>217676440.76999998</v>
          </cell>
          <cell r="C109">
            <v>220065557.59999999</v>
          </cell>
          <cell r="D109">
            <v>215176308.28999999</v>
          </cell>
          <cell r="E109">
            <v>203089015.46000001</v>
          </cell>
          <cell r="F109">
            <v>200845025.86000001</v>
          </cell>
          <cell r="G109">
            <v>203263238.93000001</v>
          </cell>
          <cell r="H109">
            <v>201827196.53999999</v>
          </cell>
          <cell r="I109">
            <v>203045734.28999999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</row>
        <row r="111">
          <cell r="A111" t="str">
            <v>ACOMPANHAMENTO DE EXECUÇÃO ORÇAMENTÁRIA</v>
          </cell>
        </row>
        <row r="112">
          <cell r="A112" t="str">
            <v>POR FONTE RECURSO</v>
          </cell>
        </row>
        <row r="113">
          <cell r="A113" t="str">
            <v>FONTE 05</v>
          </cell>
          <cell r="B113" t="str">
            <v>Empenhado Até o Mês</v>
          </cell>
          <cell r="C113">
            <v>10876477.07</v>
          </cell>
          <cell r="D113">
            <v>30566285.07</v>
          </cell>
          <cell r="E113">
            <v>32538910.350000001</v>
          </cell>
          <cell r="F113">
            <v>33478943.59</v>
          </cell>
          <cell r="G113">
            <v>33815250.93</v>
          </cell>
          <cell r="H113">
            <v>34517472.969999999</v>
          </cell>
          <cell r="I113">
            <v>34556984.170000002</v>
          </cell>
        </row>
        <row r="114">
          <cell r="B114" t="str">
            <v>Pago Até o Mês</v>
          </cell>
          <cell r="C114">
            <v>0</v>
          </cell>
          <cell r="D114">
            <v>532661.68999999994</v>
          </cell>
          <cell r="E114">
            <v>19000390.300000001</v>
          </cell>
          <cell r="F114">
            <v>22146536.109999999</v>
          </cell>
          <cell r="G114">
            <v>26233785.739999998</v>
          </cell>
          <cell r="H114">
            <v>29067037.300000001</v>
          </cell>
          <cell r="I114">
            <v>29615491.050000001</v>
          </cell>
        </row>
        <row r="115">
          <cell r="B115" t="str">
            <v>Liquidado A Pagar</v>
          </cell>
          <cell r="C115">
            <v>0</v>
          </cell>
          <cell r="D115">
            <v>7321630.1299999999</v>
          </cell>
          <cell r="E115">
            <v>266397</v>
          </cell>
          <cell r="F115">
            <v>2628013.4300000002</v>
          </cell>
          <cell r="G115">
            <v>1418305.06</v>
          </cell>
          <cell r="H115">
            <v>166570</v>
          </cell>
          <cell r="I115">
            <v>0</v>
          </cell>
        </row>
        <row r="116">
          <cell r="B116" t="str">
            <v xml:space="preserve">     Retenção Extra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</row>
        <row r="117">
          <cell r="B117" t="str">
            <v>NÃO Liquidado A Pagar</v>
          </cell>
          <cell r="C117">
            <v>10876477.07</v>
          </cell>
          <cell r="D117">
            <v>22711993.25</v>
          </cell>
          <cell r="E117">
            <v>13272123.050000001</v>
          </cell>
          <cell r="F117">
            <v>8704394.0500000007</v>
          </cell>
          <cell r="G117">
            <v>6163160.1299999999</v>
          </cell>
          <cell r="H117">
            <v>5283865.6699999981</v>
          </cell>
          <cell r="I117">
            <v>4941493.120000001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</row>
        <row r="119">
          <cell r="A119" t="str">
            <v>FONTE 00</v>
          </cell>
          <cell r="B119" t="str">
            <v>Empenhado Até o Mês</v>
          </cell>
          <cell r="C119">
            <v>0</v>
          </cell>
          <cell r="D119">
            <v>12000</v>
          </cell>
          <cell r="E119">
            <v>17504.330000000002</v>
          </cell>
          <cell r="F119">
            <v>17504.330000000002</v>
          </cell>
          <cell r="G119">
            <v>17504.330000000002</v>
          </cell>
          <cell r="H119">
            <v>17504.330000000002</v>
          </cell>
          <cell r="I119">
            <v>17504.330000000002</v>
          </cell>
        </row>
        <row r="120">
          <cell r="B120" t="str">
            <v>Pago Até o Mês</v>
          </cell>
          <cell r="C120">
            <v>0</v>
          </cell>
          <cell r="D120">
            <v>0</v>
          </cell>
          <cell r="E120">
            <v>419.85</v>
          </cell>
          <cell r="F120">
            <v>1323.1</v>
          </cell>
          <cell r="G120">
            <v>1544.84</v>
          </cell>
          <cell r="H120">
            <v>1907.54</v>
          </cell>
          <cell r="I120">
            <v>2170.09</v>
          </cell>
        </row>
        <row r="121">
          <cell r="B121" t="str">
            <v>Liquidado A Pagar</v>
          </cell>
          <cell r="C121">
            <v>0</v>
          </cell>
          <cell r="D121">
            <v>0</v>
          </cell>
          <cell r="E121">
            <v>290</v>
          </cell>
          <cell r="F121">
            <v>221.74</v>
          </cell>
          <cell r="G121">
            <v>145</v>
          </cell>
          <cell r="H121">
            <v>145</v>
          </cell>
          <cell r="I121">
            <v>0</v>
          </cell>
        </row>
        <row r="122">
          <cell r="B122" t="str">
            <v xml:space="preserve">     Retenção Extra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</row>
        <row r="123">
          <cell r="B123" t="str">
            <v>NÃO Liquidado A Pagar</v>
          </cell>
          <cell r="C123">
            <v>0</v>
          </cell>
          <cell r="D123">
            <v>12000</v>
          </cell>
          <cell r="E123">
            <v>16794.48</v>
          </cell>
          <cell r="F123">
            <v>15959.49</v>
          </cell>
          <cell r="G123">
            <v>15814.49</v>
          </cell>
          <cell r="H123">
            <v>15451.79</v>
          </cell>
          <cell r="I123">
            <v>15334.240000000002</v>
          </cell>
        </row>
        <row r="125">
          <cell r="A125" t="str">
            <v>POR CONTA DE DESPESA</v>
          </cell>
        </row>
        <row r="126">
          <cell r="A126" t="str">
            <v>DESPESA CORRENTE</v>
          </cell>
          <cell r="B126" t="str">
            <v>Orçamento Inicial</v>
          </cell>
          <cell r="C126">
            <v>65513385</v>
          </cell>
          <cell r="D126">
            <v>65513385</v>
          </cell>
          <cell r="E126">
            <v>65513385</v>
          </cell>
          <cell r="F126">
            <v>65513385</v>
          </cell>
          <cell r="G126">
            <v>65513385</v>
          </cell>
          <cell r="H126">
            <v>65513385</v>
          </cell>
          <cell r="I126">
            <v>65513385</v>
          </cell>
        </row>
        <row r="127">
          <cell r="B127" t="str">
            <v>Orçamento Atualizado</v>
          </cell>
          <cell r="C127">
            <v>65513385</v>
          </cell>
          <cell r="D127">
            <v>65513385</v>
          </cell>
          <cell r="E127">
            <v>122224907</v>
          </cell>
          <cell r="F127">
            <v>122224907</v>
          </cell>
          <cell r="G127">
            <v>122224907</v>
          </cell>
          <cell r="H127">
            <v>122224907</v>
          </cell>
          <cell r="I127">
            <v>122224907</v>
          </cell>
        </row>
        <row r="128">
          <cell r="B128" t="str">
            <v>Empenhado Até o Mês</v>
          </cell>
          <cell r="C128">
            <v>10876477.07</v>
          </cell>
          <cell r="D128">
            <v>30578285.07</v>
          </cell>
          <cell r="E128">
            <v>32556414.68</v>
          </cell>
          <cell r="F128">
            <v>33496447.920000002</v>
          </cell>
          <cell r="G128">
            <v>33832755.259999998</v>
          </cell>
          <cell r="H128">
            <v>34534977.299999997</v>
          </cell>
          <cell r="I128">
            <v>34574488.5</v>
          </cell>
        </row>
        <row r="129">
          <cell r="B129" t="str">
            <v>Liquidado Até o Mês</v>
          </cell>
          <cell r="C129">
            <v>0</v>
          </cell>
          <cell r="D129">
            <v>7854291.8200000003</v>
          </cell>
          <cell r="E129">
            <v>19267497.149999999</v>
          </cell>
          <cell r="F129">
            <v>24776094.379999999</v>
          </cell>
          <cell r="G129">
            <v>27653780.640000001</v>
          </cell>
          <cell r="H129">
            <v>29235659.84</v>
          </cell>
          <cell r="I129">
            <v>29617661.140000001</v>
          </cell>
        </row>
        <row r="130">
          <cell r="B130" t="str">
            <v>Pago Até o Mês</v>
          </cell>
          <cell r="C130">
            <v>0</v>
          </cell>
          <cell r="D130">
            <v>532661.68999999994</v>
          </cell>
          <cell r="E130">
            <v>19000810.149999999</v>
          </cell>
          <cell r="F130">
            <v>22147859.210000001</v>
          </cell>
          <cell r="G130">
            <v>26235330.579999998</v>
          </cell>
          <cell r="H130">
            <v>29068944.84</v>
          </cell>
          <cell r="I130">
            <v>29617661.140000001</v>
          </cell>
        </row>
        <row r="132">
          <cell r="A132" t="str">
            <v>DESPESA CAPITAL</v>
          </cell>
          <cell r="B132" t="str">
            <v>Orçamento Inicial</v>
          </cell>
          <cell r="C132">
            <v>43000</v>
          </cell>
          <cell r="D132">
            <v>43000</v>
          </cell>
          <cell r="E132">
            <v>43000</v>
          </cell>
          <cell r="F132">
            <v>43000</v>
          </cell>
          <cell r="G132">
            <v>43000</v>
          </cell>
          <cell r="H132">
            <v>43000</v>
          </cell>
          <cell r="I132">
            <v>43000</v>
          </cell>
        </row>
        <row r="133">
          <cell r="B133" t="str">
            <v>Orçamento Atualizado</v>
          </cell>
          <cell r="C133">
            <v>43000</v>
          </cell>
          <cell r="D133">
            <v>43000</v>
          </cell>
          <cell r="E133">
            <v>43000</v>
          </cell>
          <cell r="F133">
            <v>43000</v>
          </cell>
          <cell r="G133">
            <v>43000</v>
          </cell>
          <cell r="H133">
            <v>43000</v>
          </cell>
          <cell r="I133">
            <v>43000</v>
          </cell>
        </row>
        <row r="134">
          <cell r="B134" t="str">
            <v>Empenhado Até o Mês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</row>
        <row r="135">
          <cell r="B135" t="str">
            <v>Liquidado Até o Mês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</row>
        <row r="136">
          <cell r="B136" t="str">
            <v>Pago Até o Mês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</row>
        <row r="139">
          <cell r="A139" t="str">
            <v>ACOMPANHAMENTO DE EXECUÇÃO ORÇAMENTÁRIA - RESTO A PAGAR</v>
          </cell>
        </row>
        <row r="140">
          <cell r="A140" t="str">
            <v>POR FONTE RECURSO</v>
          </cell>
        </row>
        <row r="141">
          <cell r="A141" t="str">
            <v>PAGAMENTO</v>
          </cell>
          <cell r="B141" t="str">
            <v>Não Processado - FONTE 05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</row>
        <row r="142">
          <cell r="B142" t="str">
            <v>Processado - FONTE 05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</row>
        <row r="143">
          <cell r="B143" t="str">
            <v>TOTAL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</row>
        <row r="145">
          <cell r="A145" t="str">
            <v>PAGAMENTO</v>
          </cell>
          <cell r="B145" t="str">
            <v>Não Processado - FONTE 00</v>
          </cell>
          <cell r="C145">
            <v>60923.74</v>
          </cell>
          <cell r="D145">
            <v>63198.41</v>
          </cell>
          <cell r="E145">
            <v>63198.41</v>
          </cell>
          <cell r="F145">
            <v>72294.53</v>
          </cell>
          <cell r="G145">
            <v>263013.11</v>
          </cell>
          <cell r="H145">
            <v>263013.11</v>
          </cell>
          <cell r="I145">
            <v>263013.11</v>
          </cell>
        </row>
        <row r="146">
          <cell r="B146" t="str">
            <v>Processado - FONTE 00</v>
          </cell>
          <cell r="C146">
            <v>8641.73</v>
          </cell>
          <cell r="D146">
            <v>8641.73</v>
          </cell>
          <cell r="E146">
            <v>8641.73</v>
          </cell>
          <cell r="F146">
            <v>8641.73</v>
          </cell>
          <cell r="G146">
            <v>8641.73</v>
          </cell>
          <cell r="H146">
            <v>8641.73</v>
          </cell>
          <cell r="I146">
            <v>8641.73</v>
          </cell>
        </row>
        <row r="147">
          <cell r="B147" t="str">
            <v>TOTAL</v>
          </cell>
          <cell r="C147">
            <v>69565.47</v>
          </cell>
          <cell r="D147">
            <v>71840.14</v>
          </cell>
          <cell r="E147">
            <v>71840.14</v>
          </cell>
          <cell r="F147">
            <v>80936.259999999995</v>
          </cell>
          <cell r="G147">
            <v>271654.83999999997</v>
          </cell>
          <cell r="H147">
            <v>271654.83999999997</v>
          </cell>
          <cell r="I147">
            <v>271654.83999999997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</row>
        <row r="149">
          <cell r="A149" t="str">
            <v>POR CONTA DE DESPESA - DESPESA CORRENTE</v>
          </cell>
        </row>
        <row r="150">
          <cell r="A150" t="str">
            <v>SALDO TRANSFERIDO</v>
          </cell>
          <cell r="B150" t="str">
            <v>Não Processado</v>
          </cell>
          <cell r="C150">
            <v>2003403.79</v>
          </cell>
          <cell r="D150">
            <v>2003403.79</v>
          </cell>
          <cell r="E150">
            <v>2003403.79</v>
          </cell>
          <cell r="F150">
            <v>2003403.79</v>
          </cell>
          <cell r="G150">
            <v>2003403.79</v>
          </cell>
          <cell r="H150">
            <v>2003403.79</v>
          </cell>
          <cell r="I150">
            <v>2003403.79</v>
          </cell>
        </row>
        <row r="151">
          <cell r="B151" t="str">
            <v>Processado</v>
          </cell>
          <cell r="C151">
            <v>8641.73</v>
          </cell>
          <cell r="D151">
            <v>8641.73</v>
          </cell>
          <cell r="E151">
            <v>8641.73</v>
          </cell>
          <cell r="F151">
            <v>8641.73</v>
          </cell>
          <cell r="G151">
            <v>8641.73</v>
          </cell>
          <cell r="H151">
            <v>8641.73</v>
          </cell>
          <cell r="I151">
            <v>8641.73</v>
          </cell>
        </row>
        <row r="152">
          <cell r="A152" t="str">
            <v>PAGAMENTO</v>
          </cell>
          <cell r="B152" t="str">
            <v>Não Processado</v>
          </cell>
          <cell r="C152">
            <v>60923.74</v>
          </cell>
          <cell r="D152">
            <v>63198.41</v>
          </cell>
          <cell r="E152">
            <v>63198.41</v>
          </cell>
          <cell r="F152">
            <v>63198.41</v>
          </cell>
          <cell r="G152">
            <v>263013.11</v>
          </cell>
          <cell r="H152">
            <v>263013.11</v>
          </cell>
          <cell r="I152">
            <v>263013.11</v>
          </cell>
        </row>
        <row r="153">
          <cell r="B153" t="str">
            <v>Processado</v>
          </cell>
          <cell r="C153">
            <v>8641.73</v>
          </cell>
          <cell r="D153">
            <v>8641.73</v>
          </cell>
          <cell r="E153">
            <v>8641.73</v>
          </cell>
          <cell r="F153">
            <v>8641.73</v>
          </cell>
          <cell r="G153">
            <v>8641.73</v>
          </cell>
          <cell r="H153">
            <v>8641.73</v>
          </cell>
          <cell r="I153">
            <v>8641.73</v>
          </cell>
        </row>
        <row r="154">
          <cell r="A154" t="str">
            <v>CANCELAMENTO</v>
          </cell>
          <cell r="B154" t="str">
            <v>Não Processado</v>
          </cell>
          <cell r="C154">
            <v>0</v>
          </cell>
          <cell r="D154">
            <v>268402.98</v>
          </cell>
          <cell r="E154">
            <v>268422.31</v>
          </cell>
          <cell r="F154">
            <v>268422.31</v>
          </cell>
          <cell r="G154">
            <v>268422.31</v>
          </cell>
          <cell r="H154">
            <v>1740390.68</v>
          </cell>
          <cell r="I154">
            <v>1740390.68</v>
          </cell>
        </row>
        <row r="155">
          <cell r="B155" t="str">
            <v>Processado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</row>
        <row r="156">
          <cell r="A156" t="str">
            <v>POR CONTA DE DESPESA - DESPESA CAPITAL</v>
          </cell>
        </row>
        <row r="157">
          <cell r="A157" t="str">
            <v>SALDO TRANSFERIDO</v>
          </cell>
          <cell r="B157" t="str">
            <v>Não Processado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</row>
        <row r="158">
          <cell r="B158" t="str">
            <v>Processado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59">
          <cell r="A159" t="str">
            <v>PAGAMENTO</v>
          </cell>
          <cell r="B159" t="str">
            <v>Não Processado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</row>
        <row r="160">
          <cell r="B160" t="str">
            <v>Processado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61">
          <cell r="A161" t="str">
            <v>CANCELAMENTO</v>
          </cell>
          <cell r="B161" t="str">
            <v>Não Processado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2">
          <cell r="B162" t="str">
            <v>Processado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</row>
        <row r="164">
          <cell r="A164" t="str">
            <v>A.E.O. - RESTO A PAGAR - COMPETÊNCIAS ANTERIORES</v>
          </cell>
        </row>
        <row r="165">
          <cell r="A165" t="str">
            <v>POR CONTA DE DESPESA - DESPESA CORRENTE</v>
          </cell>
        </row>
        <row r="166">
          <cell r="A166" t="str">
            <v>SALDO TRANSFERIDO</v>
          </cell>
          <cell r="B166" t="str">
            <v>Não Processado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</row>
        <row r="167">
          <cell r="B167" t="str">
            <v>Processado</v>
          </cell>
          <cell r="C167">
            <v>3821.76</v>
          </cell>
          <cell r="D167">
            <v>3821.76</v>
          </cell>
          <cell r="E167">
            <v>3821.76</v>
          </cell>
          <cell r="F167">
            <v>3821.76</v>
          </cell>
          <cell r="G167">
            <v>3821.76</v>
          </cell>
          <cell r="H167">
            <v>3821.76</v>
          </cell>
          <cell r="I167">
            <v>3821.76</v>
          </cell>
        </row>
        <row r="168">
          <cell r="A168" t="str">
            <v>PAGAMENTO</v>
          </cell>
          <cell r="B168" t="str">
            <v>Não Processado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</row>
        <row r="169">
          <cell r="B169" t="str">
            <v>Processado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</row>
        <row r="170">
          <cell r="A170" t="str">
            <v>CANCELAMENTO</v>
          </cell>
          <cell r="B170" t="str">
            <v>Não Processado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</row>
        <row r="171">
          <cell r="B171" t="str">
            <v>Processado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</row>
        <row r="172">
          <cell r="A172" t="str">
            <v>POR CONTA DE DESPESA - DESPESA CAPITAL</v>
          </cell>
        </row>
        <row r="173">
          <cell r="A173" t="str">
            <v>SALDO TRANSFERIDO</v>
          </cell>
          <cell r="B173" t="str">
            <v>Não Processado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</row>
        <row r="174">
          <cell r="B174" t="str">
            <v>Processado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</row>
        <row r="175">
          <cell r="A175" t="str">
            <v>PAGAMENTO</v>
          </cell>
          <cell r="B175" t="str">
            <v>Não Processado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</row>
        <row r="176">
          <cell r="B176" t="str">
            <v>Processado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</row>
        <row r="177">
          <cell r="A177" t="str">
            <v>CANCELAMENTO</v>
          </cell>
          <cell r="B177" t="str">
            <v>Não Processado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</row>
        <row r="178">
          <cell r="B178" t="str">
            <v>Processado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</row>
        <row r="181">
          <cell r="A181" t="str">
            <v>TRANSFERÊNCIAS FINANCEIRAS RECEBIDAS (II)</v>
          </cell>
        </row>
        <row r="182">
          <cell r="A182" t="str">
            <v>PARA  EXECUÇÃO ORÇAMENTÁRIA</v>
          </cell>
        </row>
        <row r="189">
          <cell r="B189" t="str">
            <v>TOTAL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</row>
        <row r="192">
          <cell r="A192" t="str">
            <v>TRANSFERÊNCIAS FINANCEIRAS CONCEDIDAS (VII)</v>
          </cell>
        </row>
        <row r="193">
          <cell r="A193" t="str">
            <v>PARA  EXECUÇÃO ORÇAMENTÁRIA</v>
          </cell>
        </row>
        <row r="194">
          <cell r="A194" t="str">
            <v>RENDIMENTO FINANCEIRO DA TRANSFERÊNCIA PARA EDUCAÇÃO</v>
          </cell>
          <cell r="C194">
            <v>54210.35</v>
          </cell>
          <cell r="D194">
            <v>39529.86</v>
          </cell>
          <cell r="E194">
            <v>45605.58</v>
          </cell>
          <cell r="F194">
            <v>35691.230000000003</v>
          </cell>
          <cell r="G194">
            <v>28445.08</v>
          </cell>
          <cell r="H194">
            <v>25433.75</v>
          </cell>
          <cell r="I194">
            <v>23937.4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252853.24999999997</v>
          </cell>
          <cell r="P194" t="str">
            <v>total de rendimentos transferidos para educação</v>
          </cell>
        </row>
        <row r="195">
          <cell r="A195" t="str">
            <v>DESVINCULAÇÃO ADICIONAL DA RECEITA - R$5.158.455,99</v>
          </cell>
          <cell r="N195">
            <v>0</v>
          </cell>
        </row>
        <row r="196">
          <cell r="A196" t="str">
            <v>DESVINCULAÇÃO ADICIONAL DA RECEITA - R$15.480.496,12</v>
          </cell>
        </row>
        <row r="197">
          <cell r="A197" t="str">
            <v>DESVINCULAÇÃO ADICIONAL DA RECEITA - R$15.262.094,25</v>
          </cell>
        </row>
        <row r="198">
          <cell r="A198" t="str">
            <v xml:space="preserve">transferencia mais escolas ( p SME) </v>
          </cell>
          <cell r="F198">
            <v>0</v>
          </cell>
        </row>
        <row r="200">
          <cell r="B200" t="str">
            <v>TOTAL</v>
          </cell>
          <cell r="C200">
            <v>54210.35</v>
          </cell>
          <cell r="D200">
            <v>93740.209999999992</v>
          </cell>
          <cell r="E200">
            <v>139345.78999999998</v>
          </cell>
          <cell r="F200">
            <v>175037.02</v>
          </cell>
          <cell r="G200">
            <v>203482.09999999998</v>
          </cell>
          <cell r="H200">
            <v>228915.84999999998</v>
          </cell>
          <cell r="I200">
            <v>252853.24999999997</v>
          </cell>
          <cell r="J200">
            <v>252853.24999999997</v>
          </cell>
          <cell r="K200">
            <v>252853.24999999997</v>
          </cell>
          <cell r="L200">
            <v>252853.24999999997</v>
          </cell>
          <cell r="M200">
            <v>252853.24999999997</v>
          </cell>
          <cell r="N200">
            <v>252853.24999999997</v>
          </cell>
        </row>
      </sheetData>
      <sheetData sheetId="1">
        <row r="5">
          <cell r="A5">
            <v>44013</v>
          </cell>
        </row>
        <row r="10">
          <cell r="D10">
            <v>0</v>
          </cell>
        </row>
        <row r="18">
          <cell r="D18">
            <v>7996002.7599999988</v>
          </cell>
          <cell r="K18">
            <v>34556984.170000002</v>
          </cell>
        </row>
        <row r="20">
          <cell r="D20">
            <v>5834833.0700000003</v>
          </cell>
        </row>
        <row r="22">
          <cell r="D22">
            <v>0</v>
          </cell>
          <cell r="K22">
            <v>252853.24999999997</v>
          </cell>
        </row>
        <row r="28">
          <cell r="D28">
            <v>4941493.120000001</v>
          </cell>
          <cell r="K28">
            <v>0</v>
          </cell>
        </row>
        <row r="30">
          <cell r="D30">
            <v>0</v>
          </cell>
          <cell r="K30">
            <v>0</v>
          </cell>
        </row>
        <row r="32">
          <cell r="D32">
            <v>6908764.8600000003</v>
          </cell>
          <cell r="K32">
            <v>5501962.8700000001</v>
          </cell>
        </row>
        <row r="35">
          <cell r="D35">
            <v>217676440.76999998</v>
          </cell>
          <cell r="K35">
            <v>203045734.28999999</v>
          </cell>
        </row>
      </sheetData>
      <sheetData sheetId="2">
        <row r="8">
          <cell r="K8">
            <v>17504.330000000002</v>
          </cell>
        </row>
        <row r="20">
          <cell r="D20">
            <v>273824.93</v>
          </cell>
        </row>
        <row r="25">
          <cell r="D25">
            <v>15334.240000000002</v>
          </cell>
          <cell r="K25">
            <v>263013.11</v>
          </cell>
        </row>
        <row r="27">
          <cell r="D27">
            <v>0</v>
          </cell>
          <cell r="K27">
            <v>8641.73</v>
          </cell>
        </row>
        <row r="30">
          <cell r="D30">
            <v>0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BB335-1A39-4E18-A0C9-FA73175ADC22}">
  <sheetPr codeName="Plan9">
    <tabColor indexed="42"/>
  </sheetPr>
  <dimension ref="A1:IU70"/>
  <sheetViews>
    <sheetView showGridLines="0" showOutlineSymbols="0" zoomScaleNormal="100" workbookViewId="0">
      <selection activeCell="P1" sqref="P1:Q1048576"/>
    </sheetView>
  </sheetViews>
  <sheetFormatPr defaultColWidth="6.85546875" defaultRowHeight="13.5" customHeight="1" x14ac:dyDescent="0.2"/>
  <cols>
    <col min="1" max="1" width="9.85546875" style="2" customWidth="1"/>
    <col min="2" max="2" width="12.85546875" style="2" bestFit="1" customWidth="1"/>
    <col min="3" max="5" width="7.28515625" style="2" customWidth="1"/>
    <col min="6" max="6" width="10.85546875" style="2" customWidth="1"/>
    <col min="7" max="8" width="16.7109375" style="2" customWidth="1"/>
    <col min="9" max="10" width="9.85546875" style="2" customWidth="1"/>
    <col min="11" max="11" width="15.5703125" style="2" customWidth="1"/>
    <col min="12" max="12" width="9.85546875" style="2" customWidth="1"/>
    <col min="13" max="13" width="10.85546875" style="2" customWidth="1"/>
    <col min="14" max="14" width="16.7109375" style="118" customWidth="1"/>
    <col min="15" max="15" width="16.7109375" style="81" customWidth="1"/>
    <col min="16" max="16" width="14.28515625" style="2" hidden="1" customWidth="1"/>
    <col min="17" max="17" width="12.140625" style="2" hidden="1" customWidth="1"/>
    <col min="18" max="18" width="12.5703125" style="2" customWidth="1"/>
    <col min="19" max="256" width="6.85546875" style="2"/>
    <col min="257" max="257" width="9.85546875" style="2" customWidth="1"/>
    <col min="258" max="258" width="12.85546875" style="2" bestFit="1" customWidth="1"/>
    <col min="259" max="261" width="7.28515625" style="2" customWidth="1"/>
    <col min="262" max="262" width="10.85546875" style="2" customWidth="1"/>
    <col min="263" max="264" width="16.7109375" style="2" customWidth="1"/>
    <col min="265" max="266" width="9.85546875" style="2" customWidth="1"/>
    <col min="267" max="267" width="15.5703125" style="2" customWidth="1"/>
    <col min="268" max="268" width="9.85546875" style="2" customWidth="1"/>
    <col min="269" max="269" width="10.85546875" style="2" customWidth="1"/>
    <col min="270" max="271" width="16.7109375" style="2" customWidth="1"/>
    <col min="272" max="272" width="14.28515625" style="2" bestFit="1" customWidth="1"/>
    <col min="273" max="273" width="12.140625" style="2" customWidth="1"/>
    <col min="274" max="274" width="12.5703125" style="2" customWidth="1"/>
    <col min="275" max="512" width="6.85546875" style="2"/>
    <col min="513" max="513" width="9.85546875" style="2" customWidth="1"/>
    <col min="514" max="514" width="12.85546875" style="2" bestFit="1" customWidth="1"/>
    <col min="515" max="517" width="7.28515625" style="2" customWidth="1"/>
    <col min="518" max="518" width="10.85546875" style="2" customWidth="1"/>
    <col min="519" max="520" width="16.7109375" style="2" customWidth="1"/>
    <col min="521" max="522" width="9.85546875" style="2" customWidth="1"/>
    <col min="523" max="523" width="15.5703125" style="2" customWidth="1"/>
    <col min="524" max="524" width="9.85546875" style="2" customWidth="1"/>
    <col min="525" max="525" width="10.85546875" style="2" customWidth="1"/>
    <col min="526" max="527" width="16.7109375" style="2" customWidth="1"/>
    <col min="528" max="528" width="14.28515625" style="2" bestFit="1" customWidth="1"/>
    <col min="529" max="529" width="12.140625" style="2" customWidth="1"/>
    <col min="530" max="530" width="12.5703125" style="2" customWidth="1"/>
    <col min="531" max="768" width="6.85546875" style="2"/>
    <col min="769" max="769" width="9.85546875" style="2" customWidth="1"/>
    <col min="770" max="770" width="12.85546875" style="2" bestFit="1" customWidth="1"/>
    <col min="771" max="773" width="7.28515625" style="2" customWidth="1"/>
    <col min="774" max="774" width="10.85546875" style="2" customWidth="1"/>
    <col min="775" max="776" width="16.7109375" style="2" customWidth="1"/>
    <col min="777" max="778" width="9.85546875" style="2" customWidth="1"/>
    <col min="779" max="779" width="15.5703125" style="2" customWidth="1"/>
    <col min="780" max="780" width="9.85546875" style="2" customWidth="1"/>
    <col min="781" max="781" width="10.85546875" style="2" customWidth="1"/>
    <col min="782" max="783" width="16.7109375" style="2" customWidth="1"/>
    <col min="784" max="784" width="14.28515625" style="2" bestFit="1" customWidth="1"/>
    <col min="785" max="785" width="12.140625" style="2" customWidth="1"/>
    <col min="786" max="786" width="12.5703125" style="2" customWidth="1"/>
    <col min="787" max="1024" width="6.85546875" style="2"/>
    <col min="1025" max="1025" width="9.85546875" style="2" customWidth="1"/>
    <col min="1026" max="1026" width="12.85546875" style="2" bestFit="1" customWidth="1"/>
    <col min="1027" max="1029" width="7.28515625" style="2" customWidth="1"/>
    <col min="1030" max="1030" width="10.85546875" style="2" customWidth="1"/>
    <col min="1031" max="1032" width="16.7109375" style="2" customWidth="1"/>
    <col min="1033" max="1034" width="9.85546875" style="2" customWidth="1"/>
    <col min="1035" max="1035" width="15.5703125" style="2" customWidth="1"/>
    <col min="1036" max="1036" width="9.85546875" style="2" customWidth="1"/>
    <col min="1037" max="1037" width="10.85546875" style="2" customWidth="1"/>
    <col min="1038" max="1039" width="16.7109375" style="2" customWidth="1"/>
    <col min="1040" max="1040" width="14.28515625" style="2" bestFit="1" customWidth="1"/>
    <col min="1041" max="1041" width="12.140625" style="2" customWidth="1"/>
    <col min="1042" max="1042" width="12.5703125" style="2" customWidth="1"/>
    <col min="1043" max="1280" width="6.85546875" style="2"/>
    <col min="1281" max="1281" width="9.85546875" style="2" customWidth="1"/>
    <col min="1282" max="1282" width="12.85546875" style="2" bestFit="1" customWidth="1"/>
    <col min="1283" max="1285" width="7.28515625" style="2" customWidth="1"/>
    <col min="1286" max="1286" width="10.85546875" style="2" customWidth="1"/>
    <col min="1287" max="1288" width="16.7109375" style="2" customWidth="1"/>
    <col min="1289" max="1290" width="9.85546875" style="2" customWidth="1"/>
    <col min="1291" max="1291" width="15.5703125" style="2" customWidth="1"/>
    <col min="1292" max="1292" width="9.85546875" style="2" customWidth="1"/>
    <col min="1293" max="1293" width="10.85546875" style="2" customWidth="1"/>
    <col min="1294" max="1295" width="16.7109375" style="2" customWidth="1"/>
    <col min="1296" max="1296" width="14.28515625" style="2" bestFit="1" customWidth="1"/>
    <col min="1297" max="1297" width="12.140625" style="2" customWidth="1"/>
    <col min="1298" max="1298" width="12.5703125" style="2" customWidth="1"/>
    <col min="1299" max="1536" width="6.85546875" style="2"/>
    <col min="1537" max="1537" width="9.85546875" style="2" customWidth="1"/>
    <col min="1538" max="1538" width="12.85546875" style="2" bestFit="1" customWidth="1"/>
    <col min="1539" max="1541" width="7.28515625" style="2" customWidth="1"/>
    <col min="1542" max="1542" width="10.85546875" style="2" customWidth="1"/>
    <col min="1543" max="1544" width="16.7109375" style="2" customWidth="1"/>
    <col min="1545" max="1546" width="9.85546875" style="2" customWidth="1"/>
    <col min="1547" max="1547" width="15.5703125" style="2" customWidth="1"/>
    <col min="1548" max="1548" width="9.85546875" style="2" customWidth="1"/>
    <col min="1549" max="1549" width="10.85546875" style="2" customWidth="1"/>
    <col min="1550" max="1551" width="16.7109375" style="2" customWidth="1"/>
    <col min="1552" max="1552" width="14.28515625" style="2" bestFit="1" customWidth="1"/>
    <col min="1553" max="1553" width="12.140625" style="2" customWidth="1"/>
    <col min="1554" max="1554" width="12.5703125" style="2" customWidth="1"/>
    <col min="1555" max="1792" width="6.85546875" style="2"/>
    <col min="1793" max="1793" width="9.85546875" style="2" customWidth="1"/>
    <col min="1794" max="1794" width="12.85546875" style="2" bestFit="1" customWidth="1"/>
    <col min="1795" max="1797" width="7.28515625" style="2" customWidth="1"/>
    <col min="1798" max="1798" width="10.85546875" style="2" customWidth="1"/>
    <col min="1799" max="1800" width="16.7109375" style="2" customWidth="1"/>
    <col min="1801" max="1802" width="9.85546875" style="2" customWidth="1"/>
    <col min="1803" max="1803" width="15.5703125" style="2" customWidth="1"/>
    <col min="1804" max="1804" width="9.85546875" style="2" customWidth="1"/>
    <col min="1805" max="1805" width="10.85546875" style="2" customWidth="1"/>
    <col min="1806" max="1807" width="16.7109375" style="2" customWidth="1"/>
    <col min="1808" max="1808" width="14.28515625" style="2" bestFit="1" customWidth="1"/>
    <col min="1809" max="1809" width="12.140625" style="2" customWidth="1"/>
    <col min="1810" max="1810" width="12.5703125" style="2" customWidth="1"/>
    <col min="1811" max="2048" width="6.85546875" style="2"/>
    <col min="2049" max="2049" width="9.85546875" style="2" customWidth="1"/>
    <col min="2050" max="2050" width="12.85546875" style="2" bestFit="1" customWidth="1"/>
    <col min="2051" max="2053" width="7.28515625" style="2" customWidth="1"/>
    <col min="2054" max="2054" width="10.85546875" style="2" customWidth="1"/>
    <col min="2055" max="2056" width="16.7109375" style="2" customWidth="1"/>
    <col min="2057" max="2058" width="9.85546875" style="2" customWidth="1"/>
    <col min="2059" max="2059" width="15.5703125" style="2" customWidth="1"/>
    <col min="2060" max="2060" width="9.85546875" style="2" customWidth="1"/>
    <col min="2061" max="2061" width="10.85546875" style="2" customWidth="1"/>
    <col min="2062" max="2063" width="16.7109375" style="2" customWidth="1"/>
    <col min="2064" max="2064" width="14.28515625" style="2" bestFit="1" customWidth="1"/>
    <col min="2065" max="2065" width="12.140625" style="2" customWidth="1"/>
    <col min="2066" max="2066" width="12.5703125" style="2" customWidth="1"/>
    <col min="2067" max="2304" width="6.85546875" style="2"/>
    <col min="2305" max="2305" width="9.85546875" style="2" customWidth="1"/>
    <col min="2306" max="2306" width="12.85546875" style="2" bestFit="1" customWidth="1"/>
    <col min="2307" max="2309" width="7.28515625" style="2" customWidth="1"/>
    <col min="2310" max="2310" width="10.85546875" style="2" customWidth="1"/>
    <col min="2311" max="2312" width="16.7109375" style="2" customWidth="1"/>
    <col min="2313" max="2314" width="9.85546875" style="2" customWidth="1"/>
    <col min="2315" max="2315" width="15.5703125" style="2" customWidth="1"/>
    <col min="2316" max="2316" width="9.85546875" style="2" customWidth="1"/>
    <col min="2317" max="2317" width="10.85546875" style="2" customWidth="1"/>
    <col min="2318" max="2319" width="16.7109375" style="2" customWidth="1"/>
    <col min="2320" max="2320" width="14.28515625" style="2" bestFit="1" customWidth="1"/>
    <col min="2321" max="2321" width="12.140625" style="2" customWidth="1"/>
    <col min="2322" max="2322" width="12.5703125" style="2" customWidth="1"/>
    <col min="2323" max="2560" width="6.85546875" style="2"/>
    <col min="2561" max="2561" width="9.85546875" style="2" customWidth="1"/>
    <col min="2562" max="2562" width="12.85546875" style="2" bestFit="1" customWidth="1"/>
    <col min="2563" max="2565" width="7.28515625" style="2" customWidth="1"/>
    <col min="2566" max="2566" width="10.85546875" style="2" customWidth="1"/>
    <col min="2567" max="2568" width="16.7109375" style="2" customWidth="1"/>
    <col min="2569" max="2570" width="9.85546875" style="2" customWidth="1"/>
    <col min="2571" max="2571" width="15.5703125" style="2" customWidth="1"/>
    <col min="2572" max="2572" width="9.85546875" style="2" customWidth="1"/>
    <col min="2573" max="2573" width="10.85546875" style="2" customWidth="1"/>
    <col min="2574" max="2575" width="16.7109375" style="2" customWidth="1"/>
    <col min="2576" max="2576" width="14.28515625" style="2" bestFit="1" customWidth="1"/>
    <col min="2577" max="2577" width="12.140625" style="2" customWidth="1"/>
    <col min="2578" max="2578" width="12.5703125" style="2" customWidth="1"/>
    <col min="2579" max="2816" width="6.85546875" style="2"/>
    <col min="2817" max="2817" width="9.85546875" style="2" customWidth="1"/>
    <col min="2818" max="2818" width="12.85546875" style="2" bestFit="1" customWidth="1"/>
    <col min="2819" max="2821" width="7.28515625" style="2" customWidth="1"/>
    <col min="2822" max="2822" width="10.85546875" style="2" customWidth="1"/>
    <col min="2823" max="2824" width="16.7109375" style="2" customWidth="1"/>
    <col min="2825" max="2826" width="9.85546875" style="2" customWidth="1"/>
    <col min="2827" max="2827" width="15.5703125" style="2" customWidth="1"/>
    <col min="2828" max="2828" width="9.85546875" style="2" customWidth="1"/>
    <col min="2829" max="2829" width="10.85546875" style="2" customWidth="1"/>
    <col min="2830" max="2831" width="16.7109375" style="2" customWidth="1"/>
    <col min="2832" max="2832" width="14.28515625" style="2" bestFit="1" customWidth="1"/>
    <col min="2833" max="2833" width="12.140625" style="2" customWidth="1"/>
    <col min="2834" max="2834" width="12.5703125" style="2" customWidth="1"/>
    <col min="2835" max="3072" width="6.85546875" style="2"/>
    <col min="3073" max="3073" width="9.85546875" style="2" customWidth="1"/>
    <col min="3074" max="3074" width="12.85546875" style="2" bestFit="1" customWidth="1"/>
    <col min="3075" max="3077" width="7.28515625" style="2" customWidth="1"/>
    <col min="3078" max="3078" width="10.85546875" style="2" customWidth="1"/>
    <col min="3079" max="3080" width="16.7109375" style="2" customWidth="1"/>
    <col min="3081" max="3082" width="9.85546875" style="2" customWidth="1"/>
    <col min="3083" max="3083" width="15.5703125" style="2" customWidth="1"/>
    <col min="3084" max="3084" width="9.85546875" style="2" customWidth="1"/>
    <col min="3085" max="3085" width="10.85546875" style="2" customWidth="1"/>
    <col min="3086" max="3087" width="16.7109375" style="2" customWidth="1"/>
    <col min="3088" max="3088" width="14.28515625" style="2" bestFit="1" customWidth="1"/>
    <col min="3089" max="3089" width="12.140625" style="2" customWidth="1"/>
    <col min="3090" max="3090" width="12.5703125" style="2" customWidth="1"/>
    <col min="3091" max="3328" width="6.85546875" style="2"/>
    <col min="3329" max="3329" width="9.85546875" style="2" customWidth="1"/>
    <col min="3330" max="3330" width="12.85546875" style="2" bestFit="1" customWidth="1"/>
    <col min="3331" max="3333" width="7.28515625" style="2" customWidth="1"/>
    <col min="3334" max="3334" width="10.85546875" style="2" customWidth="1"/>
    <col min="3335" max="3336" width="16.7109375" style="2" customWidth="1"/>
    <col min="3337" max="3338" width="9.85546875" style="2" customWidth="1"/>
    <col min="3339" max="3339" width="15.5703125" style="2" customWidth="1"/>
    <col min="3340" max="3340" width="9.85546875" style="2" customWidth="1"/>
    <col min="3341" max="3341" width="10.85546875" style="2" customWidth="1"/>
    <col min="3342" max="3343" width="16.7109375" style="2" customWidth="1"/>
    <col min="3344" max="3344" width="14.28515625" style="2" bestFit="1" customWidth="1"/>
    <col min="3345" max="3345" width="12.140625" style="2" customWidth="1"/>
    <col min="3346" max="3346" width="12.5703125" style="2" customWidth="1"/>
    <col min="3347" max="3584" width="6.85546875" style="2"/>
    <col min="3585" max="3585" width="9.85546875" style="2" customWidth="1"/>
    <col min="3586" max="3586" width="12.85546875" style="2" bestFit="1" customWidth="1"/>
    <col min="3587" max="3589" width="7.28515625" style="2" customWidth="1"/>
    <col min="3590" max="3590" width="10.85546875" style="2" customWidth="1"/>
    <col min="3591" max="3592" width="16.7109375" style="2" customWidth="1"/>
    <col min="3593" max="3594" width="9.85546875" style="2" customWidth="1"/>
    <col min="3595" max="3595" width="15.5703125" style="2" customWidth="1"/>
    <col min="3596" max="3596" width="9.85546875" style="2" customWidth="1"/>
    <col min="3597" max="3597" width="10.85546875" style="2" customWidth="1"/>
    <col min="3598" max="3599" width="16.7109375" style="2" customWidth="1"/>
    <col min="3600" max="3600" width="14.28515625" style="2" bestFit="1" customWidth="1"/>
    <col min="3601" max="3601" width="12.140625" style="2" customWidth="1"/>
    <col min="3602" max="3602" width="12.5703125" style="2" customWidth="1"/>
    <col min="3603" max="3840" width="6.85546875" style="2"/>
    <col min="3841" max="3841" width="9.85546875" style="2" customWidth="1"/>
    <col min="3842" max="3842" width="12.85546875" style="2" bestFit="1" customWidth="1"/>
    <col min="3843" max="3845" width="7.28515625" style="2" customWidth="1"/>
    <col min="3846" max="3846" width="10.85546875" style="2" customWidth="1"/>
    <col min="3847" max="3848" width="16.7109375" style="2" customWidth="1"/>
    <col min="3849" max="3850" width="9.85546875" style="2" customWidth="1"/>
    <col min="3851" max="3851" width="15.5703125" style="2" customWidth="1"/>
    <col min="3852" max="3852" width="9.85546875" style="2" customWidth="1"/>
    <col min="3853" max="3853" width="10.85546875" style="2" customWidth="1"/>
    <col min="3854" max="3855" width="16.7109375" style="2" customWidth="1"/>
    <col min="3856" max="3856" width="14.28515625" style="2" bestFit="1" customWidth="1"/>
    <col min="3857" max="3857" width="12.140625" style="2" customWidth="1"/>
    <col min="3858" max="3858" width="12.5703125" style="2" customWidth="1"/>
    <col min="3859" max="4096" width="6.85546875" style="2"/>
    <col min="4097" max="4097" width="9.85546875" style="2" customWidth="1"/>
    <col min="4098" max="4098" width="12.85546875" style="2" bestFit="1" customWidth="1"/>
    <col min="4099" max="4101" width="7.28515625" style="2" customWidth="1"/>
    <col min="4102" max="4102" width="10.85546875" style="2" customWidth="1"/>
    <col min="4103" max="4104" width="16.7109375" style="2" customWidth="1"/>
    <col min="4105" max="4106" width="9.85546875" style="2" customWidth="1"/>
    <col min="4107" max="4107" width="15.5703125" style="2" customWidth="1"/>
    <col min="4108" max="4108" width="9.85546875" style="2" customWidth="1"/>
    <col min="4109" max="4109" width="10.85546875" style="2" customWidth="1"/>
    <col min="4110" max="4111" width="16.7109375" style="2" customWidth="1"/>
    <col min="4112" max="4112" width="14.28515625" style="2" bestFit="1" customWidth="1"/>
    <col min="4113" max="4113" width="12.140625" style="2" customWidth="1"/>
    <col min="4114" max="4114" width="12.5703125" style="2" customWidth="1"/>
    <col min="4115" max="4352" width="6.85546875" style="2"/>
    <col min="4353" max="4353" width="9.85546875" style="2" customWidth="1"/>
    <col min="4354" max="4354" width="12.85546875" style="2" bestFit="1" customWidth="1"/>
    <col min="4355" max="4357" width="7.28515625" style="2" customWidth="1"/>
    <col min="4358" max="4358" width="10.85546875" style="2" customWidth="1"/>
    <col min="4359" max="4360" width="16.7109375" style="2" customWidth="1"/>
    <col min="4361" max="4362" width="9.85546875" style="2" customWidth="1"/>
    <col min="4363" max="4363" width="15.5703125" style="2" customWidth="1"/>
    <col min="4364" max="4364" width="9.85546875" style="2" customWidth="1"/>
    <col min="4365" max="4365" width="10.85546875" style="2" customWidth="1"/>
    <col min="4366" max="4367" width="16.7109375" style="2" customWidth="1"/>
    <col min="4368" max="4368" width="14.28515625" style="2" bestFit="1" customWidth="1"/>
    <col min="4369" max="4369" width="12.140625" style="2" customWidth="1"/>
    <col min="4370" max="4370" width="12.5703125" style="2" customWidth="1"/>
    <col min="4371" max="4608" width="6.85546875" style="2"/>
    <col min="4609" max="4609" width="9.85546875" style="2" customWidth="1"/>
    <col min="4610" max="4610" width="12.85546875" style="2" bestFit="1" customWidth="1"/>
    <col min="4611" max="4613" width="7.28515625" style="2" customWidth="1"/>
    <col min="4614" max="4614" width="10.85546875" style="2" customWidth="1"/>
    <col min="4615" max="4616" width="16.7109375" style="2" customWidth="1"/>
    <col min="4617" max="4618" width="9.85546875" style="2" customWidth="1"/>
    <col min="4619" max="4619" width="15.5703125" style="2" customWidth="1"/>
    <col min="4620" max="4620" width="9.85546875" style="2" customWidth="1"/>
    <col min="4621" max="4621" width="10.85546875" style="2" customWidth="1"/>
    <col min="4622" max="4623" width="16.7109375" style="2" customWidth="1"/>
    <col min="4624" max="4624" width="14.28515625" style="2" bestFit="1" customWidth="1"/>
    <col min="4625" max="4625" width="12.140625" style="2" customWidth="1"/>
    <col min="4626" max="4626" width="12.5703125" style="2" customWidth="1"/>
    <col min="4627" max="4864" width="6.85546875" style="2"/>
    <col min="4865" max="4865" width="9.85546875" style="2" customWidth="1"/>
    <col min="4866" max="4866" width="12.85546875" style="2" bestFit="1" customWidth="1"/>
    <col min="4867" max="4869" width="7.28515625" style="2" customWidth="1"/>
    <col min="4870" max="4870" width="10.85546875" style="2" customWidth="1"/>
    <col min="4871" max="4872" width="16.7109375" style="2" customWidth="1"/>
    <col min="4873" max="4874" width="9.85546875" style="2" customWidth="1"/>
    <col min="4875" max="4875" width="15.5703125" style="2" customWidth="1"/>
    <col min="4876" max="4876" width="9.85546875" style="2" customWidth="1"/>
    <col min="4877" max="4877" width="10.85546875" style="2" customWidth="1"/>
    <col min="4878" max="4879" width="16.7109375" style="2" customWidth="1"/>
    <col min="4880" max="4880" width="14.28515625" style="2" bestFit="1" customWidth="1"/>
    <col min="4881" max="4881" width="12.140625" style="2" customWidth="1"/>
    <col min="4882" max="4882" width="12.5703125" style="2" customWidth="1"/>
    <col min="4883" max="5120" width="6.85546875" style="2"/>
    <col min="5121" max="5121" width="9.85546875" style="2" customWidth="1"/>
    <col min="5122" max="5122" width="12.85546875" style="2" bestFit="1" customWidth="1"/>
    <col min="5123" max="5125" width="7.28515625" style="2" customWidth="1"/>
    <col min="5126" max="5126" width="10.85546875" style="2" customWidth="1"/>
    <col min="5127" max="5128" width="16.7109375" style="2" customWidth="1"/>
    <col min="5129" max="5130" width="9.85546875" style="2" customWidth="1"/>
    <col min="5131" max="5131" width="15.5703125" style="2" customWidth="1"/>
    <col min="5132" max="5132" width="9.85546875" style="2" customWidth="1"/>
    <col min="5133" max="5133" width="10.85546875" style="2" customWidth="1"/>
    <col min="5134" max="5135" width="16.7109375" style="2" customWidth="1"/>
    <col min="5136" max="5136" width="14.28515625" style="2" bestFit="1" customWidth="1"/>
    <col min="5137" max="5137" width="12.140625" style="2" customWidth="1"/>
    <col min="5138" max="5138" width="12.5703125" style="2" customWidth="1"/>
    <col min="5139" max="5376" width="6.85546875" style="2"/>
    <col min="5377" max="5377" width="9.85546875" style="2" customWidth="1"/>
    <col min="5378" max="5378" width="12.85546875" style="2" bestFit="1" customWidth="1"/>
    <col min="5379" max="5381" width="7.28515625" style="2" customWidth="1"/>
    <col min="5382" max="5382" width="10.85546875" style="2" customWidth="1"/>
    <col min="5383" max="5384" width="16.7109375" style="2" customWidth="1"/>
    <col min="5385" max="5386" width="9.85546875" style="2" customWidth="1"/>
    <col min="5387" max="5387" width="15.5703125" style="2" customWidth="1"/>
    <col min="5388" max="5388" width="9.85546875" style="2" customWidth="1"/>
    <col min="5389" max="5389" width="10.85546875" style="2" customWidth="1"/>
    <col min="5390" max="5391" width="16.7109375" style="2" customWidth="1"/>
    <col min="5392" max="5392" width="14.28515625" style="2" bestFit="1" customWidth="1"/>
    <col min="5393" max="5393" width="12.140625" style="2" customWidth="1"/>
    <col min="5394" max="5394" width="12.5703125" style="2" customWidth="1"/>
    <col min="5395" max="5632" width="6.85546875" style="2"/>
    <col min="5633" max="5633" width="9.85546875" style="2" customWidth="1"/>
    <col min="5634" max="5634" width="12.85546875" style="2" bestFit="1" customWidth="1"/>
    <col min="5635" max="5637" width="7.28515625" style="2" customWidth="1"/>
    <col min="5638" max="5638" width="10.85546875" style="2" customWidth="1"/>
    <col min="5639" max="5640" width="16.7109375" style="2" customWidth="1"/>
    <col min="5641" max="5642" width="9.85546875" style="2" customWidth="1"/>
    <col min="5643" max="5643" width="15.5703125" style="2" customWidth="1"/>
    <col min="5644" max="5644" width="9.85546875" style="2" customWidth="1"/>
    <col min="5645" max="5645" width="10.85546875" style="2" customWidth="1"/>
    <col min="5646" max="5647" width="16.7109375" style="2" customWidth="1"/>
    <col min="5648" max="5648" width="14.28515625" style="2" bestFit="1" customWidth="1"/>
    <col min="5649" max="5649" width="12.140625" style="2" customWidth="1"/>
    <col min="5650" max="5650" width="12.5703125" style="2" customWidth="1"/>
    <col min="5651" max="5888" width="6.85546875" style="2"/>
    <col min="5889" max="5889" width="9.85546875" style="2" customWidth="1"/>
    <col min="5890" max="5890" width="12.85546875" style="2" bestFit="1" customWidth="1"/>
    <col min="5891" max="5893" width="7.28515625" style="2" customWidth="1"/>
    <col min="5894" max="5894" width="10.85546875" style="2" customWidth="1"/>
    <col min="5895" max="5896" width="16.7109375" style="2" customWidth="1"/>
    <col min="5897" max="5898" width="9.85546875" style="2" customWidth="1"/>
    <col min="5899" max="5899" width="15.5703125" style="2" customWidth="1"/>
    <col min="5900" max="5900" width="9.85546875" style="2" customWidth="1"/>
    <col min="5901" max="5901" width="10.85546875" style="2" customWidth="1"/>
    <col min="5902" max="5903" width="16.7109375" style="2" customWidth="1"/>
    <col min="5904" max="5904" width="14.28515625" style="2" bestFit="1" customWidth="1"/>
    <col min="5905" max="5905" width="12.140625" style="2" customWidth="1"/>
    <col min="5906" max="5906" width="12.5703125" style="2" customWidth="1"/>
    <col min="5907" max="6144" width="6.85546875" style="2"/>
    <col min="6145" max="6145" width="9.85546875" style="2" customWidth="1"/>
    <col min="6146" max="6146" width="12.85546875" style="2" bestFit="1" customWidth="1"/>
    <col min="6147" max="6149" width="7.28515625" style="2" customWidth="1"/>
    <col min="6150" max="6150" width="10.85546875" style="2" customWidth="1"/>
    <col min="6151" max="6152" width="16.7109375" style="2" customWidth="1"/>
    <col min="6153" max="6154" width="9.85546875" style="2" customWidth="1"/>
    <col min="6155" max="6155" width="15.5703125" style="2" customWidth="1"/>
    <col min="6156" max="6156" width="9.85546875" style="2" customWidth="1"/>
    <col min="6157" max="6157" width="10.85546875" style="2" customWidth="1"/>
    <col min="6158" max="6159" width="16.7109375" style="2" customWidth="1"/>
    <col min="6160" max="6160" width="14.28515625" style="2" bestFit="1" customWidth="1"/>
    <col min="6161" max="6161" width="12.140625" style="2" customWidth="1"/>
    <col min="6162" max="6162" width="12.5703125" style="2" customWidth="1"/>
    <col min="6163" max="6400" width="6.85546875" style="2"/>
    <col min="6401" max="6401" width="9.85546875" style="2" customWidth="1"/>
    <col min="6402" max="6402" width="12.85546875" style="2" bestFit="1" customWidth="1"/>
    <col min="6403" max="6405" width="7.28515625" style="2" customWidth="1"/>
    <col min="6406" max="6406" width="10.85546875" style="2" customWidth="1"/>
    <col min="6407" max="6408" width="16.7109375" style="2" customWidth="1"/>
    <col min="6409" max="6410" width="9.85546875" style="2" customWidth="1"/>
    <col min="6411" max="6411" width="15.5703125" style="2" customWidth="1"/>
    <col min="6412" max="6412" width="9.85546875" style="2" customWidth="1"/>
    <col min="6413" max="6413" width="10.85546875" style="2" customWidth="1"/>
    <col min="6414" max="6415" width="16.7109375" style="2" customWidth="1"/>
    <col min="6416" max="6416" width="14.28515625" style="2" bestFit="1" customWidth="1"/>
    <col min="6417" max="6417" width="12.140625" style="2" customWidth="1"/>
    <col min="6418" max="6418" width="12.5703125" style="2" customWidth="1"/>
    <col min="6419" max="6656" width="6.85546875" style="2"/>
    <col min="6657" max="6657" width="9.85546875" style="2" customWidth="1"/>
    <col min="6658" max="6658" width="12.85546875" style="2" bestFit="1" customWidth="1"/>
    <col min="6659" max="6661" width="7.28515625" style="2" customWidth="1"/>
    <col min="6662" max="6662" width="10.85546875" style="2" customWidth="1"/>
    <col min="6663" max="6664" width="16.7109375" style="2" customWidth="1"/>
    <col min="6665" max="6666" width="9.85546875" style="2" customWidth="1"/>
    <col min="6667" max="6667" width="15.5703125" style="2" customWidth="1"/>
    <col min="6668" max="6668" width="9.85546875" style="2" customWidth="1"/>
    <col min="6669" max="6669" width="10.85546875" style="2" customWidth="1"/>
    <col min="6670" max="6671" width="16.7109375" style="2" customWidth="1"/>
    <col min="6672" max="6672" width="14.28515625" style="2" bestFit="1" customWidth="1"/>
    <col min="6673" max="6673" width="12.140625" style="2" customWidth="1"/>
    <col min="6674" max="6674" width="12.5703125" style="2" customWidth="1"/>
    <col min="6675" max="6912" width="6.85546875" style="2"/>
    <col min="6913" max="6913" width="9.85546875" style="2" customWidth="1"/>
    <col min="6914" max="6914" width="12.85546875" style="2" bestFit="1" customWidth="1"/>
    <col min="6915" max="6917" width="7.28515625" style="2" customWidth="1"/>
    <col min="6918" max="6918" width="10.85546875" style="2" customWidth="1"/>
    <col min="6919" max="6920" width="16.7109375" style="2" customWidth="1"/>
    <col min="6921" max="6922" width="9.85546875" style="2" customWidth="1"/>
    <col min="6923" max="6923" width="15.5703125" style="2" customWidth="1"/>
    <col min="6924" max="6924" width="9.85546875" style="2" customWidth="1"/>
    <col min="6925" max="6925" width="10.85546875" style="2" customWidth="1"/>
    <col min="6926" max="6927" width="16.7109375" style="2" customWidth="1"/>
    <col min="6928" max="6928" width="14.28515625" style="2" bestFit="1" customWidth="1"/>
    <col min="6929" max="6929" width="12.140625" style="2" customWidth="1"/>
    <col min="6930" max="6930" width="12.5703125" style="2" customWidth="1"/>
    <col min="6931" max="7168" width="6.85546875" style="2"/>
    <col min="7169" max="7169" width="9.85546875" style="2" customWidth="1"/>
    <col min="7170" max="7170" width="12.85546875" style="2" bestFit="1" customWidth="1"/>
    <col min="7171" max="7173" width="7.28515625" style="2" customWidth="1"/>
    <col min="7174" max="7174" width="10.85546875" style="2" customWidth="1"/>
    <col min="7175" max="7176" width="16.7109375" style="2" customWidth="1"/>
    <col min="7177" max="7178" width="9.85546875" style="2" customWidth="1"/>
    <col min="7179" max="7179" width="15.5703125" style="2" customWidth="1"/>
    <col min="7180" max="7180" width="9.85546875" style="2" customWidth="1"/>
    <col min="7181" max="7181" width="10.85546875" style="2" customWidth="1"/>
    <col min="7182" max="7183" width="16.7109375" style="2" customWidth="1"/>
    <col min="7184" max="7184" width="14.28515625" style="2" bestFit="1" customWidth="1"/>
    <col min="7185" max="7185" width="12.140625" style="2" customWidth="1"/>
    <col min="7186" max="7186" width="12.5703125" style="2" customWidth="1"/>
    <col min="7187" max="7424" width="6.85546875" style="2"/>
    <col min="7425" max="7425" width="9.85546875" style="2" customWidth="1"/>
    <col min="7426" max="7426" width="12.85546875" style="2" bestFit="1" customWidth="1"/>
    <col min="7427" max="7429" width="7.28515625" style="2" customWidth="1"/>
    <col min="7430" max="7430" width="10.85546875" style="2" customWidth="1"/>
    <col min="7431" max="7432" width="16.7109375" style="2" customWidth="1"/>
    <col min="7433" max="7434" width="9.85546875" style="2" customWidth="1"/>
    <col min="7435" max="7435" width="15.5703125" style="2" customWidth="1"/>
    <col min="7436" max="7436" width="9.85546875" style="2" customWidth="1"/>
    <col min="7437" max="7437" width="10.85546875" style="2" customWidth="1"/>
    <col min="7438" max="7439" width="16.7109375" style="2" customWidth="1"/>
    <col min="7440" max="7440" width="14.28515625" style="2" bestFit="1" customWidth="1"/>
    <col min="7441" max="7441" width="12.140625" style="2" customWidth="1"/>
    <col min="7442" max="7442" width="12.5703125" style="2" customWidth="1"/>
    <col min="7443" max="7680" width="6.85546875" style="2"/>
    <col min="7681" max="7681" width="9.85546875" style="2" customWidth="1"/>
    <col min="7682" max="7682" width="12.85546875" style="2" bestFit="1" customWidth="1"/>
    <col min="7683" max="7685" width="7.28515625" style="2" customWidth="1"/>
    <col min="7686" max="7686" width="10.85546875" style="2" customWidth="1"/>
    <col min="7687" max="7688" width="16.7109375" style="2" customWidth="1"/>
    <col min="7689" max="7690" width="9.85546875" style="2" customWidth="1"/>
    <col min="7691" max="7691" width="15.5703125" style="2" customWidth="1"/>
    <col min="7692" max="7692" width="9.85546875" style="2" customWidth="1"/>
    <col min="7693" max="7693" width="10.85546875" style="2" customWidth="1"/>
    <col min="7694" max="7695" width="16.7109375" style="2" customWidth="1"/>
    <col min="7696" max="7696" width="14.28515625" style="2" bestFit="1" customWidth="1"/>
    <col min="7697" max="7697" width="12.140625" style="2" customWidth="1"/>
    <col min="7698" max="7698" width="12.5703125" style="2" customWidth="1"/>
    <col min="7699" max="7936" width="6.85546875" style="2"/>
    <col min="7937" max="7937" width="9.85546875" style="2" customWidth="1"/>
    <col min="7938" max="7938" width="12.85546875" style="2" bestFit="1" customWidth="1"/>
    <col min="7939" max="7941" width="7.28515625" style="2" customWidth="1"/>
    <col min="7942" max="7942" width="10.85546875" style="2" customWidth="1"/>
    <col min="7943" max="7944" width="16.7109375" style="2" customWidth="1"/>
    <col min="7945" max="7946" width="9.85546875" style="2" customWidth="1"/>
    <col min="7947" max="7947" width="15.5703125" style="2" customWidth="1"/>
    <col min="7948" max="7948" width="9.85546875" style="2" customWidth="1"/>
    <col min="7949" max="7949" width="10.85546875" style="2" customWidth="1"/>
    <col min="7950" max="7951" width="16.7109375" style="2" customWidth="1"/>
    <col min="7952" max="7952" width="14.28515625" style="2" bestFit="1" customWidth="1"/>
    <col min="7953" max="7953" width="12.140625" style="2" customWidth="1"/>
    <col min="7954" max="7954" width="12.5703125" style="2" customWidth="1"/>
    <col min="7955" max="8192" width="6.85546875" style="2"/>
    <col min="8193" max="8193" width="9.85546875" style="2" customWidth="1"/>
    <col min="8194" max="8194" width="12.85546875" style="2" bestFit="1" customWidth="1"/>
    <col min="8195" max="8197" width="7.28515625" style="2" customWidth="1"/>
    <col min="8198" max="8198" width="10.85546875" style="2" customWidth="1"/>
    <col min="8199" max="8200" width="16.7109375" style="2" customWidth="1"/>
    <col min="8201" max="8202" width="9.85546875" style="2" customWidth="1"/>
    <col min="8203" max="8203" width="15.5703125" style="2" customWidth="1"/>
    <col min="8204" max="8204" width="9.85546875" style="2" customWidth="1"/>
    <col min="8205" max="8205" width="10.85546875" style="2" customWidth="1"/>
    <col min="8206" max="8207" width="16.7109375" style="2" customWidth="1"/>
    <col min="8208" max="8208" width="14.28515625" style="2" bestFit="1" customWidth="1"/>
    <col min="8209" max="8209" width="12.140625" style="2" customWidth="1"/>
    <col min="8210" max="8210" width="12.5703125" style="2" customWidth="1"/>
    <col min="8211" max="8448" width="6.85546875" style="2"/>
    <col min="8449" max="8449" width="9.85546875" style="2" customWidth="1"/>
    <col min="8450" max="8450" width="12.85546875" style="2" bestFit="1" customWidth="1"/>
    <col min="8451" max="8453" width="7.28515625" style="2" customWidth="1"/>
    <col min="8454" max="8454" width="10.85546875" style="2" customWidth="1"/>
    <col min="8455" max="8456" width="16.7109375" style="2" customWidth="1"/>
    <col min="8457" max="8458" width="9.85546875" style="2" customWidth="1"/>
    <col min="8459" max="8459" width="15.5703125" style="2" customWidth="1"/>
    <col min="8460" max="8460" width="9.85546875" style="2" customWidth="1"/>
    <col min="8461" max="8461" width="10.85546875" style="2" customWidth="1"/>
    <col min="8462" max="8463" width="16.7109375" style="2" customWidth="1"/>
    <col min="8464" max="8464" width="14.28515625" style="2" bestFit="1" customWidth="1"/>
    <col min="8465" max="8465" width="12.140625" style="2" customWidth="1"/>
    <col min="8466" max="8466" width="12.5703125" style="2" customWidth="1"/>
    <col min="8467" max="8704" width="6.85546875" style="2"/>
    <col min="8705" max="8705" width="9.85546875" style="2" customWidth="1"/>
    <col min="8706" max="8706" width="12.85546875" style="2" bestFit="1" customWidth="1"/>
    <col min="8707" max="8709" width="7.28515625" style="2" customWidth="1"/>
    <col min="8710" max="8710" width="10.85546875" style="2" customWidth="1"/>
    <col min="8711" max="8712" width="16.7109375" style="2" customWidth="1"/>
    <col min="8713" max="8714" width="9.85546875" style="2" customWidth="1"/>
    <col min="8715" max="8715" width="15.5703125" style="2" customWidth="1"/>
    <col min="8716" max="8716" width="9.85546875" style="2" customWidth="1"/>
    <col min="8717" max="8717" width="10.85546875" style="2" customWidth="1"/>
    <col min="8718" max="8719" width="16.7109375" style="2" customWidth="1"/>
    <col min="8720" max="8720" width="14.28515625" style="2" bestFit="1" customWidth="1"/>
    <col min="8721" max="8721" width="12.140625" style="2" customWidth="1"/>
    <col min="8722" max="8722" width="12.5703125" style="2" customWidth="1"/>
    <col min="8723" max="8960" width="6.85546875" style="2"/>
    <col min="8961" max="8961" width="9.85546875" style="2" customWidth="1"/>
    <col min="8962" max="8962" width="12.85546875" style="2" bestFit="1" customWidth="1"/>
    <col min="8963" max="8965" width="7.28515625" style="2" customWidth="1"/>
    <col min="8966" max="8966" width="10.85546875" style="2" customWidth="1"/>
    <col min="8967" max="8968" width="16.7109375" style="2" customWidth="1"/>
    <col min="8969" max="8970" width="9.85546875" style="2" customWidth="1"/>
    <col min="8971" max="8971" width="15.5703125" style="2" customWidth="1"/>
    <col min="8972" max="8972" width="9.85546875" style="2" customWidth="1"/>
    <col min="8973" max="8973" width="10.85546875" style="2" customWidth="1"/>
    <col min="8974" max="8975" width="16.7109375" style="2" customWidth="1"/>
    <col min="8976" max="8976" width="14.28515625" style="2" bestFit="1" customWidth="1"/>
    <col min="8977" max="8977" width="12.140625" style="2" customWidth="1"/>
    <col min="8978" max="8978" width="12.5703125" style="2" customWidth="1"/>
    <col min="8979" max="9216" width="6.85546875" style="2"/>
    <col min="9217" max="9217" width="9.85546875" style="2" customWidth="1"/>
    <col min="9218" max="9218" width="12.85546875" style="2" bestFit="1" customWidth="1"/>
    <col min="9219" max="9221" width="7.28515625" style="2" customWidth="1"/>
    <col min="9222" max="9222" width="10.85546875" style="2" customWidth="1"/>
    <col min="9223" max="9224" width="16.7109375" style="2" customWidth="1"/>
    <col min="9225" max="9226" width="9.85546875" style="2" customWidth="1"/>
    <col min="9227" max="9227" width="15.5703125" style="2" customWidth="1"/>
    <col min="9228" max="9228" width="9.85546875" style="2" customWidth="1"/>
    <col min="9229" max="9229" width="10.85546875" style="2" customWidth="1"/>
    <col min="9230" max="9231" width="16.7109375" style="2" customWidth="1"/>
    <col min="9232" max="9232" width="14.28515625" style="2" bestFit="1" customWidth="1"/>
    <col min="9233" max="9233" width="12.140625" style="2" customWidth="1"/>
    <col min="9234" max="9234" width="12.5703125" style="2" customWidth="1"/>
    <col min="9235" max="9472" width="6.85546875" style="2"/>
    <col min="9473" max="9473" width="9.85546875" style="2" customWidth="1"/>
    <col min="9474" max="9474" width="12.85546875" style="2" bestFit="1" customWidth="1"/>
    <col min="9475" max="9477" width="7.28515625" style="2" customWidth="1"/>
    <col min="9478" max="9478" width="10.85546875" style="2" customWidth="1"/>
    <col min="9479" max="9480" width="16.7109375" style="2" customWidth="1"/>
    <col min="9481" max="9482" width="9.85546875" style="2" customWidth="1"/>
    <col min="9483" max="9483" width="15.5703125" style="2" customWidth="1"/>
    <col min="9484" max="9484" width="9.85546875" style="2" customWidth="1"/>
    <col min="9485" max="9485" width="10.85546875" style="2" customWidth="1"/>
    <col min="9486" max="9487" width="16.7109375" style="2" customWidth="1"/>
    <col min="9488" max="9488" width="14.28515625" style="2" bestFit="1" customWidth="1"/>
    <col min="9489" max="9489" width="12.140625" style="2" customWidth="1"/>
    <col min="9490" max="9490" width="12.5703125" style="2" customWidth="1"/>
    <col min="9491" max="9728" width="6.85546875" style="2"/>
    <col min="9729" max="9729" width="9.85546875" style="2" customWidth="1"/>
    <col min="9730" max="9730" width="12.85546875" style="2" bestFit="1" customWidth="1"/>
    <col min="9731" max="9733" width="7.28515625" style="2" customWidth="1"/>
    <col min="9734" max="9734" width="10.85546875" style="2" customWidth="1"/>
    <col min="9735" max="9736" width="16.7109375" style="2" customWidth="1"/>
    <col min="9737" max="9738" width="9.85546875" style="2" customWidth="1"/>
    <col min="9739" max="9739" width="15.5703125" style="2" customWidth="1"/>
    <col min="9740" max="9740" width="9.85546875" style="2" customWidth="1"/>
    <col min="9741" max="9741" width="10.85546875" style="2" customWidth="1"/>
    <col min="9742" max="9743" width="16.7109375" style="2" customWidth="1"/>
    <col min="9744" max="9744" width="14.28515625" style="2" bestFit="1" customWidth="1"/>
    <col min="9745" max="9745" width="12.140625" style="2" customWidth="1"/>
    <col min="9746" max="9746" width="12.5703125" style="2" customWidth="1"/>
    <col min="9747" max="9984" width="6.85546875" style="2"/>
    <col min="9985" max="9985" width="9.85546875" style="2" customWidth="1"/>
    <col min="9986" max="9986" width="12.85546875" style="2" bestFit="1" customWidth="1"/>
    <col min="9987" max="9989" width="7.28515625" style="2" customWidth="1"/>
    <col min="9990" max="9990" width="10.85546875" style="2" customWidth="1"/>
    <col min="9991" max="9992" width="16.7109375" style="2" customWidth="1"/>
    <col min="9993" max="9994" width="9.85546875" style="2" customWidth="1"/>
    <col min="9995" max="9995" width="15.5703125" style="2" customWidth="1"/>
    <col min="9996" max="9996" width="9.85546875" style="2" customWidth="1"/>
    <col min="9997" max="9997" width="10.85546875" style="2" customWidth="1"/>
    <col min="9998" max="9999" width="16.7109375" style="2" customWidth="1"/>
    <col min="10000" max="10000" width="14.28515625" style="2" bestFit="1" customWidth="1"/>
    <col min="10001" max="10001" width="12.140625" style="2" customWidth="1"/>
    <col min="10002" max="10002" width="12.5703125" style="2" customWidth="1"/>
    <col min="10003" max="10240" width="6.85546875" style="2"/>
    <col min="10241" max="10241" width="9.85546875" style="2" customWidth="1"/>
    <col min="10242" max="10242" width="12.85546875" style="2" bestFit="1" customWidth="1"/>
    <col min="10243" max="10245" width="7.28515625" style="2" customWidth="1"/>
    <col min="10246" max="10246" width="10.85546875" style="2" customWidth="1"/>
    <col min="10247" max="10248" width="16.7109375" style="2" customWidth="1"/>
    <col min="10249" max="10250" width="9.85546875" style="2" customWidth="1"/>
    <col min="10251" max="10251" width="15.5703125" style="2" customWidth="1"/>
    <col min="10252" max="10252" width="9.85546875" style="2" customWidth="1"/>
    <col min="10253" max="10253" width="10.85546875" style="2" customWidth="1"/>
    <col min="10254" max="10255" width="16.7109375" style="2" customWidth="1"/>
    <col min="10256" max="10256" width="14.28515625" style="2" bestFit="1" customWidth="1"/>
    <col min="10257" max="10257" width="12.140625" style="2" customWidth="1"/>
    <col min="10258" max="10258" width="12.5703125" style="2" customWidth="1"/>
    <col min="10259" max="10496" width="6.85546875" style="2"/>
    <col min="10497" max="10497" width="9.85546875" style="2" customWidth="1"/>
    <col min="10498" max="10498" width="12.85546875" style="2" bestFit="1" customWidth="1"/>
    <col min="10499" max="10501" width="7.28515625" style="2" customWidth="1"/>
    <col min="10502" max="10502" width="10.85546875" style="2" customWidth="1"/>
    <col min="10503" max="10504" width="16.7109375" style="2" customWidth="1"/>
    <col min="10505" max="10506" width="9.85546875" style="2" customWidth="1"/>
    <col min="10507" max="10507" width="15.5703125" style="2" customWidth="1"/>
    <col min="10508" max="10508" width="9.85546875" style="2" customWidth="1"/>
    <col min="10509" max="10509" width="10.85546875" style="2" customWidth="1"/>
    <col min="10510" max="10511" width="16.7109375" style="2" customWidth="1"/>
    <col min="10512" max="10512" width="14.28515625" style="2" bestFit="1" customWidth="1"/>
    <col min="10513" max="10513" width="12.140625" style="2" customWidth="1"/>
    <col min="10514" max="10514" width="12.5703125" style="2" customWidth="1"/>
    <col min="10515" max="10752" width="6.85546875" style="2"/>
    <col min="10753" max="10753" width="9.85546875" style="2" customWidth="1"/>
    <col min="10754" max="10754" width="12.85546875" style="2" bestFit="1" customWidth="1"/>
    <col min="10755" max="10757" width="7.28515625" style="2" customWidth="1"/>
    <col min="10758" max="10758" width="10.85546875" style="2" customWidth="1"/>
    <col min="10759" max="10760" width="16.7109375" style="2" customWidth="1"/>
    <col min="10761" max="10762" width="9.85546875" style="2" customWidth="1"/>
    <col min="10763" max="10763" width="15.5703125" style="2" customWidth="1"/>
    <col min="10764" max="10764" width="9.85546875" style="2" customWidth="1"/>
    <col min="10765" max="10765" width="10.85546875" style="2" customWidth="1"/>
    <col min="10766" max="10767" width="16.7109375" style="2" customWidth="1"/>
    <col min="10768" max="10768" width="14.28515625" style="2" bestFit="1" customWidth="1"/>
    <col min="10769" max="10769" width="12.140625" style="2" customWidth="1"/>
    <col min="10770" max="10770" width="12.5703125" style="2" customWidth="1"/>
    <col min="10771" max="11008" width="6.85546875" style="2"/>
    <col min="11009" max="11009" width="9.85546875" style="2" customWidth="1"/>
    <col min="11010" max="11010" width="12.85546875" style="2" bestFit="1" customWidth="1"/>
    <col min="11011" max="11013" width="7.28515625" style="2" customWidth="1"/>
    <col min="11014" max="11014" width="10.85546875" style="2" customWidth="1"/>
    <col min="11015" max="11016" width="16.7109375" style="2" customWidth="1"/>
    <col min="11017" max="11018" width="9.85546875" style="2" customWidth="1"/>
    <col min="11019" max="11019" width="15.5703125" style="2" customWidth="1"/>
    <col min="11020" max="11020" width="9.85546875" style="2" customWidth="1"/>
    <col min="11021" max="11021" width="10.85546875" style="2" customWidth="1"/>
    <col min="11022" max="11023" width="16.7109375" style="2" customWidth="1"/>
    <col min="11024" max="11024" width="14.28515625" style="2" bestFit="1" customWidth="1"/>
    <col min="11025" max="11025" width="12.140625" style="2" customWidth="1"/>
    <col min="11026" max="11026" width="12.5703125" style="2" customWidth="1"/>
    <col min="11027" max="11264" width="6.85546875" style="2"/>
    <col min="11265" max="11265" width="9.85546875" style="2" customWidth="1"/>
    <col min="11266" max="11266" width="12.85546875" style="2" bestFit="1" customWidth="1"/>
    <col min="11267" max="11269" width="7.28515625" style="2" customWidth="1"/>
    <col min="11270" max="11270" width="10.85546875" style="2" customWidth="1"/>
    <col min="11271" max="11272" width="16.7109375" style="2" customWidth="1"/>
    <col min="11273" max="11274" width="9.85546875" style="2" customWidth="1"/>
    <col min="11275" max="11275" width="15.5703125" style="2" customWidth="1"/>
    <col min="11276" max="11276" width="9.85546875" style="2" customWidth="1"/>
    <col min="11277" max="11277" width="10.85546875" style="2" customWidth="1"/>
    <col min="11278" max="11279" width="16.7109375" style="2" customWidth="1"/>
    <col min="11280" max="11280" width="14.28515625" style="2" bestFit="1" customWidth="1"/>
    <col min="11281" max="11281" width="12.140625" style="2" customWidth="1"/>
    <col min="11282" max="11282" width="12.5703125" style="2" customWidth="1"/>
    <col min="11283" max="11520" width="6.85546875" style="2"/>
    <col min="11521" max="11521" width="9.85546875" style="2" customWidth="1"/>
    <col min="11522" max="11522" width="12.85546875" style="2" bestFit="1" customWidth="1"/>
    <col min="11523" max="11525" width="7.28515625" style="2" customWidth="1"/>
    <col min="11526" max="11526" width="10.85546875" style="2" customWidth="1"/>
    <col min="11527" max="11528" width="16.7109375" style="2" customWidth="1"/>
    <col min="11529" max="11530" width="9.85546875" style="2" customWidth="1"/>
    <col min="11531" max="11531" width="15.5703125" style="2" customWidth="1"/>
    <col min="11532" max="11532" width="9.85546875" style="2" customWidth="1"/>
    <col min="11533" max="11533" width="10.85546875" style="2" customWidth="1"/>
    <col min="11534" max="11535" width="16.7109375" style="2" customWidth="1"/>
    <col min="11536" max="11536" width="14.28515625" style="2" bestFit="1" customWidth="1"/>
    <col min="11537" max="11537" width="12.140625" style="2" customWidth="1"/>
    <col min="11538" max="11538" width="12.5703125" style="2" customWidth="1"/>
    <col min="11539" max="11776" width="6.85546875" style="2"/>
    <col min="11777" max="11777" width="9.85546875" style="2" customWidth="1"/>
    <col min="11778" max="11778" width="12.85546875" style="2" bestFit="1" customWidth="1"/>
    <col min="11779" max="11781" width="7.28515625" style="2" customWidth="1"/>
    <col min="11782" max="11782" width="10.85546875" style="2" customWidth="1"/>
    <col min="11783" max="11784" width="16.7109375" style="2" customWidth="1"/>
    <col min="11785" max="11786" width="9.85546875" style="2" customWidth="1"/>
    <col min="11787" max="11787" width="15.5703125" style="2" customWidth="1"/>
    <col min="11788" max="11788" width="9.85546875" style="2" customWidth="1"/>
    <col min="11789" max="11789" width="10.85546875" style="2" customWidth="1"/>
    <col min="11790" max="11791" width="16.7109375" style="2" customWidth="1"/>
    <col min="11792" max="11792" width="14.28515625" style="2" bestFit="1" customWidth="1"/>
    <col min="11793" max="11793" width="12.140625" style="2" customWidth="1"/>
    <col min="11794" max="11794" width="12.5703125" style="2" customWidth="1"/>
    <col min="11795" max="12032" width="6.85546875" style="2"/>
    <col min="12033" max="12033" width="9.85546875" style="2" customWidth="1"/>
    <col min="12034" max="12034" width="12.85546875" style="2" bestFit="1" customWidth="1"/>
    <col min="12035" max="12037" width="7.28515625" style="2" customWidth="1"/>
    <col min="12038" max="12038" width="10.85546875" style="2" customWidth="1"/>
    <col min="12039" max="12040" width="16.7109375" style="2" customWidth="1"/>
    <col min="12041" max="12042" width="9.85546875" style="2" customWidth="1"/>
    <col min="12043" max="12043" width="15.5703125" style="2" customWidth="1"/>
    <col min="12044" max="12044" width="9.85546875" style="2" customWidth="1"/>
    <col min="12045" max="12045" width="10.85546875" style="2" customWidth="1"/>
    <col min="12046" max="12047" width="16.7109375" style="2" customWidth="1"/>
    <col min="12048" max="12048" width="14.28515625" style="2" bestFit="1" customWidth="1"/>
    <col min="12049" max="12049" width="12.140625" style="2" customWidth="1"/>
    <col min="12050" max="12050" width="12.5703125" style="2" customWidth="1"/>
    <col min="12051" max="12288" width="6.85546875" style="2"/>
    <col min="12289" max="12289" width="9.85546875" style="2" customWidth="1"/>
    <col min="12290" max="12290" width="12.85546875" style="2" bestFit="1" customWidth="1"/>
    <col min="12291" max="12293" width="7.28515625" style="2" customWidth="1"/>
    <col min="12294" max="12294" width="10.85546875" style="2" customWidth="1"/>
    <col min="12295" max="12296" width="16.7109375" style="2" customWidth="1"/>
    <col min="12297" max="12298" width="9.85546875" style="2" customWidth="1"/>
    <col min="12299" max="12299" width="15.5703125" style="2" customWidth="1"/>
    <col min="12300" max="12300" width="9.85546875" style="2" customWidth="1"/>
    <col min="12301" max="12301" width="10.85546875" style="2" customWidth="1"/>
    <col min="12302" max="12303" width="16.7109375" style="2" customWidth="1"/>
    <col min="12304" max="12304" width="14.28515625" style="2" bestFit="1" customWidth="1"/>
    <col min="12305" max="12305" width="12.140625" style="2" customWidth="1"/>
    <col min="12306" max="12306" width="12.5703125" style="2" customWidth="1"/>
    <col min="12307" max="12544" width="6.85546875" style="2"/>
    <col min="12545" max="12545" width="9.85546875" style="2" customWidth="1"/>
    <col min="12546" max="12546" width="12.85546875" style="2" bestFit="1" customWidth="1"/>
    <col min="12547" max="12549" width="7.28515625" style="2" customWidth="1"/>
    <col min="12550" max="12550" width="10.85546875" style="2" customWidth="1"/>
    <col min="12551" max="12552" width="16.7109375" style="2" customWidth="1"/>
    <col min="12553" max="12554" width="9.85546875" style="2" customWidth="1"/>
    <col min="12555" max="12555" width="15.5703125" style="2" customWidth="1"/>
    <col min="12556" max="12556" width="9.85546875" style="2" customWidth="1"/>
    <col min="12557" max="12557" width="10.85546875" style="2" customWidth="1"/>
    <col min="12558" max="12559" width="16.7109375" style="2" customWidth="1"/>
    <col min="12560" max="12560" width="14.28515625" style="2" bestFit="1" customWidth="1"/>
    <col min="12561" max="12561" width="12.140625" style="2" customWidth="1"/>
    <col min="12562" max="12562" width="12.5703125" style="2" customWidth="1"/>
    <col min="12563" max="12800" width="6.85546875" style="2"/>
    <col min="12801" max="12801" width="9.85546875" style="2" customWidth="1"/>
    <col min="12802" max="12802" width="12.85546875" style="2" bestFit="1" customWidth="1"/>
    <col min="12803" max="12805" width="7.28515625" style="2" customWidth="1"/>
    <col min="12806" max="12806" width="10.85546875" style="2" customWidth="1"/>
    <col min="12807" max="12808" width="16.7109375" style="2" customWidth="1"/>
    <col min="12809" max="12810" width="9.85546875" style="2" customWidth="1"/>
    <col min="12811" max="12811" width="15.5703125" style="2" customWidth="1"/>
    <col min="12812" max="12812" width="9.85546875" style="2" customWidth="1"/>
    <col min="12813" max="12813" width="10.85546875" style="2" customWidth="1"/>
    <col min="12814" max="12815" width="16.7109375" style="2" customWidth="1"/>
    <col min="12816" max="12816" width="14.28515625" style="2" bestFit="1" customWidth="1"/>
    <col min="12817" max="12817" width="12.140625" style="2" customWidth="1"/>
    <col min="12818" max="12818" width="12.5703125" style="2" customWidth="1"/>
    <col min="12819" max="13056" width="6.85546875" style="2"/>
    <col min="13057" max="13057" width="9.85546875" style="2" customWidth="1"/>
    <col min="13058" max="13058" width="12.85546875" style="2" bestFit="1" customWidth="1"/>
    <col min="13059" max="13061" width="7.28515625" style="2" customWidth="1"/>
    <col min="13062" max="13062" width="10.85546875" style="2" customWidth="1"/>
    <col min="13063" max="13064" width="16.7109375" style="2" customWidth="1"/>
    <col min="13065" max="13066" width="9.85546875" style="2" customWidth="1"/>
    <col min="13067" max="13067" width="15.5703125" style="2" customWidth="1"/>
    <col min="13068" max="13068" width="9.85546875" style="2" customWidth="1"/>
    <col min="13069" max="13069" width="10.85546875" style="2" customWidth="1"/>
    <col min="13070" max="13071" width="16.7109375" style="2" customWidth="1"/>
    <col min="13072" max="13072" width="14.28515625" style="2" bestFit="1" customWidth="1"/>
    <col min="13073" max="13073" width="12.140625" style="2" customWidth="1"/>
    <col min="13074" max="13074" width="12.5703125" style="2" customWidth="1"/>
    <col min="13075" max="13312" width="6.85546875" style="2"/>
    <col min="13313" max="13313" width="9.85546875" style="2" customWidth="1"/>
    <col min="13314" max="13314" width="12.85546875" style="2" bestFit="1" customWidth="1"/>
    <col min="13315" max="13317" width="7.28515625" style="2" customWidth="1"/>
    <col min="13318" max="13318" width="10.85546875" style="2" customWidth="1"/>
    <col min="13319" max="13320" width="16.7109375" style="2" customWidth="1"/>
    <col min="13321" max="13322" width="9.85546875" style="2" customWidth="1"/>
    <col min="13323" max="13323" width="15.5703125" style="2" customWidth="1"/>
    <col min="13324" max="13324" width="9.85546875" style="2" customWidth="1"/>
    <col min="13325" max="13325" width="10.85546875" style="2" customWidth="1"/>
    <col min="13326" max="13327" width="16.7109375" style="2" customWidth="1"/>
    <col min="13328" max="13328" width="14.28515625" style="2" bestFit="1" customWidth="1"/>
    <col min="13329" max="13329" width="12.140625" style="2" customWidth="1"/>
    <col min="13330" max="13330" width="12.5703125" style="2" customWidth="1"/>
    <col min="13331" max="13568" width="6.85546875" style="2"/>
    <col min="13569" max="13569" width="9.85546875" style="2" customWidth="1"/>
    <col min="13570" max="13570" width="12.85546875" style="2" bestFit="1" customWidth="1"/>
    <col min="13571" max="13573" width="7.28515625" style="2" customWidth="1"/>
    <col min="13574" max="13574" width="10.85546875" style="2" customWidth="1"/>
    <col min="13575" max="13576" width="16.7109375" style="2" customWidth="1"/>
    <col min="13577" max="13578" width="9.85546875" style="2" customWidth="1"/>
    <col min="13579" max="13579" width="15.5703125" style="2" customWidth="1"/>
    <col min="13580" max="13580" width="9.85546875" style="2" customWidth="1"/>
    <col min="13581" max="13581" width="10.85546875" style="2" customWidth="1"/>
    <col min="13582" max="13583" width="16.7109375" style="2" customWidth="1"/>
    <col min="13584" max="13584" width="14.28515625" style="2" bestFit="1" customWidth="1"/>
    <col min="13585" max="13585" width="12.140625" style="2" customWidth="1"/>
    <col min="13586" max="13586" width="12.5703125" style="2" customWidth="1"/>
    <col min="13587" max="13824" width="6.85546875" style="2"/>
    <col min="13825" max="13825" width="9.85546875" style="2" customWidth="1"/>
    <col min="13826" max="13826" width="12.85546875" style="2" bestFit="1" customWidth="1"/>
    <col min="13827" max="13829" width="7.28515625" style="2" customWidth="1"/>
    <col min="13830" max="13830" width="10.85546875" style="2" customWidth="1"/>
    <col min="13831" max="13832" width="16.7109375" style="2" customWidth="1"/>
    <col min="13833" max="13834" width="9.85546875" style="2" customWidth="1"/>
    <col min="13835" max="13835" width="15.5703125" style="2" customWidth="1"/>
    <col min="13836" max="13836" width="9.85546875" style="2" customWidth="1"/>
    <col min="13837" max="13837" width="10.85546875" style="2" customWidth="1"/>
    <col min="13838" max="13839" width="16.7109375" style="2" customWidth="1"/>
    <col min="13840" max="13840" width="14.28515625" style="2" bestFit="1" customWidth="1"/>
    <col min="13841" max="13841" width="12.140625" style="2" customWidth="1"/>
    <col min="13842" max="13842" width="12.5703125" style="2" customWidth="1"/>
    <col min="13843" max="14080" width="6.85546875" style="2"/>
    <col min="14081" max="14081" width="9.85546875" style="2" customWidth="1"/>
    <col min="14082" max="14082" width="12.85546875" style="2" bestFit="1" customWidth="1"/>
    <col min="14083" max="14085" width="7.28515625" style="2" customWidth="1"/>
    <col min="14086" max="14086" width="10.85546875" style="2" customWidth="1"/>
    <col min="14087" max="14088" width="16.7109375" style="2" customWidth="1"/>
    <col min="14089" max="14090" width="9.85546875" style="2" customWidth="1"/>
    <col min="14091" max="14091" width="15.5703125" style="2" customWidth="1"/>
    <col min="14092" max="14092" width="9.85546875" style="2" customWidth="1"/>
    <col min="14093" max="14093" width="10.85546875" style="2" customWidth="1"/>
    <col min="14094" max="14095" width="16.7109375" style="2" customWidth="1"/>
    <col min="14096" max="14096" width="14.28515625" style="2" bestFit="1" customWidth="1"/>
    <col min="14097" max="14097" width="12.140625" style="2" customWidth="1"/>
    <col min="14098" max="14098" width="12.5703125" style="2" customWidth="1"/>
    <col min="14099" max="14336" width="6.85546875" style="2"/>
    <col min="14337" max="14337" width="9.85546875" style="2" customWidth="1"/>
    <col min="14338" max="14338" width="12.85546875" style="2" bestFit="1" customWidth="1"/>
    <col min="14339" max="14341" width="7.28515625" style="2" customWidth="1"/>
    <col min="14342" max="14342" width="10.85546875" style="2" customWidth="1"/>
    <col min="14343" max="14344" width="16.7109375" style="2" customWidth="1"/>
    <col min="14345" max="14346" width="9.85546875" style="2" customWidth="1"/>
    <col min="14347" max="14347" width="15.5703125" style="2" customWidth="1"/>
    <col min="14348" max="14348" width="9.85546875" style="2" customWidth="1"/>
    <col min="14349" max="14349" width="10.85546875" style="2" customWidth="1"/>
    <col min="14350" max="14351" width="16.7109375" style="2" customWidth="1"/>
    <col min="14352" max="14352" width="14.28515625" style="2" bestFit="1" customWidth="1"/>
    <col min="14353" max="14353" width="12.140625" style="2" customWidth="1"/>
    <col min="14354" max="14354" width="12.5703125" style="2" customWidth="1"/>
    <col min="14355" max="14592" width="6.85546875" style="2"/>
    <col min="14593" max="14593" width="9.85546875" style="2" customWidth="1"/>
    <col min="14594" max="14594" width="12.85546875" style="2" bestFit="1" customWidth="1"/>
    <col min="14595" max="14597" width="7.28515625" style="2" customWidth="1"/>
    <col min="14598" max="14598" width="10.85546875" style="2" customWidth="1"/>
    <col min="14599" max="14600" width="16.7109375" style="2" customWidth="1"/>
    <col min="14601" max="14602" width="9.85546875" style="2" customWidth="1"/>
    <col min="14603" max="14603" width="15.5703125" style="2" customWidth="1"/>
    <col min="14604" max="14604" width="9.85546875" style="2" customWidth="1"/>
    <col min="14605" max="14605" width="10.85546875" style="2" customWidth="1"/>
    <col min="14606" max="14607" width="16.7109375" style="2" customWidth="1"/>
    <col min="14608" max="14608" width="14.28515625" style="2" bestFit="1" customWidth="1"/>
    <col min="14609" max="14609" width="12.140625" style="2" customWidth="1"/>
    <col min="14610" max="14610" width="12.5703125" style="2" customWidth="1"/>
    <col min="14611" max="14848" width="6.85546875" style="2"/>
    <col min="14849" max="14849" width="9.85546875" style="2" customWidth="1"/>
    <col min="14850" max="14850" width="12.85546875" style="2" bestFit="1" customWidth="1"/>
    <col min="14851" max="14853" width="7.28515625" style="2" customWidth="1"/>
    <col min="14854" max="14854" width="10.85546875" style="2" customWidth="1"/>
    <col min="14855" max="14856" width="16.7109375" style="2" customWidth="1"/>
    <col min="14857" max="14858" width="9.85546875" style="2" customWidth="1"/>
    <col min="14859" max="14859" width="15.5703125" style="2" customWidth="1"/>
    <col min="14860" max="14860" width="9.85546875" style="2" customWidth="1"/>
    <col min="14861" max="14861" width="10.85546875" style="2" customWidth="1"/>
    <col min="14862" max="14863" width="16.7109375" style="2" customWidth="1"/>
    <col min="14864" max="14864" width="14.28515625" style="2" bestFit="1" customWidth="1"/>
    <col min="14865" max="14865" width="12.140625" style="2" customWidth="1"/>
    <col min="14866" max="14866" width="12.5703125" style="2" customWidth="1"/>
    <col min="14867" max="15104" width="6.85546875" style="2"/>
    <col min="15105" max="15105" width="9.85546875" style="2" customWidth="1"/>
    <col min="15106" max="15106" width="12.85546875" style="2" bestFit="1" customWidth="1"/>
    <col min="15107" max="15109" width="7.28515625" style="2" customWidth="1"/>
    <col min="15110" max="15110" width="10.85546875" style="2" customWidth="1"/>
    <col min="15111" max="15112" width="16.7109375" style="2" customWidth="1"/>
    <col min="15113" max="15114" width="9.85546875" style="2" customWidth="1"/>
    <col min="15115" max="15115" width="15.5703125" style="2" customWidth="1"/>
    <col min="15116" max="15116" width="9.85546875" style="2" customWidth="1"/>
    <col min="15117" max="15117" width="10.85546875" style="2" customWidth="1"/>
    <col min="15118" max="15119" width="16.7109375" style="2" customWidth="1"/>
    <col min="15120" max="15120" width="14.28515625" style="2" bestFit="1" customWidth="1"/>
    <col min="15121" max="15121" width="12.140625" style="2" customWidth="1"/>
    <col min="15122" max="15122" width="12.5703125" style="2" customWidth="1"/>
    <col min="15123" max="15360" width="6.85546875" style="2"/>
    <col min="15361" max="15361" width="9.85546875" style="2" customWidth="1"/>
    <col min="15362" max="15362" width="12.85546875" style="2" bestFit="1" customWidth="1"/>
    <col min="15363" max="15365" width="7.28515625" style="2" customWidth="1"/>
    <col min="15366" max="15366" width="10.85546875" style="2" customWidth="1"/>
    <col min="15367" max="15368" width="16.7109375" style="2" customWidth="1"/>
    <col min="15369" max="15370" width="9.85546875" style="2" customWidth="1"/>
    <col min="15371" max="15371" width="15.5703125" style="2" customWidth="1"/>
    <col min="15372" max="15372" width="9.85546875" style="2" customWidth="1"/>
    <col min="15373" max="15373" width="10.85546875" style="2" customWidth="1"/>
    <col min="15374" max="15375" width="16.7109375" style="2" customWidth="1"/>
    <col min="15376" max="15376" width="14.28515625" style="2" bestFit="1" customWidth="1"/>
    <col min="15377" max="15377" width="12.140625" style="2" customWidth="1"/>
    <col min="15378" max="15378" width="12.5703125" style="2" customWidth="1"/>
    <col min="15379" max="15616" width="6.85546875" style="2"/>
    <col min="15617" max="15617" width="9.85546875" style="2" customWidth="1"/>
    <col min="15618" max="15618" width="12.85546875" style="2" bestFit="1" customWidth="1"/>
    <col min="15619" max="15621" width="7.28515625" style="2" customWidth="1"/>
    <col min="15622" max="15622" width="10.85546875" style="2" customWidth="1"/>
    <col min="15623" max="15624" width="16.7109375" style="2" customWidth="1"/>
    <col min="15625" max="15626" width="9.85546875" style="2" customWidth="1"/>
    <col min="15627" max="15627" width="15.5703125" style="2" customWidth="1"/>
    <col min="15628" max="15628" width="9.85546875" style="2" customWidth="1"/>
    <col min="15629" max="15629" width="10.85546875" style="2" customWidth="1"/>
    <col min="15630" max="15631" width="16.7109375" style="2" customWidth="1"/>
    <col min="15632" max="15632" width="14.28515625" style="2" bestFit="1" customWidth="1"/>
    <col min="15633" max="15633" width="12.140625" style="2" customWidth="1"/>
    <col min="15634" max="15634" width="12.5703125" style="2" customWidth="1"/>
    <col min="15635" max="15872" width="6.85546875" style="2"/>
    <col min="15873" max="15873" width="9.85546875" style="2" customWidth="1"/>
    <col min="15874" max="15874" width="12.85546875" style="2" bestFit="1" customWidth="1"/>
    <col min="15875" max="15877" width="7.28515625" style="2" customWidth="1"/>
    <col min="15878" max="15878" width="10.85546875" style="2" customWidth="1"/>
    <col min="15879" max="15880" width="16.7109375" style="2" customWidth="1"/>
    <col min="15881" max="15882" width="9.85546875" style="2" customWidth="1"/>
    <col min="15883" max="15883" width="15.5703125" style="2" customWidth="1"/>
    <col min="15884" max="15884" width="9.85546875" style="2" customWidth="1"/>
    <col min="15885" max="15885" width="10.85546875" style="2" customWidth="1"/>
    <col min="15886" max="15887" width="16.7109375" style="2" customWidth="1"/>
    <col min="15888" max="15888" width="14.28515625" style="2" bestFit="1" customWidth="1"/>
    <col min="15889" max="15889" width="12.140625" style="2" customWidth="1"/>
    <col min="15890" max="15890" width="12.5703125" style="2" customWidth="1"/>
    <col min="15891" max="16128" width="6.85546875" style="2"/>
    <col min="16129" max="16129" width="9.85546875" style="2" customWidth="1"/>
    <col min="16130" max="16130" width="12.85546875" style="2" bestFit="1" customWidth="1"/>
    <col min="16131" max="16133" width="7.28515625" style="2" customWidth="1"/>
    <col min="16134" max="16134" width="10.85546875" style="2" customWidth="1"/>
    <col min="16135" max="16136" width="16.7109375" style="2" customWidth="1"/>
    <col min="16137" max="16138" width="9.85546875" style="2" customWidth="1"/>
    <col min="16139" max="16139" width="15.5703125" style="2" customWidth="1"/>
    <col min="16140" max="16140" width="9.85546875" style="2" customWidth="1"/>
    <col min="16141" max="16141" width="10.85546875" style="2" customWidth="1"/>
    <col min="16142" max="16143" width="16.7109375" style="2" customWidth="1"/>
    <col min="16144" max="16144" width="14.28515625" style="2" bestFit="1" customWidth="1"/>
    <col min="16145" max="16145" width="12.140625" style="2" customWidth="1"/>
    <col min="16146" max="16146" width="12.5703125" style="2" customWidth="1"/>
    <col min="16147" max="16384" width="6.85546875" style="2"/>
  </cols>
  <sheetData>
    <row r="1" spans="1:20" ht="30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20" ht="15" customHeight="1" x14ac:dyDescent="0.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4"/>
    </row>
    <row r="3" spans="1:20" ht="18" customHeight="1" x14ac:dyDescent="0.2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R3" s="6"/>
    </row>
    <row r="4" spans="1:20" ht="12" customHeight="1" x14ac:dyDescent="0.2">
      <c r="A4" s="7" t="s">
        <v>3</v>
      </c>
      <c r="B4" s="7"/>
      <c r="C4" s="7"/>
      <c r="D4" s="7"/>
      <c r="E4" s="7"/>
      <c r="F4" s="7"/>
      <c r="G4" s="7"/>
      <c r="H4" s="8"/>
      <c r="I4" s="7"/>
      <c r="J4" s="7"/>
      <c r="K4" s="7"/>
      <c r="L4" s="7"/>
      <c r="M4" s="7"/>
      <c r="N4" s="8"/>
      <c r="O4" s="9" t="s">
        <v>4</v>
      </c>
      <c r="R4" s="10"/>
      <c r="S4" s="10"/>
    </row>
    <row r="5" spans="1:20" ht="19.5" customHeight="1" x14ac:dyDescent="0.2">
      <c r="A5" s="11" t="s">
        <v>5</v>
      </c>
      <c r="B5" s="12"/>
      <c r="C5" s="12"/>
      <c r="D5" s="12"/>
      <c r="E5" s="12"/>
      <c r="F5" s="12"/>
      <c r="G5" s="12"/>
      <c r="H5" s="13"/>
      <c r="I5" s="11" t="s">
        <v>6</v>
      </c>
      <c r="J5" s="12"/>
      <c r="K5" s="12"/>
      <c r="L5" s="12"/>
      <c r="M5" s="12"/>
      <c r="N5" s="14"/>
      <c r="O5" s="15"/>
      <c r="P5" s="4"/>
    </row>
    <row r="6" spans="1:20" ht="16.5" customHeight="1" x14ac:dyDescent="0.2">
      <c r="A6" s="16" t="s">
        <v>7</v>
      </c>
      <c r="B6" s="17"/>
      <c r="C6" s="17"/>
      <c r="D6" s="17"/>
      <c r="E6" s="17"/>
      <c r="F6" s="18"/>
      <c r="G6" s="19" t="s">
        <v>8</v>
      </c>
      <c r="H6" s="20" t="s">
        <v>9</v>
      </c>
      <c r="I6" s="21" t="s">
        <v>7</v>
      </c>
      <c r="J6" s="22"/>
      <c r="K6" s="22"/>
      <c r="L6" s="22"/>
      <c r="M6" s="23"/>
      <c r="N6" s="19" t="s">
        <v>8</v>
      </c>
      <c r="O6" s="24" t="s">
        <v>9</v>
      </c>
      <c r="Q6" s="6"/>
      <c r="R6" s="6"/>
      <c r="S6" s="6"/>
      <c r="T6" s="6"/>
    </row>
    <row r="7" spans="1:20" ht="16.350000000000001" customHeight="1" x14ac:dyDescent="0.2">
      <c r="A7" s="25" t="s">
        <v>10</v>
      </c>
      <c r="B7" s="26"/>
      <c r="C7" s="26"/>
      <c r="D7" s="26"/>
      <c r="E7" s="26"/>
      <c r="F7" s="27"/>
      <c r="G7" s="28">
        <f>SUBTOTAL(9,G8:G19)</f>
        <v>13830835.829999998</v>
      </c>
      <c r="H7" s="28">
        <v>15201620.42</v>
      </c>
      <c r="I7" s="25" t="s">
        <v>11</v>
      </c>
      <c r="J7" s="26"/>
      <c r="K7" s="26"/>
      <c r="L7" s="26"/>
      <c r="M7" s="27"/>
      <c r="N7" s="28">
        <f>SUBTOTAL(9,N8:N19)</f>
        <v>34574488.5</v>
      </c>
      <c r="O7" s="29">
        <v>15201620.420000002</v>
      </c>
      <c r="P7" s="30"/>
    </row>
    <row r="8" spans="1:20" ht="13.5" customHeight="1" x14ac:dyDescent="0.2">
      <c r="A8" s="31" t="s">
        <v>12</v>
      </c>
      <c r="B8" s="32"/>
      <c r="C8" s="32"/>
      <c r="D8" s="32"/>
      <c r="E8" s="32"/>
      <c r="F8" s="33"/>
      <c r="G8" s="28">
        <f>SUBTOTAL(9,G9:G11)</f>
        <v>0</v>
      </c>
      <c r="H8" s="28">
        <v>3275601.22</v>
      </c>
      <c r="I8" s="31" t="s">
        <v>12</v>
      </c>
      <c r="J8" s="32"/>
      <c r="K8" s="32"/>
      <c r="L8" s="32"/>
      <c r="M8" s="33"/>
      <c r="N8" s="28">
        <f>SUBTOTAL(9,N9:N11)</f>
        <v>17504.330000000002</v>
      </c>
      <c r="O8" s="29">
        <v>3275601.22</v>
      </c>
    </row>
    <row r="9" spans="1:20" ht="13.5" customHeight="1" x14ac:dyDescent="0.2">
      <c r="A9" s="34" t="s">
        <v>13</v>
      </c>
      <c r="B9" s="35"/>
      <c r="C9" s="35"/>
      <c r="D9" s="35"/>
      <c r="E9" s="35"/>
      <c r="F9" s="36"/>
      <c r="G9" s="37">
        <f>+'[1]B.F. 00 '!D8+'[1]B.F. 05 '!D10</f>
        <v>0</v>
      </c>
      <c r="H9" s="37">
        <v>3275601.22</v>
      </c>
      <c r="I9" s="34" t="s">
        <v>13</v>
      </c>
      <c r="J9" s="35"/>
      <c r="K9" s="35"/>
      <c r="L9" s="35"/>
      <c r="M9" s="36"/>
      <c r="N9" s="37">
        <f>+'[1]B.F. 00 '!K8+'[1]B.F. 05 '!K10</f>
        <v>17504.330000000002</v>
      </c>
      <c r="O9" s="38">
        <v>3275601.22</v>
      </c>
      <c r="P9" s="4"/>
    </row>
    <row r="10" spans="1:20" ht="13.5" customHeight="1" x14ac:dyDescent="0.2">
      <c r="A10" s="34" t="s">
        <v>14</v>
      </c>
      <c r="B10" s="35"/>
      <c r="C10" s="35"/>
      <c r="D10" s="35"/>
      <c r="E10" s="35"/>
      <c r="F10" s="36"/>
      <c r="G10" s="37">
        <f>+'[1]B.F. 00 '!D9+'[1]B.F. 05 '!D11</f>
        <v>0</v>
      </c>
      <c r="H10" s="39" t="s">
        <v>15</v>
      </c>
      <c r="I10" s="34" t="s">
        <v>14</v>
      </c>
      <c r="J10" s="35"/>
      <c r="K10" s="35"/>
      <c r="L10" s="35"/>
      <c r="M10" s="36"/>
      <c r="N10" s="37">
        <f>+'[1]B.F. 00 '!K9+'[1]B.F. 05 '!K11</f>
        <v>0</v>
      </c>
      <c r="O10" s="38">
        <v>0</v>
      </c>
      <c r="Q10" s="6"/>
      <c r="R10" s="6"/>
      <c r="S10" s="6"/>
      <c r="T10" s="6"/>
    </row>
    <row r="11" spans="1:20" ht="13.5" customHeight="1" x14ac:dyDescent="0.2">
      <c r="A11" s="34" t="s">
        <v>16</v>
      </c>
      <c r="B11" s="35"/>
      <c r="C11" s="35"/>
      <c r="D11" s="35"/>
      <c r="E11" s="35"/>
      <c r="F11" s="36"/>
      <c r="G11" s="37">
        <f>+'[1]B.F. 00 '!D10+'[1]B.F. 05 '!D12</f>
        <v>0</v>
      </c>
      <c r="H11" s="39" t="s">
        <v>15</v>
      </c>
      <c r="I11" s="34" t="s">
        <v>16</v>
      </c>
      <c r="J11" s="35"/>
      <c r="K11" s="35"/>
      <c r="L11" s="35"/>
      <c r="M11" s="36"/>
      <c r="N11" s="37">
        <f>+'[1]B.F. 00 '!K10+'[1]B.F. 05 '!K12</f>
        <v>0</v>
      </c>
      <c r="O11" s="38">
        <v>0</v>
      </c>
      <c r="P11" s="40"/>
    </row>
    <row r="12" spans="1:20" ht="13.5" customHeight="1" x14ac:dyDescent="0.2">
      <c r="A12" s="41" t="s">
        <v>17</v>
      </c>
      <c r="B12" s="42"/>
      <c r="C12" s="42"/>
      <c r="D12" s="42"/>
      <c r="E12" s="42"/>
      <c r="F12" s="43"/>
      <c r="G12" s="44">
        <f>SUBTOTAL(9,G13:G19)</f>
        <v>13830835.829999998</v>
      </c>
      <c r="H12" s="44">
        <v>11926019.199999999</v>
      </c>
      <c r="I12" s="41" t="s">
        <v>17</v>
      </c>
      <c r="J12" s="42"/>
      <c r="K12" s="42"/>
      <c r="L12" s="42"/>
      <c r="M12" s="43"/>
      <c r="N12" s="44">
        <f>SUBTOTAL(9,N13:N19)</f>
        <v>34556984.170000002</v>
      </c>
      <c r="O12" s="45">
        <v>11926019.200000001</v>
      </c>
      <c r="P12" s="4"/>
    </row>
    <row r="13" spans="1:20" ht="13.5" customHeight="1" x14ac:dyDescent="0.2">
      <c r="A13" s="34" t="s">
        <v>18</v>
      </c>
      <c r="B13" s="35"/>
      <c r="C13" s="35"/>
      <c r="D13" s="35"/>
      <c r="E13" s="35"/>
      <c r="F13" s="36"/>
      <c r="G13" s="37">
        <f>+'[1]B.F. 00 '!D12+'[1]B.F. 05 '!D14</f>
        <v>0</v>
      </c>
      <c r="H13" s="39" t="s">
        <v>15</v>
      </c>
      <c r="I13" s="34" t="s">
        <v>18</v>
      </c>
      <c r="J13" s="35"/>
      <c r="K13" s="35"/>
      <c r="L13" s="35"/>
      <c r="M13" s="36"/>
      <c r="N13" s="37">
        <f>+'[1]B.F. 00 '!K12+'[1]B.F. 05 '!K14</f>
        <v>0</v>
      </c>
      <c r="O13" s="38">
        <v>0</v>
      </c>
    </row>
    <row r="14" spans="1:20" ht="13.5" customHeight="1" x14ac:dyDescent="0.2">
      <c r="A14" s="34" t="s">
        <v>19</v>
      </c>
      <c r="B14" s="35"/>
      <c r="C14" s="35"/>
      <c r="D14" s="35"/>
      <c r="E14" s="35"/>
      <c r="F14" s="36"/>
      <c r="G14" s="37">
        <f>+'[1]B.F. 00 '!D13+'[1]B.F. 05 '!D15</f>
        <v>0</v>
      </c>
      <c r="H14" s="39" t="s">
        <v>15</v>
      </c>
      <c r="I14" s="34" t="s">
        <v>19</v>
      </c>
      <c r="J14" s="35"/>
      <c r="K14" s="35"/>
      <c r="L14" s="35"/>
      <c r="M14" s="36"/>
      <c r="N14" s="37">
        <f>+'[1]B.F. 00 '!K13+'[1]B.F. 05 '!K15</f>
        <v>0</v>
      </c>
      <c r="O14" s="38">
        <v>0</v>
      </c>
    </row>
    <row r="15" spans="1:20" ht="13.5" customHeight="1" x14ac:dyDescent="0.2">
      <c r="A15" s="34" t="s">
        <v>20</v>
      </c>
      <c r="B15" s="35"/>
      <c r="C15" s="35"/>
      <c r="D15" s="35"/>
      <c r="E15" s="35"/>
      <c r="F15" s="36"/>
      <c r="G15" s="37">
        <f>+'[1]B.F. 00 '!D14+'[1]B.F. 05 '!D16</f>
        <v>0</v>
      </c>
      <c r="H15" s="39" t="s">
        <v>15</v>
      </c>
      <c r="I15" s="34" t="s">
        <v>20</v>
      </c>
      <c r="J15" s="35"/>
      <c r="K15" s="35"/>
      <c r="L15" s="35"/>
      <c r="M15" s="36"/>
      <c r="N15" s="37">
        <f>+'[1]B.F. 00 '!K14+'[1]B.F. 05 '!K16</f>
        <v>0</v>
      </c>
      <c r="O15" s="38">
        <v>0</v>
      </c>
    </row>
    <row r="16" spans="1:20" ht="13.5" customHeight="1" x14ac:dyDescent="0.2">
      <c r="A16" s="34" t="s">
        <v>21</v>
      </c>
      <c r="B16" s="35"/>
      <c r="C16" s="35"/>
      <c r="D16" s="35"/>
      <c r="E16" s="35"/>
      <c r="F16" s="36"/>
      <c r="G16" s="37">
        <f>+'[1]B.F. 00 '!D15+'[1]B.F. 05 '!D17</f>
        <v>0</v>
      </c>
      <c r="H16" s="39" t="s">
        <v>15</v>
      </c>
      <c r="I16" s="34" t="s">
        <v>21</v>
      </c>
      <c r="J16" s="35"/>
      <c r="K16" s="35"/>
      <c r="L16" s="35"/>
      <c r="M16" s="36"/>
      <c r="N16" s="37">
        <f>+'[1]B.F. 00 '!K15+'[1]B.F. 05 '!K17</f>
        <v>0</v>
      </c>
      <c r="O16" s="38">
        <v>0</v>
      </c>
    </row>
    <row r="17" spans="1:17" ht="13.5" customHeight="1" x14ac:dyDescent="0.2">
      <c r="A17" s="34" t="s">
        <v>22</v>
      </c>
      <c r="B17" s="35"/>
      <c r="C17" s="35"/>
      <c r="D17" s="35"/>
      <c r="E17" s="35"/>
      <c r="F17" s="36"/>
      <c r="G17" s="37">
        <f>-'[1]B.F. 00 '!D16+'[1]B.F. 05 '!D18</f>
        <v>7996002.7599999988</v>
      </c>
      <c r="H17" s="46">
        <v>11926019.199999999</v>
      </c>
      <c r="I17" s="34" t="s">
        <v>22</v>
      </c>
      <c r="J17" s="35"/>
      <c r="K17" s="35"/>
      <c r="L17" s="35"/>
      <c r="M17" s="36"/>
      <c r="N17" s="37">
        <f>+'[1]B.F. 00 '!K16+'[1]B.F. 05 '!K18</f>
        <v>34556984.170000002</v>
      </c>
      <c r="O17" s="38">
        <v>11926019.200000001</v>
      </c>
    </row>
    <row r="18" spans="1:17" ht="13.5" customHeight="1" x14ac:dyDescent="0.2">
      <c r="A18" s="34" t="s">
        <v>23</v>
      </c>
      <c r="B18" s="35"/>
      <c r="C18" s="35"/>
      <c r="D18" s="35"/>
      <c r="E18" s="35"/>
      <c r="F18" s="36"/>
      <c r="G18" s="37">
        <f>+'[1]B.F. 00 '!D17+'[1]B.F. 05 '!D19</f>
        <v>0</v>
      </c>
      <c r="H18" s="39" t="s">
        <v>15</v>
      </c>
      <c r="I18" s="34" t="s">
        <v>23</v>
      </c>
      <c r="J18" s="35"/>
      <c r="K18" s="35"/>
      <c r="L18" s="35"/>
      <c r="M18" s="36"/>
      <c r="N18" s="37">
        <f>+'[1]B.F. 00 '!K17+'[1]B.F. 05 '!K19</f>
        <v>0</v>
      </c>
      <c r="O18" s="38">
        <v>0</v>
      </c>
    </row>
    <row r="19" spans="1:17" ht="13.5" customHeight="1" x14ac:dyDescent="0.2">
      <c r="A19" s="47" t="s">
        <v>24</v>
      </c>
      <c r="B19" s="48"/>
      <c r="C19" s="48"/>
      <c r="D19" s="48"/>
      <c r="E19" s="48"/>
      <c r="F19" s="49"/>
      <c r="G19" s="50">
        <f>+'[1]B.F. 00 '!D18+'[1]B.F. 05 '!D20</f>
        <v>5834833.0700000003</v>
      </c>
      <c r="H19" s="50" t="s">
        <v>15</v>
      </c>
      <c r="I19" s="47" t="s">
        <v>24</v>
      </c>
      <c r="J19" s="48"/>
      <c r="K19" s="48"/>
      <c r="L19" s="48"/>
      <c r="M19" s="49"/>
      <c r="N19" s="37">
        <f>+'[1]B.F. 00 '!K18+'[1]B.F. 05 '!K20</f>
        <v>0</v>
      </c>
      <c r="O19" s="51">
        <v>0</v>
      </c>
    </row>
    <row r="20" spans="1:17" ht="16.350000000000001" customHeight="1" x14ac:dyDescent="0.2">
      <c r="A20" s="25" t="s">
        <v>25</v>
      </c>
      <c r="B20" s="26"/>
      <c r="C20" s="26"/>
      <c r="D20" s="26"/>
      <c r="E20" s="26"/>
      <c r="F20" s="27"/>
      <c r="G20" s="52">
        <f>SUM(G21:G24)</f>
        <v>273824.93</v>
      </c>
      <c r="H20" s="52">
        <v>317476.92</v>
      </c>
      <c r="I20" s="25" t="s">
        <v>26</v>
      </c>
      <c r="J20" s="26"/>
      <c r="K20" s="26"/>
      <c r="L20" s="26"/>
      <c r="M20" s="27"/>
      <c r="N20" s="53">
        <f>SUM(N21:N24)</f>
        <v>252853.24999999997</v>
      </c>
      <c r="O20" s="54">
        <v>317476.92</v>
      </c>
      <c r="P20" s="4"/>
    </row>
    <row r="21" spans="1:17" ht="13.5" customHeight="1" x14ac:dyDescent="0.2">
      <c r="A21" s="31" t="s">
        <v>27</v>
      </c>
      <c r="B21" s="32"/>
      <c r="C21" s="32"/>
      <c r="D21" s="32"/>
      <c r="E21" s="32"/>
      <c r="F21" s="33"/>
      <c r="G21" s="37">
        <f>'[1]B.F. 00 '!D20+'[1]B.F. 05 '!D22</f>
        <v>273824.93</v>
      </c>
      <c r="H21" s="55">
        <v>317476.92</v>
      </c>
      <c r="I21" s="31" t="s">
        <v>27</v>
      </c>
      <c r="J21" s="32"/>
      <c r="K21" s="32"/>
      <c r="L21" s="32"/>
      <c r="M21" s="33"/>
      <c r="N21" s="37">
        <f>+'[1]B.F. 00 '!K20+'[1]B.F. 05 '!K22</f>
        <v>252853.24999999997</v>
      </c>
      <c r="O21" s="38">
        <v>317476.92</v>
      </c>
    </row>
    <row r="22" spans="1:17" ht="13.5" customHeight="1" x14ac:dyDescent="0.2">
      <c r="A22" s="41" t="s">
        <v>28</v>
      </c>
      <c r="B22" s="42"/>
      <c r="C22" s="42"/>
      <c r="D22" s="42"/>
      <c r="E22" s="42"/>
      <c r="F22" s="43"/>
      <c r="G22" s="37">
        <f>+'[1]B.F. 00 '!D21+'[1]B.F. 05 '!D23</f>
        <v>0</v>
      </c>
      <c r="H22" s="39" t="s">
        <v>15</v>
      </c>
      <c r="I22" s="41" t="s">
        <v>28</v>
      </c>
      <c r="J22" s="42"/>
      <c r="K22" s="42"/>
      <c r="L22" s="42"/>
      <c r="M22" s="43"/>
      <c r="N22" s="37">
        <f>+'[1]B.F. 00 '!K21+'[1]B.F. 05 '!K23</f>
        <v>0</v>
      </c>
      <c r="O22" s="38">
        <v>0</v>
      </c>
    </row>
    <row r="23" spans="1:17" ht="13.5" customHeight="1" x14ac:dyDescent="0.2">
      <c r="A23" s="41" t="s">
        <v>29</v>
      </c>
      <c r="B23" s="42"/>
      <c r="C23" s="42"/>
      <c r="D23" s="42"/>
      <c r="E23" s="42"/>
      <c r="F23" s="43"/>
      <c r="G23" s="37">
        <f>+'[1]B.F. 00 '!D22+'[1]B.F. 05 '!D24</f>
        <v>0</v>
      </c>
      <c r="H23" s="39" t="s">
        <v>15</v>
      </c>
      <c r="I23" s="41" t="s">
        <v>29</v>
      </c>
      <c r="J23" s="42"/>
      <c r="K23" s="42"/>
      <c r="L23" s="42"/>
      <c r="M23" s="43"/>
      <c r="N23" s="37">
        <f>+'[1]B.F. 00 '!K22+'[1]B.F. 05 '!K24</f>
        <v>0</v>
      </c>
      <c r="O23" s="38">
        <v>0</v>
      </c>
    </row>
    <row r="24" spans="1:17" ht="13.5" customHeight="1" x14ac:dyDescent="0.2">
      <c r="A24" s="56" t="s">
        <v>30</v>
      </c>
      <c r="B24" s="57"/>
      <c r="C24" s="57"/>
      <c r="D24" s="57"/>
      <c r="E24" s="57"/>
      <c r="F24" s="58"/>
      <c r="G24" s="37">
        <f>+'[1]B.F. 00 '!D23+'[1]B.F. 05 '!D25</f>
        <v>0</v>
      </c>
      <c r="H24" s="39" t="s">
        <v>15</v>
      </c>
      <c r="I24" s="56" t="s">
        <v>30</v>
      </c>
      <c r="J24" s="57"/>
      <c r="K24" s="57"/>
      <c r="L24" s="57"/>
      <c r="M24" s="58"/>
      <c r="N24" s="37">
        <f>+'[1]B.F. 00 '!K23+'[1]B.F. 05 '!K25</f>
        <v>0</v>
      </c>
      <c r="O24" s="38">
        <v>0</v>
      </c>
    </row>
    <row r="25" spans="1:17" ht="16.350000000000001" customHeight="1" x14ac:dyDescent="0.2">
      <c r="A25" s="25" t="s">
        <v>31</v>
      </c>
      <c r="B25" s="26"/>
      <c r="C25" s="26"/>
      <c r="D25" s="26"/>
      <c r="E25" s="26"/>
      <c r="F25" s="27"/>
      <c r="G25" s="53">
        <f>SUBTOTAL(9,G26:G29)</f>
        <v>11865592.220000003</v>
      </c>
      <c r="H25" s="53">
        <v>19542282.690000001</v>
      </c>
      <c r="I25" s="25" t="s">
        <v>32</v>
      </c>
      <c r="J25" s="26"/>
      <c r="K25" s="26"/>
      <c r="L25" s="26"/>
      <c r="M25" s="27"/>
      <c r="N25" s="53">
        <f>SUBTOTAL(9,N26:N29)</f>
        <v>5773617.71</v>
      </c>
      <c r="O25" s="59">
        <v>19542282.689999998</v>
      </c>
    </row>
    <row r="26" spans="1:17" ht="13.5" customHeight="1" x14ac:dyDescent="0.2">
      <c r="A26" s="31" t="s">
        <v>33</v>
      </c>
      <c r="B26" s="32"/>
      <c r="C26" s="32"/>
      <c r="D26" s="32"/>
      <c r="E26" s="32"/>
      <c r="F26" s="33"/>
      <c r="G26" s="55">
        <f>+'[1]B.F. 00 '!D25+'[1]B.F. 05 '!D28</f>
        <v>4956827.3600000013</v>
      </c>
      <c r="H26" s="60">
        <v>7464522.1100000003</v>
      </c>
      <c r="I26" s="31" t="s">
        <v>34</v>
      </c>
      <c r="J26" s="32"/>
      <c r="K26" s="32"/>
      <c r="L26" s="32"/>
      <c r="M26" s="33"/>
      <c r="N26" s="37">
        <f>+'[1]B.F. 00 '!K25+'[1]B.F. 05 '!K28</f>
        <v>263013.11</v>
      </c>
      <c r="O26" s="61">
        <v>7464522.1099999994</v>
      </c>
    </row>
    <row r="27" spans="1:17" ht="13.5" customHeight="1" x14ac:dyDescent="0.2">
      <c r="A27" s="41" t="s">
        <v>35</v>
      </c>
      <c r="B27" s="42"/>
      <c r="C27" s="42"/>
      <c r="D27" s="42"/>
      <c r="E27" s="42"/>
      <c r="F27" s="43"/>
      <c r="G27" s="37">
        <f>+'[1]B.F. 00 '!D27+'[1]B.F. 05 '!D30</f>
        <v>0</v>
      </c>
      <c r="H27" s="62">
        <v>1711029.28</v>
      </c>
      <c r="I27" s="41" t="s">
        <v>36</v>
      </c>
      <c r="J27" s="42"/>
      <c r="K27" s="42"/>
      <c r="L27" s="42"/>
      <c r="M27" s="43"/>
      <c r="N27" s="37">
        <f>+'[1]B.F. 00 '!K27+'[1]B.F. 05 '!K30</f>
        <v>8641.73</v>
      </c>
      <c r="O27" s="38">
        <v>1711029.28</v>
      </c>
    </row>
    <row r="28" spans="1:17" ht="13.5" customHeight="1" x14ac:dyDescent="0.2">
      <c r="A28" s="41" t="s">
        <v>37</v>
      </c>
      <c r="B28" s="42"/>
      <c r="C28" s="42"/>
      <c r="D28" s="42"/>
      <c r="E28" s="42"/>
      <c r="F28" s="43"/>
      <c r="G28" s="37">
        <f>+'[1]B.F. 00 '!D29+'[1]B.F. 05 '!D31</f>
        <v>0</v>
      </c>
      <c r="H28" s="62" t="s">
        <v>15</v>
      </c>
      <c r="I28" s="41" t="s">
        <v>37</v>
      </c>
      <c r="J28" s="42"/>
      <c r="K28" s="42"/>
      <c r="L28" s="42"/>
      <c r="M28" s="43"/>
      <c r="N28" s="37">
        <f>+'[1]B.F. 00 '!K29+'[1]B.F. 05 '!K31</f>
        <v>0</v>
      </c>
      <c r="O28" s="38">
        <v>0</v>
      </c>
    </row>
    <row r="29" spans="1:17" ht="13.5" customHeight="1" x14ac:dyDescent="0.2">
      <c r="A29" s="56" t="s">
        <v>38</v>
      </c>
      <c r="B29" s="57"/>
      <c r="C29" s="57"/>
      <c r="D29" s="57"/>
      <c r="E29" s="57"/>
      <c r="F29" s="58"/>
      <c r="G29" s="50">
        <f>+'[1]B.F. 00 '!D30+'[1]B.F. 05 '!D32</f>
        <v>6908764.8600000003</v>
      </c>
      <c r="H29" s="63">
        <v>10366731.300000001</v>
      </c>
      <c r="I29" s="56" t="s">
        <v>39</v>
      </c>
      <c r="J29" s="57"/>
      <c r="K29" s="57"/>
      <c r="L29" s="57"/>
      <c r="M29" s="58"/>
      <c r="N29" s="37">
        <f>+'[1]B.F. 00 '!K30+'[1]B.F. 05 '!K32</f>
        <v>5501962.8700000001</v>
      </c>
      <c r="O29" s="51">
        <v>10366731.299999999</v>
      </c>
    </row>
    <row r="30" spans="1:17" ht="16.350000000000001" customHeight="1" x14ac:dyDescent="0.2">
      <c r="A30" s="25" t="s">
        <v>40</v>
      </c>
      <c r="B30" s="26"/>
      <c r="C30" s="26"/>
      <c r="D30" s="26"/>
      <c r="E30" s="26"/>
      <c r="F30" s="27"/>
      <c r="G30" s="53">
        <f>SUBTOTAL(9,G31:G32)</f>
        <v>217676440.76999998</v>
      </c>
      <c r="H30" s="53">
        <v>230058548.22</v>
      </c>
      <c r="I30" s="25" t="s">
        <v>41</v>
      </c>
      <c r="J30" s="26"/>
      <c r="K30" s="26"/>
      <c r="L30" s="26"/>
      <c r="M30" s="27"/>
      <c r="N30" s="53">
        <f>SUM(N31:N32)</f>
        <v>203045734.28999999</v>
      </c>
      <c r="O30" s="59">
        <v>230058548.22</v>
      </c>
      <c r="Q30" s="64"/>
    </row>
    <row r="31" spans="1:17" ht="13.5" customHeight="1" x14ac:dyDescent="0.2">
      <c r="A31" s="31" t="s">
        <v>42</v>
      </c>
      <c r="B31" s="32"/>
      <c r="C31" s="32"/>
      <c r="D31" s="32"/>
      <c r="E31" s="32"/>
      <c r="F31" s="33"/>
      <c r="G31" s="65">
        <f>+'[1]B.F. 05 '!D35</f>
        <v>217676440.76999998</v>
      </c>
      <c r="H31" s="37">
        <v>230058548.22</v>
      </c>
      <c r="I31" s="31" t="s">
        <v>42</v>
      </c>
      <c r="J31" s="32"/>
      <c r="K31" s="32"/>
      <c r="L31" s="32"/>
      <c r="M31" s="33"/>
      <c r="N31" s="65">
        <f>+'[1]B.F. 00 '!K33+'[1]B.F. 05 '!K35</f>
        <v>203045734.28999999</v>
      </c>
      <c r="O31" s="66">
        <v>230058548.22</v>
      </c>
    </row>
    <row r="32" spans="1:17" ht="13.5" customHeight="1" x14ac:dyDescent="0.2">
      <c r="A32" s="56" t="s">
        <v>37</v>
      </c>
      <c r="B32" s="57"/>
      <c r="C32" s="57"/>
      <c r="D32" s="57"/>
      <c r="E32" s="57"/>
      <c r="F32" s="58"/>
      <c r="G32" s="67">
        <v>0</v>
      </c>
      <c r="H32" s="68" t="s">
        <v>15</v>
      </c>
      <c r="I32" s="56" t="s">
        <v>37</v>
      </c>
      <c r="J32" s="57"/>
      <c r="K32" s="57"/>
      <c r="L32" s="57"/>
      <c r="M32" s="58"/>
      <c r="N32" s="69"/>
      <c r="O32" s="70">
        <v>0</v>
      </c>
      <c r="P32" s="71" t="s">
        <v>43</v>
      </c>
      <c r="Q32" s="72" t="s">
        <v>44</v>
      </c>
    </row>
    <row r="33" spans="1:255" ht="16.350000000000001" customHeight="1" x14ac:dyDescent="0.2">
      <c r="A33" s="25" t="s">
        <v>45</v>
      </c>
      <c r="B33" s="26"/>
      <c r="C33" s="26"/>
      <c r="D33" s="26"/>
      <c r="E33" s="26"/>
      <c r="F33" s="27"/>
      <c r="G33" s="73">
        <f>G7+G20+G25+G30</f>
        <v>243646693.74999997</v>
      </c>
      <c r="H33" s="73">
        <v>265119928.25</v>
      </c>
      <c r="I33" s="25" t="s">
        <v>46</v>
      </c>
      <c r="J33" s="26"/>
      <c r="K33" s="26"/>
      <c r="L33" s="26"/>
      <c r="M33" s="27"/>
      <c r="N33" s="73">
        <f>N7+N20+N25+N30</f>
        <v>243646693.75</v>
      </c>
      <c r="O33" s="74">
        <v>265119928.25</v>
      </c>
      <c r="P33" s="75">
        <f>G33-N33</f>
        <v>0</v>
      </c>
      <c r="Q33" s="76">
        <f>H33-O33</f>
        <v>0</v>
      </c>
    </row>
    <row r="34" spans="1:255" s="82" customFormat="1" ht="15.75" customHeight="1" x14ac:dyDescent="0.2">
      <c r="A34" s="77" t="s">
        <v>47</v>
      </c>
      <c r="B34" s="78"/>
      <c r="C34" s="78"/>
      <c r="D34" s="78"/>
      <c r="E34" s="79"/>
      <c r="F34" s="79"/>
      <c r="G34" s="79"/>
      <c r="H34" s="79"/>
      <c r="I34" s="78"/>
      <c r="J34" s="78"/>
      <c r="K34" s="78"/>
      <c r="L34" s="79"/>
      <c r="M34" s="79"/>
      <c r="N34" s="80"/>
      <c r="O34" s="81"/>
    </row>
    <row r="35" spans="1:255" s="82" customFormat="1" ht="12.75" customHeight="1" x14ac:dyDescent="0.2">
      <c r="A35" s="83" t="s">
        <v>48</v>
      </c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5"/>
      <c r="N35" s="85"/>
      <c r="O35" s="81"/>
    </row>
    <row r="36" spans="1:255" s="81" customFormat="1" ht="14.25" customHeight="1" x14ac:dyDescent="0.2">
      <c r="A36" s="86" t="s">
        <v>49</v>
      </c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7"/>
    </row>
    <row r="37" spans="1:255" s="88" customFormat="1" ht="14.25" customHeight="1" x14ac:dyDescent="0.2">
      <c r="A37" s="86" t="s">
        <v>50</v>
      </c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7"/>
      <c r="O37" s="81"/>
    </row>
    <row r="38" spans="1:255" s="88" customFormat="1" ht="14.25" customHeight="1" x14ac:dyDescent="0.2">
      <c r="A38" s="86" t="s">
        <v>51</v>
      </c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7"/>
      <c r="O38" s="81"/>
    </row>
    <row r="39" spans="1:255" s="88" customFormat="1" ht="14.25" customHeight="1" x14ac:dyDescent="0.2">
      <c r="A39" s="89" t="s">
        <v>52</v>
      </c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1"/>
    </row>
    <row r="40" spans="1:255" s="88" customFormat="1" ht="14.25" customHeight="1" x14ac:dyDescent="0.2">
      <c r="A40" s="89" t="s">
        <v>53</v>
      </c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</row>
    <row r="41" spans="1:255" s="88" customFormat="1" ht="14.25" customHeight="1" x14ac:dyDescent="0.2">
      <c r="A41" s="90" t="s">
        <v>54</v>
      </c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1"/>
      <c r="O41" s="81"/>
      <c r="P41" s="92"/>
    </row>
    <row r="42" spans="1:255" s="88" customFormat="1" ht="14.25" customHeight="1" x14ac:dyDescent="0.2">
      <c r="A42" s="90" t="s">
        <v>55</v>
      </c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3"/>
      <c r="O42" s="91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4"/>
      <c r="AK42" s="94"/>
      <c r="AL42" s="94"/>
      <c r="AM42" s="94"/>
      <c r="AN42" s="94"/>
      <c r="AO42" s="94"/>
      <c r="AP42" s="94"/>
      <c r="AQ42" s="94"/>
      <c r="AR42" s="94"/>
      <c r="AS42" s="94"/>
      <c r="AT42" s="94"/>
      <c r="AU42" s="94"/>
      <c r="AV42" s="94"/>
      <c r="AW42" s="94"/>
      <c r="AX42" s="94"/>
      <c r="AY42" s="94"/>
      <c r="AZ42" s="94"/>
      <c r="BA42" s="94"/>
      <c r="BB42" s="94"/>
      <c r="BC42" s="94"/>
      <c r="BD42" s="94"/>
      <c r="BE42" s="94"/>
      <c r="BF42" s="94"/>
      <c r="BG42" s="94"/>
      <c r="BH42" s="94"/>
      <c r="BI42" s="94"/>
      <c r="BJ42" s="94"/>
      <c r="BK42" s="94"/>
      <c r="BL42" s="94"/>
      <c r="BM42" s="94"/>
      <c r="BN42" s="94"/>
      <c r="BO42" s="94"/>
      <c r="BP42" s="94"/>
      <c r="BQ42" s="94"/>
      <c r="BR42" s="94"/>
      <c r="BS42" s="94"/>
      <c r="BT42" s="94"/>
      <c r="BU42" s="94"/>
      <c r="BV42" s="94"/>
      <c r="BW42" s="94"/>
      <c r="BX42" s="94"/>
      <c r="BY42" s="94"/>
      <c r="BZ42" s="94"/>
      <c r="CA42" s="94"/>
      <c r="CB42" s="94"/>
      <c r="CC42" s="94"/>
      <c r="CD42" s="94"/>
      <c r="CE42" s="94"/>
      <c r="CF42" s="94"/>
      <c r="CG42" s="94"/>
      <c r="CH42" s="94"/>
      <c r="CI42" s="94"/>
      <c r="CJ42" s="94"/>
      <c r="CK42" s="94"/>
      <c r="CL42" s="94"/>
      <c r="CM42" s="94"/>
      <c r="CN42" s="94"/>
      <c r="CO42" s="94"/>
      <c r="CP42" s="94"/>
      <c r="CQ42" s="94"/>
      <c r="CR42" s="94"/>
      <c r="CS42" s="94"/>
      <c r="CT42" s="94"/>
      <c r="CU42" s="94"/>
      <c r="CV42" s="94"/>
      <c r="CW42" s="94"/>
      <c r="CX42" s="94"/>
      <c r="CY42" s="94"/>
      <c r="CZ42" s="94"/>
      <c r="DA42" s="94"/>
      <c r="DB42" s="94"/>
      <c r="DC42" s="94"/>
      <c r="DD42" s="94"/>
      <c r="DE42" s="94"/>
      <c r="DF42" s="94"/>
      <c r="DG42" s="94"/>
      <c r="DH42" s="94"/>
      <c r="DI42" s="94"/>
      <c r="DJ42" s="94"/>
      <c r="DK42" s="94"/>
      <c r="DL42" s="94"/>
      <c r="DM42" s="94"/>
      <c r="DN42" s="94"/>
      <c r="DO42" s="94"/>
      <c r="DP42" s="94"/>
      <c r="DQ42" s="94"/>
      <c r="DR42" s="94"/>
      <c r="DS42" s="94"/>
      <c r="DT42" s="94"/>
      <c r="DU42" s="94"/>
      <c r="DV42" s="94"/>
      <c r="DW42" s="94"/>
      <c r="DX42" s="94"/>
      <c r="DY42" s="94"/>
      <c r="DZ42" s="94"/>
      <c r="EA42" s="94"/>
      <c r="EB42" s="94"/>
      <c r="EC42" s="94"/>
      <c r="ED42" s="94"/>
      <c r="EE42" s="94"/>
      <c r="EF42" s="94"/>
      <c r="EG42" s="94"/>
      <c r="EH42" s="94"/>
      <c r="EI42" s="94"/>
      <c r="EJ42" s="94"/>
      <c r="EK42" s="94"/>
      <c r="EL42" s="94"/>
      <c r="EM42" s="94"/>
      <c r="EN42" s="94"/>
      <c r="EO42" s="94"/>
      <c r="EP42" s="94"/>
      <c r="EQ42" s="94"/>
      <c r="ER42" s="94"/>
      <c r="ES42" s="94"/>
      <c r="ET42" s="94"/>
      <c r="EU42" s="94"/>
      <c r="EV42" s="94"/>
      <c r="EW42" s="94"/>
      <c r="EX42" s="94"/>
      <c r="EY42" s="94"/>
      <c r="EZ42" s="94"/>
      <c r="FA42" s="94"/>
      <c r="FB42" s="94"/>
      <c r="FC42" s="94"/>
      <c r="FD42" s="94"/>
      <c r="FE42" s="94"/>
      <c r="FF42" s="94"/>
      <c r="FG42" s="94"/>
      <c r="FH42" s="94"/>
      <c r="FI42" s="94"/>
      <c r="FJ42" s="94"/>
      <c r="FK42" s="94"/>
      <c r="FL42" s="94"/>
      <c r="FM42" s="94"/>
      <c r="FN42" s="94"/>
      <c r="FO42" s="94"/>
      <c r="FP42" s="94"/>
      <c r="FQ42" s="94"/>
      <c r="FR42" s="94"/>
      <c r="FS42" s="94"/>
      <c r="FT42" s="94"/>
      <c r="FU42" s="94"/>
      <c r="FV42" s="94"/>
      <c r="FW42" s="94"/>
      <c r="FX42" s="94"/>
      <c r="FY42" s="94"/>
      <c r="FZ42" s="94"/>
      <c r="GA42" s="94"/>
      <c r="GB42" s="94"/>
      <c r="GC42" s="94"/>
      <c r="GD42" s="94"/>
      <c r="GE42" s="94"/>
      <c r="GF42" s="94"/>
      <c r="GG42" s="94"/>
      <c r="GH42" s="94"/>
      <c r="GI42" s="94"/>
      <c r="GJ42" s="94"/>
      <c r="GK42" s="94"/>
      <c r="GL42" s="94"/>
      <c r="GM42" s="94"/>
      <c r="GN42" s="94"/>
      <c r="GO42" s="94"/>
      <c r="GP42" s="94"/>
      <c r="GQ42" s="94"/>
      <c r="GR42" s="94"/>
      <c r="GS42" s="94"/>
      <c r="GT42" s="94"/>
      <c r="GU42" s="94"/>
      <c r="GV42" s="94"/>
      <c r="GW42" s="94"/>
      <c r="GX42" s="94"/>
      <c r="GY42" s="94"/>
      <c r="GZ42" s="94"/>
      <c r="HA42" s="94"/>
      <c r="HB42" s="94"/>
      <c r="HC42" s="94"/>
      <c r="HD42" s="94"/>
      <c r="HE42" s="94"/>
      <c r="HF42" s="94"/>
      <c r="HG42" s="94"/>
      <c r="HH42" s="94"/>
      <c r="HI42" s="94"/>
      <c r="HJ42" s="94"/>
      <c r="HK42" s="94"/>
      <c r="HL42" s="94"/>
      <c r="HM42" s="94"/>
      <c r="HN42" s="94"/>
      <c r="HO42" s="94"/>
      <c r="HP42" s="94"/>
      <c r="HQ42" s="94"/>
      <c r="HR42" s="94"/>
      <c r="HS42" s="94"/>
      <c r="HT42" s="94"/>
      <c r="HU42" s="94"/>
      <c r="HV42" s="94"/>
      <c r="HW42" s="94"/>
      <c r="HX42" s="94"/>
      <c r="HY42" s="94"/>
      <c r="HZ42" s="94"/>
      <c r="IA42" s="94"/>
      <c r="IB42" s="94"/>
      <c r="IC42" s="94"/>
      <c r="ID42" s="94"/>
      <c r="IE42" s="94"/>
      <c r="IF42" s="94"/>
      <c r="IG42" s="94"/>
      <c r="IH42" s="94"/>
      <c r="II42" s="94"/>
      <c r="IJ42" s="94"/>
      <c r="IK42" s="94"/>
      <c r="IL42" s="94"/>
      <c r="IM42" s="94"/>
      <c r="IN42" s="94"/>
      <c r="IO42" s="94"/>
      <c r="IP42" s="94"/>
      <c r="IQ42" s="94"/>
      <c r="IR42" s="94"/>
      <c r="IS42" s="94"/>
      <c r="IT42" s="94"/>
      <c r="IU42" s="94"/>
    </row>
    <row r="43" spans="1:255" s="88" customFormat="1" ht="14.25" customHeight="1" x14ac:dyDescent="0.2">
      <c r="A43" s="89" t="s">
        <v>56</v>
      </c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91"/>
      <c r="O43" s="81"/>
      <c r="P43" s="92"/>
    </row>
    <row r="44" spans="1:255" s="88" customFormat="1" ht="23.25" customHeight="1" x14ac:dyDescent="0.2">
      <c r="A44" s="89" t="s">
        <v>57</v>
      </c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92"/>
    </row>
    <row r="45" spans="1:255" s="88" customFormat="1" ht="27" customHeight="1" x14ac:dyDescent="0.2">
      <c r="A45" s="89" t="s">
        <v>58</v>
      </c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92"/>
    </row>
    <row r="46" spans="1:255" s="88" customFormat="1" ht="27.75" customHeight="1" x14ac:dyDescent="0.2">
      <c r="A46" s="89" t="s">
        <v>59</v>
      </c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92"/>
    </row>
    <row r="47" spans="1:255" s="88" customFormat="1" ht="26.25" customHeight="1" x14ac:dyDescent="0.2">
      <c r="A47" s="89" t="s">
        <v>60</v>
      </c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92"/>
    </row>
    <row r="48" spans="1:255" s="96" customFormat="1" ht="14.25" customHeight="1" x14ac:dyDescent="0.2">
      <c r="A48" s="90" t="s">
        <v>61</v>
      </c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3"/>
      <c r="O48" s="81"/>
      <c r="P48" s="95"/>
    </row>
    <row r="49" spans="1:255" s="96" customFormat="1" ht="14.25" customHeight="1" x14ac:dyDescent="0.2">
      <c r="A49" s="89" t="s">
        <v>62</v>
      </c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95"/>
    </row>
    <row r="50" spans="1:255" s="96" customFormat="1" ht="14.25" customHeight="1" x14ac:dyDescent="0.2">
      <c r="A50" s="87" t="s">
        <v>63</v>
      </c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5"/>
    </row>
    <row r="51" spans="1:255" s="96" customFormat="1" ht="14.25" customHeight="1" x14ac:dyDescent="0.2">
      <c r="A51" s="89" t="s">
        <v>64</v>
      </c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</row>
    <row r="52" spans="1:255" s="88" customFormat="1" ht="14.25" customHeight="1" x14ac:dyDescent="0.2">
      <c r="A52" s="89" t="s">
        <v>65</v>
      </c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93"/>
      <c r="N52" s="93"/>
      <c r="O52" s="81"/>
      <c r="P52" s="97"/>
    </row>
    <row r="53" spans="1:255" s="88" customFormat="1" ht="14.25" customHeight="1" x14ac:dyDescent="0.2">
      <c r="A53" s="89" t="s">
        <v>66</v>
      </c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7"/>
    </row>
    <row r="54" spans="1:255" s="88" customFormat="1" ht="14.25" customHeight="1" x14ac:dyDescent="0.2">
      <c r="A54" s="89" t="s">
        <v>67</v>
      </c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7"/>
    </row>
    <row r="55" spans="1:255" s="88" customFormat="1" ht="14.25" customHeight="1" x14ac:dyDescent="0.2">
      <c r="A55" s="93"/>
      <c r="B55" s="99"/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7"/>
    </row>
    <row r="56" spans="1:255" s="88" customFormat="1" ht="14.25" customHeight="1" x14ac:dyDescent="0.2">
      <c r="A56" s="93"/>
      <c r="B56" s="99"/>
      <c r="C56" s="99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97"/>
    </row>
    <row r="57" spans="1:255" s="88" customFormat="1" ht="14.25" customHeight="1" x14ac:dyDescent="0.2">
      <c r="A57" s="93"/>
      <c r="B57" s="99"/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7"/>
    </row>
    <row r="58" spans="1:255" s="82" customFormat="1" ht="11.25" customHeight="1" x14ac:dyDescent="0.2">
      <c r="A58" s="100"/>
      <c r="B58" s="100"/>
      <c r="C58" s="101"/>
      <c r="D58" s="101"/>
      <c r="E58" s="101"/>
      <c r="F58" s="100"/>
      <c r="G58" s="102"/>
      <c r="H58" s="101"/>
      <c r="I58" s="103"/>
      <c r="J58" s="103"/>
      <c r="K58" s="102"/>
      <c r="L58" s="102"/>
      <c r="M58" s="103"/>
      <c r="N58" s="101"/>
      <c r="O58" s="104"/>
      <c r="P58" s="105"/>
      <c r="Q58" s="105"/>
      <c r="R58" s="105"/>
      <c r="S58" s="105"/>
      <c r="T58" s="105"/>
      <c r="U58" s="105"/>
      <c r="V58" s="105"/>
      <c r="W58" s="105"/>
      <c r="X58" s="105"/>
      <c r="Y58" s="105"/>
      <c r="Z58" s="105"/>
      <c r="AA58" s="105"/>
      <c r="AB58" s="105"/>
      <c r="AC58" s="105"/>
      <c r="AD58" s="105"/>
      <c r="AE58" s="105"/>
      <c r="AF58" s="105"/>
      <c r="AG58" s="105"/>
      <c r="AH58" s="105"/>
      <c r="AI58" s="105"/>
      <c r="AJ58" s="105"/>
      <c r="AK58" s="105"/>
      <c r="AL58" s="105"/>
      <c r="AM58" s="105"/>
      <c r="AN58" s="105"/>
      <c r="AO58" s="105"/>
      <c r="AP58" s="105"/>
      <c r="AQ58" s="105"/>
      <c r="AR58" s="105"/>
      <c r="AS58" s="105"/>
      <c r="AT58" s="105"/>
      <c r="AU58" s="105"/>
      <c r="AV58" s="105"/>
      <c r="AW58" s="105"/>
      <c r="AX58" s="105"/>
      <c r="AY58" s="105"/>
      <c r="AZ58" s="105"/>
      <c r="BA58" s="105"/>
      <c r="BB58" s="105"/>
      <c r="BC58" s="105"/>
      <c r="BD58" s="105"/>
      <c r="BE58" s="105"/>
      <c r="BF58" s="105"/>
      <c r="BG58" s="105"/>
      <c r="BH58" s="105"/>
      <c r="BI58" s="105"/>
      <c r="BJ58" s="105"/>
      <c r="BK58" s="105"/>
      <c r="BL58" s="105"/>
      <c r="BM58" s="105"/>
      <c r="BN58" s="105"/>
      <c r="BO58" s="105"/>
      <c r="BP58" s="105"/>
      <c r="BQ58" s="105"/>
      <c r="BR58" s="105"/>
      <c r="BS58" s="105"/>
      <c r="BT58" s="105"/>
      <c r="BU58" s="105"/>
      <c r="BV58" s="105"/>
      <c r="BW58" s="105"/>
      <c r="BX58" s="105"/>
      <c r="BY58" s="105"/>
      <c r="BZ58" s="105"/>
      <c r="CA58" s="105"/>
      <c r="CB58" s="105"/>
      <c r="CC58" s="105"/>
      <c r="CD58" s="105"/>
      <c r="CE58" s="105"/>
      <c r="CF58" s="105"/>
      <c r="CG58" s="105"/>
      <c r="CH58" s="105"/>
      <c r="CI58" s="105"/>
      <c r="CJ58" s="105"/>
      <c r="CK58" s="105"/>
      <c r="CL58" s="105"/>
      <c r="CM58" s="105"/>
      <c r="CN58" s="105"/>
      <c r="CO58" s="105"/>
      <c r="CP58" s="105"/>
      <c r="CQ58" s="105"/>
      <c r="CR58" s="105"/>
      <c r="CS58" s="105"/>
      <c r="CT58" s="105"/>
      <c r="CU58" s="105"/>
      <c r="CV58" s="105"/>
      <c r="CW58" s="105"/>
      <c r="CX58" s="105"/>
      <c r="CY58" s="105"/>
      <c r="CZ58" s="105"/>
      <c r="DA58" s="105"/>
      <c r="DB58" s="105"/>
      <c r="DC58" s="105"/>
      <c r="DD58" s="105"/>
      <c r="DE58" s="105"/>
      <c r="DF58" s="105"/>
      <c r="DG58" s="105"/>
      <c r="DH58" s="105"/>
      <c r="DI58" s="105"/>
      <c r="DJ58" s="105"/>
      <c r="DK58" s="105"/>
      <c r="DL58" s="105"/>
      <c r="DM58" s="105"/>
      <c r="DN58" s="105"/>
      <c r="DO58" s="105"/>
      <c r="DP58" s="105"/>
      <c r="DQ58" s="105"/>
      <c r="DR58" s="105"/>
      <c r="DS58" s="105"/>
      <c r="DT58" s="105"/>
      <c r="DU58" s="105"/>
      <c r="DV58" s="105"/>
      <c r="DW58" s="105"/>
      <c r="DX58" s="105"/>
      <c r="DY58" s="105"/>
      <c r="DZ58" s="105"/>
      <c r="EA58" s="105"/>
      <c r="EB58" s="105"/>
      <c r="EC58" s="105"/>
      <c r="ED58" s="105"/>
      <c r="EE58" s="105"/>
      <c r="EF58" s="105"/>
      <c r="EG58" s="105"/>
      <c r="EH58" s="105"/>
      <c r="EI58" s="105"/>
      <c r="EJ58" s="105"/>
      <c r="EK58" s="105"/>
      <c r="EL58" s="105"/>
      <c r="EM58" s="105"/>
      <c r="EN58" s="105"/>
      <c r="EO58" s="105"/>
      <c r="EP58" s="105"/>
      <c r="EQ58" s="105"/>
      <c r="ER58" s="105"/>
      <c r="ES58" s="105"/>
      <c r="ET58" s="105"/>
      <c r="EU58" s="105"/>
      <c r="EV58" s="105"/>
      <c r="EW58" s="105"/>
      <c r="EX58" s="105"/>
      <c r="EY58" s="105"/>
      <c r="EZ58" s="105"/>
      <c r="FA58" s="105"/>
      <c r="FB58" s="105"/>
      <c r="FC58" s="105"/>
      <c r="FD58" s="105"/>
      <c r="FE58" s="105"/>
      <c r="FF58" s="105"/>
      <c r="FG58" s="105"/>
      <c r="FH58" s="105"/>
      <c r="FI58" s="105"/>
      <c r="FJ58" s="105"/>
      <c r="FK58" s="105"/>
      <c r="FL58" s="105"/>
      <c r="FM58" s="105"/>
      <c r="FN58" s="105"/>
      <c r="FO58" s="105"/>
      <c r="FP58" s="105"/>
      <c r="FQ58" s="105"/>
      <c r="FR58" s="105"/>
      <c r="FS58" s="105"/>
      <c r="FT58" s="105"/>
      <c r="FU58" s="105"/>
      <c r="FV58" s="105"/>
      <c r="FW58" s="105"/>
      <c r="FX58" s="105"/>
      <c r="FY58" s="105"/>
      <c r="FZ58" s="105"/>
      <c r="GA58" s="105"/>
      <c r="GB58" s="105"/>
      <c r="GC58" s="105"/>
      <c r="GD58" s="105"/>
      <c r="GE58" s="105"/>
      <c r="GF58" s="105"/>
      <c r="GG58" s="105"/>
      <c r="GH58" s="105"/>
      <c r="GI58" s="105"/>
      <c r="GJ58" s="105"/>
      <c r="GK58" s="105"/>
      <c r="GL58" s="105"/>
      <c r="GM58" s="105"/>
      <c r="GN58" s="105"/>
      <c r="GO58" s="105"/>
      <c r="GP58" s="105"/>
      <c r="GQ58" s="105"/>
      <c r="GR58" s="105"/>
      <c r="GS58" s="105"/>
      <c r="GT58" s="105"/>
      <c r="GU58" s="105"/>
      <c r="GV58" s="105"/>
      <c r="GW58" s="105"/>
      <c r="GX58" s="105"/>
      <c r="GY58" s="105"/>
      <c r="GZ58" s="105"/>
      <c r="HA58" s="105"/>
      <c r="HB58" s="105"/>
      <c r="HC58" s="105"/>
      <c r="HD58" s="105"/>
      <c r="HE58" s="105"/>
      <c r="HF58" s="105"/>
      <c r="HG58" s="105"/>
      <c r="HH58" s="105"/>
      <c r="HI58" s="105"/>
      <c r="HJ58" s="105"/>
      <c r="HK58" s="105"/>
      <c r="HL58" s="105"/>
      <c r="HM58" s="105"/>
      <c r="HN58" s="105"/>
      <c r="HO58" s="105"/>
      <c r="HP58" s="105"/>
      <c r="HQ58" s="105"/>
      <c r="HR58" s="105"/>
      <c r="HS58" s="105"/>
      <c r="HT58" s="105"/>
      <c r="HU58" s="105"/>
      <c r="HV58" s="105"/>
      <c r="HW58" s="105"/>
      <c r="HX58" s="105"/>
      <c r="HY58" s="105"/>
      <c r="HZ58" s="105"/>
      <c r="IA58" s="105"/>
      <c r="IB58" s="105"/>
      <c r="IC58" s="105"/>
      <c r="ID58" s="105"/>
      <c r="IE58" s="105"/>
      <c r="IF58" s="105"/>
      <c r="IG58" s="105"/>
      <c r="IH58" s="105"/>
      <c r="II58" s="105"/>
      <c r="IJ58" s="105"/>
      <c r="IK58" s="105"/>
      <c r="IL58" s="105"/>
      <c r="IM58" s="105"/>
      <c r="IN58" s="105"/>
      <c r="IO58" s="105"/>
      <c r="IP58" s="105"/>
      <c r="IQ58" s="105"/>
      <c r="IR58" s="105"/>
      <c r="IS58" s="105"/>
      <c r="IT58" s="105"/>
      <c r="IU58" s="105"/>
    </row>
    <row r="59" spans="1:255" s="107" customFormat="1" ht="13.5" customHeight="1" x14ac:dyDescent="0.2">
      <c r="A59" s="101"/>
      <c r="B59" s="101"/>
      <c r="C59" s="106"/>
      <c r="D59" s="106"/>
      <c r="E59" s="106"/>
      <c r="F59" s="103"/>
      <c r="G59" s="103" t="s">
        <v>68</v>
      </c>
      <c r="H59" s="103"/>
      <c r="L59" s="108"/>
      <c r="M59" s="101" t="s">
        <v>69</v>
      </c>
      <c r="N59" s="109"/>
      <c r="O59" s="110"/>
    </row>
    <row r="60" spans="1:255" ht="13.5" customHeight="1" x14ac:dyDescent="0.2">
      <c r="A60" s="100"/>
      <c r="B60" s="100"/>
      <c r="C60" s="111"/>
      <c r="D60" s="111"/>
      <c r="E60" s="111"/>
      <c r="F60" s="106"/>
      <c r="G60" s="106" t="s">
        <v>70</v>
      </c>
      <c r="H60" s="106"/>
      <c r="L60" s="112"/>
      <c r="M60" s="106" t="s">
        <v>71</v>
      </c>
      <c r="N60" s="71"/>
      <c r="O60" s="113"/>
    </row>
    <row r="61" spans="1:255" ht="13.5" customHeight="1" x14ac:dyDescent="0.25">
      <c r="A61" s="100"/>
      <c r="B61" s="100"/>
      <c r="C61" s="100"/>
      <c r="D61" s="100"/>
      <c r="E61" s="100"/>
      <c r="F61" s="111"/>
      <c r="G61" s="111" t="s">
        <v>72</v>
      </c>
      <c r="H61" s="111"/>
      <c r="L61" s="114"/>
      <c r="M61" s="115" t="s">
        <v>73</v>
      </c>
      <c r="N61" s="71"/>
      <c r="O61" s="116"/>
    </row>
    <row r="62" spans="1:255" ht="13.5" customHeight="1" x14ac:dyDescent="0.25">
      <c r="A62" s="71"/>
      <c r="B62" s="71"/>
      <c r="C62" s="71"/>
      <c r="D62" s="71"/>
      <c r="E62" s="71"/>
      <c r="F62" s="111"/>
      <c r="G62" s="111" t="s">
        <v>74</v>
      </c>
      <c r="H62" s="111"/>
      <c r="L62" s="114"/>
      <c r="M62" s="111" t="s">
        <v>74</v>
      </c>
      <c r="N62" s="71"/>
      <c r="O62" s="116"/>
    </row>
    <row r="63" spans="1:255" ht="13.5" customHeight="1" x14ac:dyDescent="0.25">
      <c r="F63" s="114"/>
      <c r="G63" s="114"/>
      <c r="H63" s="114"/>
      <c r="I63" s="114"/>
      <c r="J63" s="114"/>
      <c r="N63" s="2"/>
    </row>
    <row r="65" spans="1:14" ht="13.5" customHeight="1" x14ac:dyDescent="0.2">
      <c r="E65" s="117"/>
      <c r="F65" s="107"/>
      <c r="G65" s="107"/>
      <c r="H65" s="107"/>
      <c r="I65" s="107"/>
      <c r="J65" s="107"/>
      <c r="K65" s="107"/>
    </row>
    <row r="67" spans="1:14" ht="13.5" customHeight="1" x14ac:dyDescent="0.2">
      <c r="B67" s="4"/>
    </row>
    <row r="68" spans="1:14" ht="11.25" customHeight="1" x14ac:dyDescent="0.2">
      <c r="B68" s="119"/>
    </row>
    <row r="69" spans="1:14" ht="24" customHeight="1" x14ac:dyDescent="0.2">
      <c r="A69" s="120"/>
      <c r="B69" s="120"/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</row>
    <row r="70" spans="1:14" ht="34.5" customHeight="1" x14ac:dyDescent="0.2">
      <c r="A70" s="121"/>
      <c r="B70" s="121"/>
      <c r="C70" s="121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</row>
  </sheetData>
  <mergeCells count="81">
    <mergeCell ref="A69:N69"/>
    <mergeCell ref="A70:N70"/>
    <mergeCell ref="A48:M48"/>
    <mergeCell ref="A49:O49"/>
    <mergeCell ref="A51:O51"/>
    <mergeCell ref="A52:L52"/>
    <mergeCell ref="A53:O53"/>
    <mergeCell ref="A54:O54"/>
    <mergeCell ref="A42:M42"/>
    <mergeCell ref="A43:M43"/>
    <mergeCell ref="A44:O44"/>
    <mergeCell ref="A45:O45"/>
    <mergeCell ref="A46:O46"/>
    <mergeCell ref="A47:O47"/>
    <mergeCell ref="A36:M36"/>
    <mergeCell ref="A37:M37"/>
    <mergeCell ref="A38:M38"/>
    <mergeCell ref="A39:N39"/>
    <mergeCell ref="A40:O40"/>
    <mergeCell ref="A41:M41"/>
    <mergeCell ref="A31:F31"/>
    <mergeCell ref="I31:M31"/>
    <mergeCell ref="A32:F32"/>
    <mergeCell ref="I32:M32"/>
    <mergeCell ref="A33:F33"/>
    <mergeCell ref="I33:M33"/>
    <mergeCell ref="A28:F28"/>
    <mergeCell ref="I28:M28"/>
    <mergeCell ref="A29:F29"/>
    <mergeCell ref="I29:M29"/>
    <mergeCell ref="A30:F30"/>
    <mergeCell ref="I30:M30"/>
    <mergeCell ref="A25:F25"/>
    <mergeCell ref="I25:M25"/>
    <mergeCell ref="A26:F26"/>
    <mergeCell ref="I26:M26"/>
    <mergeCell ref="A27:F27"/>
    <mergeCell ref="I27:M27"/>
    <mergeCell ref="A22:F22"/>
    <mergeCell ref="I22:M22"/>
    <mergeCell ref="A23:F23"/>
    <mergeCell ref="I23:M23"/>
    <mergeCell ref="A24:F24"/>
    <mergeCell ref="I24:M24"/>
    <mergeCell ref="A19:F19"/>
    <mergeCell ref="I19:M19"/>
    <mergeCell ref="A20:F20"/>
    <mergeCell ref="I20:M20"/>
    <mergeCell ref="A21:F21"/>
    <mergeCell ref="I21:M21"/>
    <mergeCell ref="A16:F16"/>
    <mergeCell ref="I16:M16"/>
    <mergeCell ref="A17:F17"/>
    <mergeCell ref="I17:M17"/>
    <mergeCell ref="A18:F18"/>
    <mergeCell ref="I18:M18"/>
    <mergeCell ref="A13:F13"/>
    <mergeCell ref="I13:M13"/>
    <mergeCell ref="A14:F14"/>
    <mergeCell ref="I14:M14"/>
    <mergeCell ref="A15:F15"/>
    <mergeCell ref="I15:M15"/>
    <mergeCell ref="A10:F10"/>
    <mergeCell ref="I10:M10"/>
    <mergeCell ref="A11:F11"/>
    <mergeCell ref="I11:M11"/>
    <mergeCell ref="A12:F12"/>
    <mergeCell ref="I12:M12"/>
    <mergeCell ref="A7:F7"/>
    <mergeCell ref="I7:M7"/>
    <mergeCell ref="A8:F8"/>
    <mergeCell ref="I8:M8"/>
    <mergeCell ref="A9:F9"/>
    <mergeCell ref="I9:M9"/>
    <mergeCell ref="A1:O1"/>
    <mergeCell ref="A2:O2"/>
    <mergeCell ref="A3:O3"/>
    <mergeCell ref="A5:G5"/>
    <mergeCell ref="I5:N5"/>
    <mergeCell ref="A6:F6"/>
    <mergeCell ref="I6:M6"/>
  </mergeCells>
  <conditionalFormatting sqref="A3">
    <cfRule type="cellIs" dxfId="0" priority="1" stopIfTrue="1" operator="equal">
      <formula>"DEZEMBRO 2017"</formula>
    </cfRule>
  </conditionalFormatting>
  <printOptions horizontalCentered="1"/>
  <pageMargins left="0.39370078740157483" right="0.39370078740157483" top="0.11811023622047245" bottom="0" header="0" footer="0"/>
  <pageSetup paperSize="9" scale="65" fitToWidth="0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45C0D-D38F-418C-8BE6-37A60F98FAF0}">
  <sheetPr codeName="Plan10">
    <tabColor indexed="42"/>
    <pageSetUpPr fitToPage="1"/>
  </sheetPr>
  <dimension ref="A1:P79"/>
  <sheetViews>
    <sheetView zoomScale="110" zoomScaleNormal="110" workbookViewId="0">
      <pane ySplit="8" topLeftCell="A12" activePane="bottomLeft" state="frozen"/>
      <selection activeCell="A47" sqref="A47:O47"/>
      <selection pane="bottomLeft" activeCell="H1" sqref="H1:I1048576"/>
    </sheetView>
  </sheetViews>
  <sheetFormatPr defaultRowHeight="15" x14ac:dyDescent="0.25"/>
  <cols>
    <col min="1" max="1" width="49.140625" style="114" bestFit="1" customWidth="1"/>
    <col min="2" max="5" width="18" style="114" customWidth="1"/>
    <col min="6" max="6" width="22.140625" style="114" bestFit="1" customWidth="1"/>
    <col min="7" max="7" width="25.7109375" style="114" customWidth="1"/>
    <col min="8" max="8" width="9.140625" style="114" hidden="1" customWidth="1"/>
    <col min="9" max="9" width="16.140625" style="124" hidden="1" customWidth="1"/>
    <col min="10" max="256" width="9.140625" style="114"/>
    <col min="257" max="257" width="49.140625" style="114" bestFit="1" customWidth="1"/>
    <col min="258" max="261" width="18" style="114" customWidth="1"/>
    <col min="262" max="262" width="22.140625" style="114" bestFit="1" customWidth="1"/>
    <col min="263" max="263" width="25.7109375" style="114" customWidth="1"/>
    <col min="264" max="264" width="9.140625" style="114"/>
    <col min="265" max="265" width="16.140625" style="114" bestFit="1" customWidth="1"/>
    <col min="266" max="512" width="9.140625" style="114"/>
    <col min="513" max="513" width="49.140625" style="114" bestFit="1" customWidth="1"/>
    <col min="514" max="517" width="18" style="114" customWidth="1"/>
    <col min="518" max="518" width="22.140625" style="114" bestFit="1" customWidth="1"/>
    <col min="519" max="519" width="25.7109375" style="114" customWidth="1"/>
    <col min="520" max="520" width="9.140625" style="114"/>
    <col min="521" max="521" width="16.140625" style="114" bestFit="1" customWidth="1"/>
    <col min="522" max="768" width="9.140625" style="114"/>
    <col min="769" max="769" width="49.140625" style="114" bestFit="1" customWidth="1"/>
    <col min="770" max="773" width="18" style="114" customWidth="1"/>
    <col min="774" max="774" width="22.140625" style="114" bestFit="1" customWidth="1"/>
    <col min="775" max="775" width="25.7109375" style="114" customWidth="1"/>
    <col min="776" max="776" width="9.140625" style="114"/>
    <col min="777" max="777" width="16.140625" style="114" bestFit="1" customWidth="1"/>
    <col min="778" max="1024" width="9.140625" style="114"/>
    <col min="1025" max="1025" width="49.140625" style="114" bestFit="1" customWidth="1"/>
    <col min="1026" max="1029" width="18" style="114" customWidth="1"/>
    <col min="1030" max="1030" width="22.140625" style="114" bestFit="1" customWidth="1"/>
    <col min="1031" max="1031" width="25.7109375" style="114" customWidth="1"/>
    <col min="1032" max="1032" width="9.140625" style="114"/>
    <col min="1033" max="1033" width="16.140625" style="114" bestFit="1" customWidth="1"/>
    <col min="1034" max="1280" width="9.140625" style="114"/>
    <col min="1281" max="1281" width="49.140625" style="114" bestFit="1" customWidth="1"/>
    <col min="1282" max="1285" width="18" style="114" customWidth="1"/>
    <col min="1286" max="1286" width="22.140625" style="114" bestFit="1" customWidth="1"/>
    <col min="1287" max="1287" width="25.7109375" style="114" customWidth="1"/>
    <col min="1288" max="1288" width="9.140625" style="114"/>
    <col min="1289" max="1289" width="16.140625" style="114" bestFit="1" customWidth="1"/>
    <col min="1290" max="1536" width="9.140625" style="114"/>
    <col min="1537" max="1537" width="49.140625" style="114" bestFit="1" customWidth="1"/>
    <col min="1538" max="1541" width="18" style="114" customWidth="1"/>
    <col min="1542" max="1542" width="22.140625" style="114" bestFit="1" customWidth="1"/>
    <col min="1543" max="1543" width="25.7109375" style="114" customWidth="1"/>
    <col min="1544" max="1544" width="9.140625" style="114"/>
    <col min="1545" max="1545" width="16.140625" style="114" bestFit="1" customWidth="1"/>
    <col min="1546" max="1792" width="9.140625" style="114"/>
    <col min="1793" max="1793" width="49.140625" style="114" bestFit="1" customWidth="1"/>
    <col min="1794" max="1797" width="18" style="114" customWidth="1"/>
    <col min="1798" max="1798" width="22.140625" style="114" bestFit="1" customWidth="1"/>
    <col min="1799" max="1799" width="25.7109375" style="114" customWidth="1"/>
    <col min="1800" max="1800" width="9.140625" style="114"/>
    <col min="1801" max="1801" width="16.140625" style="114" bestFit="1" customWidth="1"/>
    <col min="1802" max="2048" width="9.140625" style="114"/>
    <col min="2049" max="2049" width="49.140625" style="114" bestFit="1" customWidth="1"/>
    <col min="2050" max="2053" width="18" style="114" customWidth="1"/>
    <col min="2054" max="2054" width="22.140625" style="114" bestFit="1" customWidth="1"/>
    <col min="2055" max="2055" width="25.7109375" style="114" customWidth="1"/>
    <col min="2056" max="2056" width="9.140625" style="114"/>
    <col min="2057" max="2057" width="16.140625" style="114" bestFit="1" customWidth="1"/>
    <col min="2058" max="2304" width="9.140625" style="114"/>
    <col min="2305" max="2305" width="49.140625" style="114" bestFit="1" customWidth="1"/>
    <col min="2306" max="2309" width="18" style="114" customWidth="1"/>
    <col min="2310" max="2310" width="22.140625" style="114" bestFit="1" customWidth="1"/>
    <col min="2311" max="2311" width="25.7109375" style="114" customWidth="1"/>
    <col min="2312" max="2312" width="9.140625" style="114"/>
    <col min="2313" max="2313" width="16.140625" style="114" bestFit="1" customWidth="1"/>
    <col min="2314" max="2560" width="9.140625" style="114"/>
    <col min="2561" max="2561" width="49.140625" style="114" bestFit="1" customWidth="1"/>
    <col min="2562" max="2565" width="18" style="114" customWidth="1"/>
    <col min="2566" max="2566" width="22.140625" style="114" bestFit="1" customWidth="1"/>
    <col min="2567" max="2567" width="25.7109375" style="114" customWidth="1"/>
    <col min="2568" max="2568" width="9.140625" style="114"/>
    <col min="2569" max="2569" width="16.140625" style="114" bestFit="1" customWidth="1"/>
    <col min="2570" max="2816" width="9.140625" style="114"/>
    <col min="2817" max="2817" width="49.140625" style="114" bestFit="1" customWidth="1"/>
    <col min="2818" max="2821" width="18" style="114" customWidth="1"/>
    <col min="2822" max="2822" width="22.140625" style="114" bestFit="1" customWidth="1"/>
    <col min="2823" max="2823" width="25.7109375" style="114" customWidth="1"/>
    <col min="2824" max="2824" width="9.140625" style="114"/>
    <col min="2825" max="2825" width="16.140625" style="114" bestFit="1" customWidth="1"/>
    <col min="2826" max="3072" width="9.140625" style="114"/>
    <col min="3073" max="3073" width="49.140625" style="114" bestFit="1" customWidth="1"/>
    <col min="3074" max="3077" width="18" style="114" customWidth="1"/>
    <col min="3078" max="3078" width="22.140625" style="114" bestFit="1" customWidth="1"/>
    <col min="3079" max="3079" width="25.7109375" style="114" customWidth="1"/>
    <col min="3080" max="3080" width="9.140625" style="114"/>
    <col min="3081" max="3081" width="16.140625" style="114" bestFit="1" customWidth="1"/>
    <col min="3082" max="3328" width="9.140625" style="114"/>
    <col min="3329" max="3329" width="49.140625" style="114" bestFit="1" customWidth="1"/>
    <col min="3330" max="3333" width="18" style="114" customWidth="1"/>
    <col min="3334" max="3334" width="22.140625" style="114" bestFit="1" customWidth="1"/>
    <col min="3335" max="3335" width="25.7109375" style="114" customWidth="1"/>
    <col min="3336" max="3336" width="9.140625" style="114"/>
    <col min="3337" max="3337" width="16.140625" style="114" bestFit="1" customWidth="1"/>
    <col min="3338" max="3584" width="9.140625" style="114"/>
    <col min="3585" max="3585" width="49.140625" style="114" bestFit="1" customWidth="1"/>
    <col min="3586" max="3589" width="18" style="114" customWidth="1"/>
    <col min="3590" max="3590" width="22.140625" style="114" bestFit="1" customWidth="1"/>
    <col min="3591" max="3591" width="25.7109375" style="114" customWidth="1"/>
    <col min="3592" max="3592" width="9.140625" style="114"/>
    <col min="3593" max="3593" width="16.140625" style="114" bestFit="1" customWidth="1"/>
    <col min="3594" max="3840" width="9.140625" style="114"/>
    <col min="3841" max="3841" width="49.140625" style="114" bestFit="1" customWidth="1"/>
    <col min="3842" max="3845" width="18" style="114" customWidth="1"/>
    <col min="3846" max="3846" width="22.140625" style="114" bestFit="1" customWidth="1"/>
    <col min="3847" max="3847" width="25.7109375" style="114" customWidth="1"/>
    <col min="3848" max="3848" width="9.140625" style="114"/>
    <col min="3849" max="3849" width="16.140625" style="114" bestFit="1" customWidth="1"/>
    <col min="3850" max="4096" width="9.140625" style="114"/>
    <col min="4097" max="4097" width="49.140625" style="114" bestFit="1" customWidth="1"/>
    <col min="4098" max="4101" width="18" style="114" customWidth="1"/>
    <col min="4102" max="4102" width="22.140625" style="114" bestFit="1" customWidth="1"/>
    <col min="4103" max="4103" width="25.7109375" style="114" customWidth="1"/>
    <col min="4104" max="4104" width="9.140625" style="114"/>
    <col min="4105" max="4105" width="16.140625" style="114" bestFit="1" customWidth="1"/>
    <col min="4106" max="4352" width="9.140625" style="114"/>
    <col min="4353" max="4353" width="49.140625" style="114" bestFit="1" customWidth="1"/>
    <col min="4354" max="4357" width="18" style="114" customWidth="1"/>
    <col min="4358" max="4358" width="22.140625" style="114" bestFit="1" customWidth="1"/>
    <col min="4359" max="4359" width="25.7109375" style="114" customWidth="1"/>
    <col min="4360" max="4360" width="9.140625" style="114"/>
    <col min="4361" max="4361" width="16.140625" style="114" bestFit="1" customWidth="1"/>
    <col min="4362" max="4608" width="9.140625" style="114"/>
    <col min="4609" max="4609" width="49.140625" style="114" bestFit="1" customWidth="1"/>
    <col min="4610" max="4613" width="18" style="114" customWidth="1"/>
    <col min="4614" max="4614" width="22.140625" style="114" bestFit="1" customWidth="1"/>
    <col min="4615" max="4615" width="25.7109375" style="114" customWidth="1"/>
    <col min="4616" max="4616" width="9.140625" style="114"/>
    <col min="4617" max="4617" width="16.140625" style="114" bestFit="1" customWidth="1"/>
    <col min="4618" max="4864" width="9.140625" style="114"/>
    <col min="4865" max="4865" width="49.140625" style="114" bestFit="1" customWidth="1"/>
    <col min="4866" max="4869" width="18" style="114" customWidth="1"/>
    <col min="4870" max="4870" width="22.140625" style="114" bestFit="1" customWidth="1"/>
    <col min="4871" max="4871" width="25.7109375" style="114" customWidth="1"/>
    <col min="4872" max="4872" width="9.140625" style="114"/>
    <col min="4873" max="4873" width="16.140625" style="114" bestFit="1" customWidth="1"/>
    <col min="4874" max="5120" width="9.140625" style="114"/>
    <col min="5121" max="5121" width="49.140625" style="114" bestFit="1" customWidth="1"/>
    <col min="5122" max="5125" width="18" style="114" customWidth="1"/>
    <col min="5126" max="5126" width="22.140625" style="114" bestFit="1" customWidth="1"/>
    <col min="5127" max="5127" width="25.7109375" style="114" customWidth="1"/>
    <col min="5128" max="5128" width="9.140625" style="114"/>
    <col min="5129" max="5129" width="16.140625" style="114" bestFit="1" customWidth="1"/>
    <col min="5130" max="5376" width="9.140625" style="114"/>
    <col min="5377" max="5377" width="49.140625" style="114" bestFit="1" customWidth="1"/>
    <col min="5378" max="5381" width="18" style="114" customWidth="1"/>
    <col min="5382" max="5382" width="22.140625" style="114" bestFit="1" customWidth="1"/>
    <col min="5383" max="5383" width="25.7109375" style="114" customWidth="1"/>
    <col min="5384" max="5384" width="9.140625" style="114"/>
    <col min="5385" max="5385" width="16.140625" style="114" bestFit="1" customWidth="1"/>
    <col min="5386" max="5632" width="9.140625" style="114"/>
    <col min="5633" max="5633" width="49.140625" style="114" bestFit="1" customWidth="1"/>
    <col min="5634" max="5637" width="18" style="114" customWidth="1"/>
    <col min="5638" max="5638" width="22.140625" style="114" bestFit="1" customWidth="1"/>
    <col min="5639" max="5639" width="25.7109375" style="114" customWidth="1"/>
    <col min="5640" max="5640" width="9.140625" style="114"/>
    <col min="5641" max="5641" width="16.140625" style="114" bestFit="1" customWidth="1"/>
    <col min="5642" max="5888" width="9.140625" style="114"/>
    <col min="5889" max="5889" width="49.140625" style="114" bestFit="1" customWidth="1"/>
    <col min="5890" max="5893" width="18" style="114" customWidth="1"/>
    <col min="5894" max="5894" width="22.140625" style="114" bestFit="1" customWidth="1"/>
    <col min="5895" max="5895" width="25.7109375" style="114" customWidth="1"/>
    <col min="5896" max="5896" width="9.140625" style="114"/>
    <col min="5897" max="5897" width="16.140625" style="114" bestFit="1" customWidth="1"/>
    <col min="5898" max="6144" width="9.140625" style="114"/>
    <col min="6145" max="6145" width="49.140625" style="114" bestFit="1" customWidth="1"/>
    <col min="6146" max="6149" width="18" style="114" customWidth="1"/>
    <col min="6150" max="6150" width="22.140625" style="114" bestFit="1" customWidth="1"/>
    <col min="6151" max="6151" width="25.7109375" style="114" customWidth="1"/>
    <col min="6152" max="6152" width="9.140625" style="114"/>
    <col min="6153" max="6153" width="16.140625" style="114" bestFit="1" customWidth="1"/>
    <col min="6154" max="6400" width="9.140625" style="114"/>
    <col min="6401" max="6401" width="49.140625" style="114" bestFit="1" customWidth="1"/>
    <col min="6402" max="6405" width="18" style="114" customWidth="1"/>
    <col min="6406" max="6406" width="22.140625" style="114" bestFit="1" customWidth="1"/>
    <col min="6407" max="6407" width="25.7109375" style="114" customWidth="1"/>
    <col min="6408" max="6408" width="9.140625" style="114"/>
    <col min="6409" max="6409" width="16.140625" style="114" bestFit="1" customWidth="1"/>
    <col min="6410" max="6656" width="9.140625" style="114"/>
    <col min="6657" max="6657" width="49.140625" style="114" bestFit="1" customWidth="1"/>
    <col min="6658" max="6661" width="18" style="114" customWidth="1"/>
    <col min="6662" max="6662" width="22.140625" style="114" bestFit="1" customWidth="1"/>
    <col min="6663" max="6663" width="25.7109375" style="114" customWidth="1"/>
    <col min="6664" max="6664" width="9.140625" style="114"/>
    <col min="6665" max="6665" width="16.140625" style="114" bestFit="1" customWidth="1"/>
    <col min="6666" max="6912" width="9.140625" style="114"/>
    <col min="6913" max="6913" width="49.140625" style="114" bestFit="1" customWidth="1"/>
    <col min="6914" max="6917" width="18" style="114" customWidth="1"/>
    <col min="6918" max="6918" width="22.140625" style="114" bestFit="1" customWidth="1"/>
    <col min="6919" max="6919" width="25.7109375" style="114" customWidth="1"/>
    <col min="6920" max="6920" width="9.140625" style="114"/>
    <col min="6921" max="6921" width="16.140625" style="114" bestFit="1" customWidth="1"/>
    <col min="6922" max="7168" width="9.140625" style="114"/>
    <col min="7169" max="7169" width="49.140625" style="114" bestFit="1" customWidth="1"/>
    <col min="7170" max="7173" width="18" style="114" customWidth="1"/>
    <col min="7174" max="7174" width="22.140625" style="114" bestFit="1" customWidth="1"/>
    <col min="7175" max="7175" width="25.7109375" style="114" customWidth="1"/>
    <col min="7176" max="7176" width="9.140625" style="114"/>
    <col min="7177" max="7177" width="16.140625" style="114" bestFit="1" customWidth="1"/>
    <col min="7178" max="7424" width="9.140625" style="114"/>
    <col min="7425" max="7425" width="49.140625" style="114" bestFit="1" customWidth="1"/>
    <col min="7426" max="7429" width="18" style="114" customWidth="1"/>
    <col min="7430" max="7430" width="22.140625" style="114" bestFit="1" customWidth="1"/>
    <col min="7431" max="7431" width="25.7109375" style="114" customWidth="1"/>
    <col min="7432" max="7432" width="9.140625" style="114"/>
    <col min="7433" max="7433" width="16.140625" style="114" bestFit="1" customWidth="1"/>
    <col min="7434" max="7680" width="9.140625" style="114"/>
    <col min="7681" max="7681" width="49.140625" style="114" bestFit="1" customWidth="1"/>
    <col min="7682" max="7685" width="18" style="114" customWidth="1"/>
    <col min="7686" max="7686" width="22.140625" style="114" bestFit="1" customWidth="1"/>
    <col min="7687" max="7687" width="25.7109375" style="114" customWidth="1"/>
    <col min="7688" max="7688" width="9.140625" style="114"/>
    <col min="7689" max="7689" width="16.140625" style="114" bestFit="1" customWidth="1"/>
    <col min="7690" max="7936" width="9.140625" style="114"/>
    <col min="7937" max="7937" width="49.140625" style="114" bestFit="1" customWidth="1"/>
    <col min="7938" max="7941" width="18" style="114" customWidth="1"/>
    <col min="7942" max="7942" width="22.140625" style="114" bestFit="1" customWidth="1"/>
    <col min="7943" max="7943" width="25.7109375" style="114" customWidth="1"/>
    <col min="7944" max="7944" width="9.140625" style="114"/>
    <col min="7945" max="7945" width="16.140625" style="114" bestFit="1" customWidth="1"/>
    <col min="7946" max="8192" width="9.140625" style="114"/>
    <col min="8193" max="8193" width="49.140625" style="114" bestFit="1" customWidth="1"/>
    <col min="8194" max="8197" width="18" style="114" customWidth="1"/>
    <col min="8198" max="8198" width="22.140625" style="114" bestFit="1" customWidth="1"/>
    <col min="8199" max="8199" width="25.7109375" style="114" customWidth="1"/>
    <col min="8200" max="8200" width="9.140625" style="114"/>
    <col min="8201" max="8201" width="16.140625" style="114" bestFit="1" customWidth="1"/>
    <col min="8202" max="8448" width="9.140625" style="114"/>
    <col min="8449" max="8449" width="49.140625" style="114" bestFit="1" customWidth="1"/>
    <col min="8450" max="8453" width="18" style="114" customWidth="1"/>
    <col min="8454" max="8454" width="22.140625" style="114" bestFit="1" customWidth="1"/>
    <col min="8455" max="8455" width="25.7109375" style="114" customWidth="1"/>
    <col min="8456" max="8456" width="9.140625" style="114"/>
    <col min="8457" max="8457" width="16.140625" style="114" bestFit="1" customWidth="1"/>
    <col min="8458" max="8704" width="9.140625" style="114"/>
    <col min="8705" max="8705" width="49.140625" style="114" bestFit="1" customWidth="1"/>
    <col min="8706" max="8709" width="18" style="114" customWidth="1"/>
    <col min="8710" max="8710" width="22.140625" style="114" bestFit="1" customWidth="1"/>
    <col min="8711" max="8711" width="25.7109375" style="114" customWidth="1"/>
    <col min="8712" max="8712" width="9.140625" style="114"/>
    <col min="8713" max="8713" width="16.140625" style="114" bestFit="1" customWidth="1"/>
    <col min="8714" max="8960" width="9.140625" style="114"/>
    <col min="8961" max="8961" width="49.140625" style="114" bestFit="1" customWidth="1"/>
    <col min="8962" max="8965" width="18" style="114" customWidth="1"/>
    <col min="8966" max="8966" width="22.140625" style="114" bestFit="1" customWidth="1"/>
    <col min="8967" max="8967" width="25.7109375" style="114" customWidth="1"/>
    <col min="8968" max="8968" width="9.140625" style="114"/>
    <col min="8969" max="8969" width="16.140625" style="114" bestFit="1" customWidth="1"/>
    <col min="8970" max="9216" width="9.140625" style="114"/>
    <col min="9217" max="9217" width="49.140625" style="114" bestFit="1" customWidth="1"/>
    <col min="9218" max="9221" width="18" style="114" customWidth="1"/>
    <col min="9222" max="9222" width="22.140625" style="114" bestFit="1" customWidth="1"/>
    <col min="9223" max="9223" width="25.7109375" style="114" customWidth="1"/>
    <col min="9224" max="9224" width="9.140625" style="114"/>
    <col min="9225" max="9225" width="16.140625" style="114" bestFit="1" customWidth="1"/>
    <col min="9226" max="9472" width="9.140625" style="114"/>
    <col min="9473" max="9473" width="49.140625" style="114" bestFit="1" customWidth="1"/>
    <col min="9474" max="9477" width="18" style="114" customWidth="1"/>
    <col min="9478" max="9478" width="22.140625" style="114" bestFit="1" customWidth="1"/>
    <col min="9479" max="9479" width="25.7109375" style="114" customWidth="1"/>
    <col min="9480" max="9480" width="9.140625" style="114"/>
    <col min="9481" max="9481" width="16.140625" style="114" bestFit="1" customWidth="1"/>
    <col min="9482" max="9728" width="9.140625" style="114"/>
    <col min="9729" max="9729" width="49.140625" style="114" bestFit="1" customWidth="1"/>
    <col min="9730" max="9733" width="18" style="114" customWidth="1"/>
    <col min="9734" max="9734" width="22.140625" style="114" bestFit="1" customWidth="1"/>
    <col min="9735" max="9735" width="25.7109375" style="114" customWidth="1"/>
    <col min="9736" max="9736" width="9.140625" style="114"/>
    <col min="9737" max="9737" width="16.140625" style="114" bestFit="1" customWidth="1"/>
    <col min="9738" max="9984" width="9.140625" style="114"/>
    <col min="9985" max="9985" width="49.140625" style="114" bestFit="1" customWidth="1"/>
    <col min="9986" max="9989" width="18" style="114" customWidth="1"/>
    <col min="9990" max="9990" width="22.140625" style="114" bestFit="1" customWidth="1"/>
    <col min="9991" max="9991" width="25.7109375" style="114" customWidth="1"/>
    <col min="9992" max="9992" width="9.140625" style="114"/>
    <col min="9993" max="9993" width="16.140625" style="114" bestFit="1" customWidth="1"/>
    <col min="9994" max="10240" width="9.140625" style="114"/>
    <col min="10241" max="10241" width="49.140625" style="114" bestFit="1" customWidth="1"/>
    <col min="10242" max="10245" width="18" style="114" customWidth="1"/>
    <col min="10246" max="10246" width="22.140625" style="114" bestFit="1" customWidth="1"/>
    <col min="10247" max="10247" width="25.7109375" style="114" customWidth="1"/>
    <col min="10248" max="10248" width="9.140625" style="114"/>
    <col min="10249" max="10249" width="16.140625" style="114" bestFit="1" customWidth="1"/>
    <col min="10250" max="10496" width="9.140625" style="114"/>
    <col min="10497" max="10497" width="49.140625" style="114" bestFit="1" customWidth="1"/>
    <col min="10498" max="10501" width="18" style="114" customWidth="1"/>
    <col min="10502" max="10502" width="22.140625" style="114" bestFit="1" customWidth="1"/>
    <col min="10503" max="10503" width="25.7109375" style="114" customWidth="1"/>
    <col min="10504" max="10504" width="9.140625" style="114"/>
    <col min="10505" max="10505" width="16.140625" style="114" bestFit="1" customWidth="1"/>
    <col min="10506" max="10752" width="9.140625" style="114"/>
    <col min="10753" max="10753" width="49.140625" style="114" bestFit="1" customWidth="1"/>
    <col min="10754" max="10757" width="18" style="114" customWidth="1"/>
    <col min="10758" max="10758" width="22.140625" style="114" bestFit="1" customWidth="1"/>
    <col min="10759" max="10759" width="25.7109375" style="114" customWidth="1"/>
    <col min="10760" max="10760" width="9.140625" style="114"/>
    <col min="10761" max="10761" width="16.140625" style="114" bestFit="1" customWidth="1"/>
    <col min="10762" max="11008" width="9.140625" style="114"/>
    <col min="11009" max="11009" width="49.140625" style="114" bestFit="1" customWidth="1"/>
    <col min="11010" max="11013" width="18" style="114" customWidth="1"/>
    <col min="11014" max="11014" width="22.140625" style="114" bestFit="1" customWidth="1"/>
    <col min="11015" max="11015" width="25.7109375" style="114" customWidth="1"/>
    <col min="11016" max="11016" width="9.140625" style="114"/>
    <col min="11017" max="11017" width="16.140625" style="114" bestFit="1" customWidth="1"/>
    <col min="11018" max="11264" width="9.140625" style="114"/>
    <col min="11265" max="11265" width="49.140625" style="114" bestFit="1" customWidth="1"/>
    <col min="11266" max="11269" width="18" style="114" customWidth="1"/>
    <col min="11270" max="11270" width="22.140625" style="114" bestFit="1" customWidth="1"/>
    <col min="11271" max="11271" width="25.7109375" style="114" customWidth="1"/>
    <col min="11272" max="11272" width="9.140625" style="114"/>
    <col min="11273" max="11273" width="16.140625" style="114" bestFit="1" customWidth="1"/>
    <col min="11274" max="11520" width="9.140625" style="114"/>
    <col min="11521" max="11521" width="49.140625" style="114" bestFit="1" customWidth="1"/>
    <col min="11522" max="11525" width="18" style="114" customWidth="1"/>
    <col min="11526" max="11526" width="22.140625" style="114" bestFit="1" customWidth="1"/>
    <col min="11527" max="11527" width="25.7109375" style="114" customWidth="1"/>
    <col min="11528" max="11528" width="9.140625" style="114"/>
    <col min="11529" max="11529" width="16.140625" style="114" bestFit="1" customWidth="1"/>
    <col min="11530" max="11776" width="9.140625" style="114"/>
    <col min="11777" max="11777" width="49.140625" style="114" bestFit="1" customWidth="1"/>
    <col min="11778" max="11781" width="18" style="114" customWidth="1"/>
    <col min="11782" max="11782" width="22.140625" style="114" bestFit="1" customWidth="1"/>
    <col min="11783" max="11783" width="25.7109375" style="114" customWidth="1"/>
    <col min="11784" max="11784" width="9.140625" style="114"/>
    <col min="11785" max="11785" width="16.140625" style="114" bestFit="1" customWidth="1"/>
    <col min="11786" max="12032" width="9.140625" style="114"/>
    <col min="12033" max="12033" width="49.140625" style="114" bestFit="1" customWidth="1"/>
    <col min="12034" max="12037" width="18" style="114" customWidth="1"/>
    <col min="12038" max="12038" width="22.140625" style="114" bestFit="1" customWidth="1"/>
    <col min="12039" max="12039" width="25.7109375" style="114" customWidth="1"/>
    <col min="12040" max="12040" width="9.140625" style="114"/>
    <col min="12041" max="12041" width="16.140625" style="114" bestFit="1" customWidth="1"/>
    <col min="12042" max="12288" width="9.140625" style="114"/>
    <col min="12289" max="12289" width="49.140625" style="114" bestFit="1" customWidth="1"/>
    <col min="12290" max="12293" width="18" style="114" customWidth="1"/>
    <col min="12294" max="12294" width="22.140625" style="114" bestFit="1" customWidth="1"/>
    <col min="12295" max="12295" width="25.7109375" style="114" customWidth="1"/>
    <col min="12296" max="12296" width="9.140625" style="114"/>
    <col min="12297" max="12297" width="16.140625" style="114" bestFit="1" customWidth="1"/>
    <col min="12298" max="12544" width="9.140625" style="114"/>
    <col min="12545" max="12545" width="49.140625" style="114" bestFit="1" customWidth="1"/>
    <col min="12546" max="12549" width="18" style="114" customWidth="1"/>
    <col min="12550" max="12550" width="22.140625" style="114" bestFit="1" customWidth="1"/>
    <col min="12551" max="12551" width="25.7109375" style="114" customWidth="1"/>
    <col min="12552" max="12552" width="9.140625" style="114"/>
    <col min="12553" max="12553" width="16.140625" style="114" bestFit="1" customWidth="1"/>
    <col min="12554" max="12800" width="9.140625" style="114"/>
    <col min="12801" max="12801" width="49.140625" style="114" bestFit="1" customWidth="1"/>
    <col min="12802" max="12805" width="18" style="114" customWidth="1"/>
    <col min="12806" max="12806" width="22.140625" style="114" bestFit="1" customWidth="1"/>
    <col min="12807" max="12807" width="25.7109375" style="114" customWidth="1"/>
    <col min="12808" max="12808" width="9.140625" style="114"/>
    <col min="12809" max="12809" width="16.140625" style="114" bestFit="1" customWidth="1"/>
    <col min="12810" max="13056" width="9.140625" style="114"/>
    <col min="13057" max="13057" width="49.140625" style="114" bestFit="1" customWidth="1"/>
    <col min="13058" max="13061" width="18" style="114" customWidth="1"/>
    <col min="13062" max="13062" width="22.140625" style="114" bestFit="1" customWidth="1"/>
    <col min="13063" max="13063" width="25.7109375" style="114" customWidth="1"/>
    <col min="13064" max="13064" width="9.140625" style="114"/>
    <col min="13065" max="13065" width="16.140625" style="114" bestFit="1" customWidth="1"/>
    <col min="13066" max="13312" width="9.140625" style="114"/>
    <col min="13313" max="13313" width="49.140625" style="114" bestFit="1" customWidth="1"/>
    <col min="13314" max="13317" width="18" style="114" customWidth="1"/>
    <col min="13318" max="13318" width="22.140625" style="114" bestFit="1" customWidth="1"/>
    <col min="13319" max="13319" width="25.7109375" style="114" customWidth="1"/>
    <col min="13320" max="13320" width="9.140625" style="114"/>
    <col min="13321" max="13321" width="16.140625" style="114" bestFit="1" customWidth="1"/>
    <col min="13322" max="13568" width="9.140625" style="114"/>
    <col min="13569" max="13569" width="49.140625" style="114" bestFit="1" customWidth="1"/>
    <col min="13570" max="13573" width="18" style="114" customWidth="1"/>
    <col min="13574" max="13574" width="22.140625" style="114" bestFit="1" customWidth="1"/>
    <col min="13575" max="13575" width="25.7109375" style="114" customWidth="1"/>
    <col min="13576" max="13576" width="9.140625" style="114"/>
    <col min="13577" max="13577" width="16.140625" style="114" bestFit="1" customWidth="1"/>
    <col min="13578" max="13824" width="9.140625" style="114"/>
    <col min="13825" max="13825" width="49.140625" style="114" bestFit="1" customWidth="1"/>
    <col min="13826" max="13829" width="18" style="114" customWidth="1"/>
    <col min="13830" max="13830" width="22.140625" style="114" bestFit="1" customWidth="1"/>
    <col min="13831" max="13831" width="25.7109375" style="114" customWidth="1"/>
    <col min="13832" max="13832" width="9.140625" style="114"/>
    <col min="13833" max="13833" width="16.140625" style="114" bestFit="1" customWidth="1"/>
    <col min="13834" max="14080" width="9.140625" style="114"/>
    <col min="14081" max="14081" width="49.140625" style="114" bestFit="1" customWidth="1"/>
    <col min="14082" max="14085" width="18" style="114" customWidth="1"/>
    <col min="14086" max="14086" width="22.140625" style="114" bestFit="1" customWidth="1"/>
    <col min="14087" max="14087" width="25.7109375" style="114" customWidth="1"/>
    <col min="14088" max="14088" width="9.140625" style="114"/>
    <col min="14089" max="14089" width="16.140625" style="114" bestFit="1" customWidth="1"/>
    <col min="14090" max="14336" width="9.140625" style="114"/>
    <col min="14337" max="14337" width="49.140625" style="114" bestFit="1" customWidth="1"/>
    <col min="14338" max="14341" width="18" style="114" customWidth="1"/>
    <col min="14342" max="14342" width="22.140625" style="114" bestFit="1" customWidth="1"/>
    <col min="14343" max="14343" width="25.7109375" style="114" customWidth="1"/>
    <col min="14344" max="14344" width="9.140625" style="114"/>
    <col min="14345" max="14345" width="16.140625" style="114" bestFit="1" customWidth="1"/>
    <col min="14346" max="14592" width="9.140625" style="114"/>
    <col min="14593" max="14593" width="49.140625" style="114" bestFit="1" customWidth="1"/>
    <col min="14594" max="14597" width="18" style="114" customWidth="1"/>
    <col min="14598" max="14598" width="22.140625" style="114" bestFit="1" customWidth="1"/>
    <col min="14599" max="14599" width="25.7109375" style="114" customWidth="1"/>
    <col min="14600" max="14600" width="9.140625" style="114"/>
    <col min="14601" max="14601" width="16.140625" style="114" bestFit="1" customWidth="1"/>
    <col min="14602" max="14848" width="9.140625" style="114"/>
    <col min="14849" max="14849" width="49.140625" style="114" bestFit="1" customWidth="1"/>
    <col min="14850" max="14853" width="18" style="114" customWidth="1"/>
    <col min="14854" max="14854" width="22.140625" style="114" bestFit="1" customWidth="1"/>
    <col min="14855" max="14855" width="25.7109375" style="114" customWidth="1"/>
    <col min="14856" max="14856" width="9.140625" style="114"/>
    <col min="14857" max="14857" width="16.140625" style="114" bestFit="1" customWidth="1"/>
    <col min="14858" max="15104" width="9.140625" style="114"/>
    <col min="15105" max="15105" width="49.140625" style="114" bestFit="1" customWidth="1"/>
    <col min="15106" max="15109" width="18" style="114" customWidth="1"/>
    <col min="15110" max="15110" width="22.140625" style="114" bestFit="1" customWidth="1"/>
    <col min="15111" max="15111" width="25.7109375" style="114" customWidth="1"/>
    <col min="15112" max="15112" width="9.140625" style="114"/>
    <col min="15113" max="15113" width="16.140625" style="114" bestFit="1" customWidth="1"/>
    <col min="15114" max="15360" width="9.140625" style="114"/>
    <col min="15361" max="15361" width="49.140625" style="114" bestFit="1" customWidth="1"/>
    <col min="15362" max="15365" width="18" style="114" customWidth="1"/>
    <col min="15366" max="15366" width="22.140625" style="114" bestFit="1" customWidth="1"/>
    <col min="15367" max="15367" width="25.7109375" style="114" customWidth="1"/>
    <col min="15368" max="15368" width="9.140625" style="114"/>
    <col min="15369" max="15369" width="16.140625" style="114" bestFit="1" customWidth="1"/>
    <col min="15370" max="15616" width="9.140625" style="114"/>
    <col min="15617" max="15617" width="49.140625" style="114" bestFit="1" customWidth="1"/>
    <col min="15618" max="15621" width="18" style="114" customWidth="1"/>
    <col min="15622" max="15622" width="22.140625" style="114" bestFit="1" customWidth="1"/>
    <col min="15623" max="15623" width="25.7109375" style="114" customWidth="1"/>
    <col min="15624" max="15624" width="9.140625" style="114"/>
    <col min="15625" max="15625" width="16.140625" style="114" bestFit="1" customWidth="1"/>
    <col min="15626" max="15872" width="9.140625" style="114"/>
    <col min="15873" max="15873" width="49.140625" style="114" bestFit="1" customWidth="1"/>
    <col min="15874" max="15877" width="18" style="114" customWidth="1"/>
    <col min="15878" max="15878" width="22.140625" style="114" bestFit="1" customWidth="1"/>
    <col min="15879" max="15879" width="25.7109375" style="114" customWidth="1"/>
    <col min="15880" max="15880" width="9.140625" style="114"/>
    <col min="15881" max="15881" width="16.140625" style="114" bestFit="1" customWidth="1"/>
    <col min="15882" max="16128" width="9.140625" style="114"/>
    <col min="16129" max="16129" width="49.140625" style="114" bestFit="1" customWidth="1"/>
    <col min="16130" max="16133" width="18" style="114" customWidth="1"/>
    <col min="16134" max="16134" width="22.140625" style="114" bestFit="1" customWidth="1"/>
    <col min="16135" max="16135" width="25.7109375" style="114" customWidth="1"/>
    <col min="16136" max="16136" width="9.140625" style="114"/>
    <col min="16137" max="16137" width="16.140625" style="114" bestFit="1" customWidth="1"/>
    <col min="16138" max="16384" width="9.140625" style="114"/>
  </cols>
  <sheetData>
    <row r="1" spans="1:9" x14ac:dyDescent="0.25">
      <c r="A1" s="122">
        <f>'[1]B.F. 05 '!A5:K5</f>
        <v>44013</v>
      </c>
      <c r="D1" s="123"/>
      <c r="I1" s="124" t="s">
        <v>75</v>
      </c>
    </row>
    <row r="2" spans="1:9" ht="15.75" x14ac:dyDescent="0.25">
      <c r="A2" s="125" t="s">
        <v>0</v>
      </c>
      <c r="B2" s="125"/>
      <c r="C2" s="125"/>
      <c r="D2" s="125"/>
      <c r="E2" s="125"/>
      <c r="F2" s="125"/>
      <c r="G2" s="125"/>
      <c r="H2" s="114" t="s">
        <v>76</v>
      </c>
      <c r="I2" s="124">
        <f>'Balanço Financeiro '!G7</f>
        <v>13830835.829999998</v>
      </c>
    </row>
    <row r="3" spans="1:9" ht="15.75" x14ac:dyDescent="0.25">
      <c r="A3" s="125" t="s">
        <v>77</v>
      </c>
      <c r="B3" s="125"/>
      <c r="C3" s="125"/>
      <c r="D3" s="125"/>
      <c r="E3" s="125"/>
      <c r="F3" s="125"/>
      <c r="G3" s="125"/>
      <c r="H3" s="114" t="s">
        <v>78</v>
      </c>
      <c r="I3" s="124">
        <f>F8</f>
        <v>13830835.830000002</v>
      </c>
    </row>
    <row r="4" spans="1:9" ht="15.75" x14ac:dyDescent="0.25">
      <c r="A4" s="125" t="s">
        <v>79</v>
      </c>
      <c r="B4" s="125"/>
      <c r="C4" s="125"/>
      <c r="D4" s="125"/>
      <c r="E4" s="125"/>
      <c r="F4" s="125"/>
      <c r="G4" s="125"/>
      <c r="H4" s="114" t="s">
        <v>80</v>
      </c>
      <c r="I4" s="126">
        <f>I2-I3</f>
        <v>0</v>
      </c>
    </row>
    <row r="5" spans="1:9" ht="15.75" x14ac:dyDescent="0.25">
      <c r="A5" s="125" t="s">
        <v>81</v>
      </c>
      <c r="B5" s="125"/>
      <c r="C5" s="125"/>
      <c r="D5" s="125"/>
      <c r="E5" s="125"/>
      <c r="F5" s="125"/>
      <c r="G5" s="125"/>
    </row>
    <row r="6" spans="1:9" x14ac:dyDescent="0.25">
      <c r="A6" s="127"/>
      <c r="B6" s="127"/>
      <c r="C6" s="127"/>
      <c r="D6" s="127"/>
      <c r="E6" s="127"/>
    </row>
    <row r="7" spans="1:9" x14ac:dyDescent="0.25">
      <c r="A7" s="128" t="s">
        <v>82</v>
      </c>
      <c r="B7" s="129" t="s">
        <v>83</v>
      </c>
      <c r="C7" s="129"/>
      <c r="D7" s="129" t="s">
        <v>84</v>
      </c>
      <c r="E7" s="129"/>
      <c r="F7" s="130" t="s">
        <v>85</v>
      </c>
      <c r="G7" s="130" t="s">
        <v>86</v>
      </c>
    </row>
    <row r="8" spans="1:9" ht="15.75" x14ac:dyDescent="0.25">
      <c r="A8" s="131" t="s">
        <v>87</v>
      </c>
      <c r="B8" s="132">
        <f>SUM(B9:B16)</f>
        <v>86517256</v>
      </c>
      <c r="C8" s="132"/>
      <c r="D8" s="132">
        <f>SUM(D9:D16)</f>
        <v>86517256</v>
      </c>
      <c r="E8" s="132"/>
      <c r="F8" s="133">
        <f>SUM(F9:F16)</f>
        <v>13830835.830000002</v>
      </c>
      <c r="G8" s="133">
        <f>F8-D8</f>
        <v>-72686420.170000002</v>
      </c>
    </row>
    <row r="9" spans="1:9" ht="15.75" x14ac:dyDescent="0.25">
      <c r="A9" s="134" t="s">
        <v>88</v>
      </c>
      <c r="B9" s="135"/>
      <c r="C9" s="136"/>
      <c r="D9" s="135"/>
      <c r="E9" s="136"/>
      <c r="F9" s="137"/>
      <c r="G9" s="137">
        <f t="shared" ref="G9:G22" si="0">F9-D9</f>
        <v>0</v>
      </c>
    </row>
    <row r="10" spans="1:9" ht="15.75" x14ac:dyDescent="0.25">
      <c r="A10" s="134" t="s">
        <v>89</v>
      </c>
      <c r="B10" s="138"/>
      <c r="C10" s="139"/>
      <c r="D10" s="135"/>
      <c r="E10" s="136"/>
      <c r="F10" s="137"/>
      <c r="G10" s="137">
        <f t="shared" si="0"/>
        <v>0</v>
      </c>
    </row>
    <row r="11" spans="1:9" ht="15.75" x14ac:dyDescent="0.25">
      <c r="A11" s="134" t="s">
        <v>90</v>
      </c>
      <c r="B11" s="138">
        <f>HLOOKUP($A$1,[1]DADOS!$A1:$IV200,4,0)</f>
        <v>16517256</v>
      </c>
      <c r="C11" s="139"/>
      <c r="D11" s="135">
        <f>$B$11</f>
        <v>16517256</v>
      </c>
      <c r="E11" s="136"/>
      <c r="F11" s="140">
        <f>HLOOKUP($A$1,[1]DADOS!$A1:$IV200,8,0)</f>
        <v>4334449.05</v>
      </c>
      <c r="G11" s="137">
        <f>F11-D11</f>
        <v>-12182806.949999999</v>
      </c>
    </row>
    <row r="12" spans="1:9" ht="15.75" x14ac:dyDescent="0.25">
      <c r="A12" s="134" t="s">
        <v>91</v>
      </c>
      <c r="B12" s="138"/>
      <c r="C12" s="139"/>
      <c r="D12" s="135">
        <f>B12</f>
        <v>0</v>
      </c>
      <c r="E12" s="136"/>
      <c r="F12" s="137"/>
      <c r="G12" s="137">
        <f t="shared" si="0"/>
        <v>0</v>
      </c>
    </row>
    <row r="13" spans="1:9" ht="15.75" x14ac:dyDescent="0.25">
      <c r="A13" s="134" t="s">
        <v>92</v>
      </c>
      <c r="B13" s="135"/>
      <c r="C13" s="136"/>
      <c r="D13" s="135">
        <f>B13</f>
        <v>0</v>
      </c>
      <c r="E13" s="136"/>
      <c r="F13" s="137"/>
      <c r="G13" s="137">
        <f t="shared" si="0"/>
        <v>0</v>
      </c>
    </row>
    <row r="14" spans="1:9" ht="15.75" x14ac:dyDescent="0.25">
      <c r="A14" s="134" t="s">
        <v>93</v>
      </c>
      <c r="B14" s="135"/>
      <c r="C14" s="136"/>
      <c r="D14" s="135">
        <f>B14</f>
        <v>0</v>
      </c>
      <c r="E14" s="136"/>
      <c r="F14" s="137"/>
      <c r="G14" s="137">
        <f t="shared" si="0"/>
        <v>0</v>
      </c>
    </row>
    <row r="15" spans="1:9" ht="15.75" x14ac:dyDescent="0.25">
      <c r="A15" s="134" t="s">
        <v>94</v>
      </c>
      <c r="B15" s="135"/>
      <c r="C15" s="136"/>
      <c r="D15" s="135">
        <f>B15</f>
        <v>0</v>
      </c>
      <c r="E15" s="136"/>
      <c r="F15" s="137">
        <f>HLOOKUP($A$1,[1]DADOS!$A1:$IV200,53,0)+HLOOKUP($A$1,[1]DADOS!$A1:$IV200,59,0)</f>
        <v>0</v>
      </c>
      <c r="G15" s="137">
        <f>F15-D15</f>
        <v>0</v>
      </c>
    </row>
    <row r="16" spans="1:9" ht="15.75" x14ac:dyDescent="0.25">
      <c r="A16" s="134" t="s">
        <v>95</v>
      </c>
      <c r="B16" s="138">
        <f>HLOOKUP($A$1,[1]DADOS!$A1:$IV200,12,0)</f>
        <v>70000000</v>
      </c>
      <c r="C16" s="139"/>
      <c r="D16" s="135">
        <f>$B$16</f>
        <v>70000000</v>
      </c>
      <c r="E16" s="136"/>
      <c r="F16" s="140">
        <f>HLOOKUP($A$1,[1]DADOS!$A1:$IV200,16,0)+HLOOKUP($A$1,[1]DADOS!$A1:$IV200,26,0)+HLOOKUP($A$1,[1]DADOS!$A1:$IV200,34,0)+HLOOKUP($A$1,[1]DADOS!$A1:$IV200,42,0)+HLOOKUP($A$1,[1]DADOS!$A1:$IV200,50,0)+HLOOKUP($A$1,[1]DADOS!$A1:$IV200,83,0)</f>
        <v>9496386.7800000012</v>
      </c>
      <c r="G16" s="137">
        <f>F16-D16</f>
        <v>-60503613.219999999</v>
      </c>
    </row>
    <row r="17" spans="1:9" ht="15.75" x14ac:dyDescent="0.25">
      <c r="A17" s="141" t="s">
        <v>96</v>
      </c>
      <c r="B17" s="142">
        <f>SUM(B18:B22)</f>
        <v>0</v>
      </c>
      <c r="C17" s="142"/>
      <c r="D17" s="142">
        <f>SUM(D18:D22)</f>
        <v>0</v>
      </c>
      <c r="E17" s="142"/>
      <c r="F17" s="143">
        <f>SUM(F18:F22)</f>
        <v>0</v>
      </c>
      <c r="G17" s="143">
        <f t="shared" si="0"/>
        <v>0</v>
      </c>
    </row>
    <row r="18" spans="1:9" ht="15.75" x14ac:dyDescent="0.25">
      <c r="A18" s="134" t="s">
        <v>97</v>
      </c>
      <c r="B18" s="144"/>
      <c r="C18" s="145"/>
      <c r="D18" s="144"/>
      <c r="E18" s="145"/>
      <c r="F18" s="146"/>
      <c r="G18" s="147">
        <f t="shared" si="0"/>
        <v>0</v>
      </c>
    </row>
    <row r="19" spans="1:9" ht="15.75" x14ac:dyDescent="0.25">
      <c r="A19" s="134" t="s">
        <v>98</v>
      </c>
      <c r="B19" s="144"/>
      <c r="C19" s="145"/>
      <c r="D19" s="144"/>
      <c r="E19" s="145"/>
      <c r="F19" s="146"/>
      <c r="G19" s="147">
        <f t="shared" si="0"/>
        <v>0</v>
      </c>
    </row>
    <row r="20" spans="1:9" ht="15.75" x14ac:dyDescent="0.25">
      <c r="A20" s="134" t="s">
        <v>99</v>
      </c>
      <c r="B20" s="144"/>
      <c r="C20" s="145"/>
      <c r="D20" s="144"/>
      <c r="E20" s="145"/>
      <c r="F20" s="146"/>
      <c r="G20" s="147">
        <f t="shared" si="0"/>
        <v>0</v>
      </c>
    </row>
    <row r="21" spans="1:9" ht="15.75" x14ac:dyDescent="0.25">
      <c r="A21" s="134" t="s">
        <v>100</v>
      </c>
      <c r="B21" s="144"/>
      <c r="C21" s="145"/>
      <c r="D21" s="144"/>
      <c r="E21" s="145"/>
      <c r="F21" s="146"/>
      <c r="G21" s="147">
        <f t="shared" si="0"/>
        <v>0</v>
      </c>
    </row>
    <row r="22" spans="1:9" ht="15.75" x14ac:dyDescent="0.25">
      <c r="A22" s="134" t="s">
        <v>101</v>
      </c>
      <c r="B22" s="144"/>
      <c r="C22" s="145"/>
      <c r="D22" s="144"/>
      <c r="E22" s="145"/>
      <c r="F22" s="146"/>
      <c r="G22" s="147">
        <f t="shared" si="0"/>
        <v>0</v>
      </c>
    </row>
    <row r="23" spans="1:9" ht="15.75" hidden="1" x14ac:dyDescent="0.25">
      <c r="A23" s="148"/>
      <c r="B23" s="149"/>
      <c r="C23" s="150"/>
      <c r="D23" s="149"/>
      <c r="E23" s="150"/>
      <c r="F23" s="151"/>
      <c r="G23" s="151"/>
    </row>
    <row r="24" spans="1:9" s="154" customFormat="1" ht="15.75" x14ac:dyDescent="0.25">
      <c r="A24" s="141" t="s">
        <v>102</v>
      </c>
      <c r="B24" s="152">
        <f>B8+B17+B23</f>
        <v>86517256</v>
      </c>
      <c r="C24" s="152"/>
      <c r="D24" s="152">
        <f>D8+D17+D23</f>
        <v>86517256</v>
      </c>
      <c r="E24" s="152"/>
      <c r="F24" s="153">
        <f>F8+F17+F23</f>
        <v>13830835.830000002</v>
      </c>
      <c r="G24" s="153">
        <f>F24-D24</f>
        <v>-72686420.170000002</v>
      </c>
      <c r="I24" s="155"/>
    </row>
    <row r="25" spans="1:9" ht="15.75" x14ac:dyDescent="0.25">
      <c r="A25" s="131" t="s">
        <v>103</v>
      </c>
      <c r="B25" s="156">
        <f>SUM(B26:B31)</f>
        <v>0</v>
      </c>
      <c r="C25" s="156"/>
      <c r="D25" s="156">
        <f>SUM(D26:D31)</f>
        <v>0</v>
      </c>
      <c r="E25" s="156"/>
      <c r="F25" s="157">
        <f>SUM(F26:F31)</f>
        <v>0</v>
      </c>
      <c r="G25" s="157">
        <f>F25-D25</f>
        <v>0</v>
      </c>
    </row>
    <row r="26" spans="1:9" ht="15.75" x14ac:dyDescent="0.25">
      <c r="A26" s="134" t="s">
        <v>104</v>
      </c>
      <c r="B26" s="158"/>
      <c r="C26" s="159"/>
      <c r="D26" s="144"/>
      <c r="E26" s="145"/>
      <c r="F26" s="146"/>
      <c r="G26" s="146"/>
    </row>
    <row r="27" spans="1:9" ht="15.75" x14ac:dyDescent="0.25">
      <c r="A27" s="134" t="s">
        <v>105</v>
      </c>
      <c r="B27" s="144"/>
      <c r="C27" s="145"/>
      <c r="D27" s="144"/>
      <c r="E27" s="145"/>
      <c r="F27" s="146"/>
      <c r="G27" s="146"/>
    </row>
    <row r="28" spans="1:9" ht="15.75" x14ac:dyDescent="0.25">
      <c r="A28" s="134" t="s">
        <v>106</v>
      </c>
      <c r="B28" s="144"/>
      <c r="C28" s="145"/>
      <c r="D28" s="144"/>
      <c r="E28" s="145"/>
      <c r="F28" s="146"/>
      <c r="G28" s="146"/>
    </row>
    <row r="29" spans="1:9" ht="15.75" x14ac:dyDescent="0.25">
      <c r="A29" s="134" t="s">
        <v>107</v>
      </c>
      <c r="B29" s="144"/>
      <c r="C29" s="145"/>
      <c r="D29" s="144"/>
      <c r="E29" s="145"/>
      <c r="F29" s="146"/>
      <c r="G29" s="146"/>
    </row>
    <row r="30" spans="1:9" ht="15.75" x14ac:dyDescent="0.25">
      <c r="A30" s="134" t="s">
        <v>105</v>
      </c>
      <c r="B30" s="144"/>
      <c r="C30" s="145"/>
      <c r="D30" s="144"/>
      <c r="E30" s="145"/>
      <c r="F30" s="146"/>
      <c r="G30" s="146"/>
    </row>
    <row r="31" spans="1:9" ht="15.75" x14ac:dyDescent="0.25">
      <c r="A31" s="134" t="s">
        <v>106</v>
      </c>
      <c r="B31" s="144"/>
      <c r="C31" s="145"/>
      <c r="D31" s="144"/>
      <c r="E31" s="145"/>
      <c r="F31" s="146"/>
      <c r="G31" s="146"/>
    </row>
    <row r="32" spans="1:9" ht="15.75" x14ac:dyDescent="0.25">
      <c r="A32" s="141" t="s">
        <v>108</v>
      </c>
      <c r="B32" s="152">
        <f>B25+B24</f>
        <v>86517256</v>
      </c>
      <c r="C32" s="152"/>
      <c r="D32" s="152">
        <f>D25+D24</f>
        <v>86517256</v>
      </c>
      <c r="E32" s="152"/>
      <c r="F32" s="153">
        <f>F25+F24</f>
        <v>13830835.830000002</v>
      </c>
      <c r="G32" s="153">
        <f>F32-D32</f>
        <v>-72686420.170000002</v>
      </c>
    </row>
    <row r="33" spans="1:9" ht="15.75" x14ac:dyDescent="0.25">
      <c r="A33" s="148" t="s">
        <v>109</v>
      </c>
      <c r="B33" s="160">
        <f>IF(B32&gt;B59,0,B59-B32)</f>
        <v>0</v>
      </c>
      <c r="C33" s="160"/>
      <c r="D33" s="160">
        <f>IF(D32&gt;C59,0,C59-D32)</f>
        <v>0</v>
      </c>
      <c r="E33" s="160"/>
      <c r="F33" s="161">
        <f>IF(F32&gt;D59,0,D59-F32)</f>
        <v>0</v>
      </c>
      <c r="G33" s="161">
        <f>+F33-D33</f>
        <v>0</v>
      </c>
      <c r="H33" s="162"/>
    </row>
    <row r="34" spans="1:9" s="154" customFormat="1" ht="15.75" x14ac:dyDescent="0.25">
      <c r="A34" s="141" t="s">
        <v>110</v>
      </c>
      <c r="B34" s="152">
        <f>B32+B33</f>
        <v>86517256</v>
      </c>
      <c r="C34" s="152"/>
      <c r="D34" s="152">
        <f>D32+D33</f>
        <v>86517256</v>
      </c>
      <c r="E34" s="152"/>
      <c r="F34" s="153">
        <f>F32+F33</f>
        <v>13830835.830000002</v>
      </c>
      <c r="G34" s="153">
        <f>F34-D34</f>
        <v>-72686420.170000002</v>
      </c>
      <c r="I34" s="155"/>
    </row>
    <row r="35" spans="1:9" ht="15.75" x14ac:dyDescent="0.25">
      <c r="A35" s="163" t="s">
        <v>111</v>
      </c>
      <c r="B35" s="164">
        <f>SUM(B36:C38)</f>
        <v>0</v>
      </c>
      <c r="C35" s="165"/>
      <c r="D35" s="164">
        <f>SUM(D36:E38)</f>
        <v>0</v>
      </c>
      <c r="E35" s="165"/>
      <c r="F35" s="166">
        <f>SUM(F36:F38)</f>
        <v>0</v>
      </c>
      <c r="G35" s="166">
        <f>SUM(G36:G38)</f>
        <v>0</v>
      </c>
    </row>
    <row r="36" spans="1:9" x14ac:dyDescent="0.25">
      <c r="A36" s="167" t="s">
        <v>112</v>
      </c>
      <c r="B36" s="168"/>
      <c r="C36" s="169"/>
      <c r="D36" s="170"/>
      <c r="E36" s="170"/>
      <c r="F36" s="171"/>
      <c r="G36" s="171"/>
    </row>
    <row r="37" spans="1:9" ht="15.75" x14ac:dyDescent="0.25">
      <c r="A37" s="172" t="s">
        <v>113</v>
      </c>
      <c r="B37" s="158"/>
      <c r="C37" s="173"/>
      <c r="D37" s="158"/>
      <c r="E37" s="173"/>
      <c r="F37" s="174"/>
      <c r="G37" s="175"/>
      <c r="H37" s="174"/>
    </row>
    <row r="38" spans="1:9" ht="15.75" x14ac:dyDescent="0.25">
      <c r="A38" s="176" t="s">
        <v>114</v>
      </c>
      <c r="B38" s="177"/>
      <c r="C38" s="178"/>
      <c r="D38" s="177"/>
      <c r="E38" s="178"/>
      <c r="F38" s="177"/>
      <c r="G38" s="179"/>
      <c r="H38" s="174"/>
    </row>
    <row r="40" spans="1:9" s="182" customFormat="1" ht="30" x14ac:dyDescent="0.2">
      <c r="A40" s="180" t="s">
        <v>115</v>
      </c>
      <c r="B40" s="181" t="s">
        <v>116</v>
      </c>
      <c r="C40" s="181" t="s">
        <v>117</v>
      </c>
      <c r="D40" s="181" t="s">
        <v>118</v>
      </c>
      <c r="E40" s="181" t="s">
        <v>119</v>
      </c>
      <c r="F40" s="181" t="s">
        <v>120</v>
      </c>
      <c r="G40" s="181" t="s">
        <v>121</v>
      </c>
      <c r="I40" s="183"/>
    </row>
    <row r="41" spans="1:9" ht="15.75" x14ac:dyDescent="0.25">
      <c r="A41" s="131" t="s">
        <v>122</v>
      </c>
      <c r="B41" s="184">
        <f>SUM(B42:B44)</f>
        <v>0</v>
      </c>
      <c r="C41" s="184">
        <f>SUM(C42:C44)</f>
        <v>0</v>
      </c>
      <c r="D41" s="184">
        <f>SUM(D42:D44)</f>
        <v>1470</v>
      </c>
      <c r="E41" s="184">
        <f>SUM(E42:E44)</f>
        <v>203044264.28999999</v>
      </c>
      <c r="F41" s="184">
        <f>SUM(F42:F44)</f>
        <v>0</v>
      </c>
      <c r="G41" s="184">
        <f>C41-D41</f>
        <v>-1470</v>
      </c>
    </row>
    <row r="42" spans="1:9" ht="15.75" x14ac:dyDescent="0.25">
      <c r="A42" s="134" t="s">
        <v>123</v>
      </c>
      <c r="B42" s="134"/>
      <c r="C42" s="134"/>
      <c r="D42" s="134"/>
      <c r="E42" s="134"/>
      <c r="F42" s="134"/>
      <c r="G42" s="134"/>
    </row>
    <row r="43" spans="1:9" ht="15.75" x14ac:dyDescent="0.25">
      <c r="A43" s="134" t="s">
        <v>124</v>
      </c>
      <c r="B43" s="134"/>
      <c r="C43" s="134"/>
      <c r="D43" s="134"/>
      <c r="E43" s="134"/>
      <c r="F43" s="134"/>
      <c r="G43" s="134"/>
    </row>
    <row r="44" spans="1:9" ht="15.75" x14ac:dyDescent="0.25">
      <c r="A44" s="134" t="s">
        <v>125</v>
      </c>
      <c r="B44" s="185">
        <f>HLOOKUP($A$1,[1]DADOS!$A1:$IV200,100,0)</f>
        <v>0</v>
      </c>
      <c r="C44" s="186">
        <f>HLOOKUP($A$1,[1]DADOS!$A1:$IV200,101,0)</f>
        <v>0</v>
      </c>
      <c r="D44" s="185">
        <f>HLOOKUP($A$1,[1]DADOS!$A1:$IV200,102,0)</f>
        <v>1470</v>
      </c>
      <c r="E44" s="185">
        <f>HLOOKUP($A$1,[1]DADOS!$A1:$IV200,103,0)</f>
        <v>203044264.28999999</v>
      </c>
      <c r="F44" s="185">
        <f>HLOOKUP($A$1,[1]DADOS!$A1:$IV200,104,0)</f>
        <v>0</v>
      </c>
      <c r="G44" s="186">
        <f>C44-D44</f>
        <v>-1470</v>
      </c>
    </row>
    <row r="45" spans="1:9" ht="15.75" x14ac:dyDescent="0.25">
      <c r="A45" s="141" t="s">
        <v>126</v>
      </c>
      <c r="B45" s="187">
        <f>SUM(B46:B48)</f>
        <v>0</v>
      </c>
      <c r="C45" s="187">
        <f>SUM(C46:C48)</f>
        <v>0</v>
      </c>
      <c r="D45" s="187">
        <f>SUM(D46:D48)</f>
        <v>0</v>
      </c>
      <c r="E45" s="187">
        <f>SUM(E46:E48)</f>
        <v>203045734.28999999</v>
      </c>
      <c r="F45" s="187">
        <f>SUM(F46:F48)</f>
        <v>0</v>
      </c>
      <c r="G45" s="188">
        <f>C45-D45</f>
        <v>0</v>
      </c>
    </row>
    <row r="46" spans="1:9" ht="15.75" x14ac:dyDescent="0.25">
      <c r="A46" s="134" t="s">
        <v>127</v>
      </c>
      <c r="B46" s="185">
        <f>HLOOKUP($A$1,[1]DADOS!$A1:$IV200,106,0)</f>
        <v>0</v>
      </c>
      <c r="C46" s="186">
        <f>HLOOKUP($A$1,[1]DADOS!$A1:$IV200,107,0)</f>
        <v>0</v>
      </c>
      <c r="D46" s="185">
        <f>HLOOKUP($A$1,[1]DADOS!$A1:$IV200,108,0)</f>
        <v>0</v>
      </c>
      <c r="E46" s="185">
        <f>HLOOKUP($A$1,[1]DADOS!$A1:$IV200,109,0)</f>
        <v>203045734.28999999</v>
      </c>
      <c r="F46" s="185">
        <f>HLOOKUP($A$1,[1]DADOS!$A1:$IV200,110,0)</f>
        <v>0</v>
      </c>
      <c r="G46" s="186">
        <f>C46-D46</f>
        <v>0</v>
      </c>
    </row>
    <row r="47" spans="1:9" ht="15.75" x14ac:dyDescent="0.25">
      <c r="A47" s="134" t="s">
        <v>128</v>
      </c>
      <c r="B47" s="134"/>
      <c r="C47" s="134"/>
      <c r="D47" s="134"/>
      <c r="E47" s="134"/>
      <c r="F47" s="134"/>
      <c r="G47" s="134"/>
    </row>
    <row r="48" spans="1:9" ht="15.75" x14ac:dyDescent="0.25">
      <c r="A48" s="134" t="s">
        <v>129</v>
      </c>
      <c r="B48" s="134"/>
      <c r="C48" s="134"/>
      <c r="D48" s="134"/>
      <c r="E48" s="134"/>
      <c r="F48" s="134"/>
      <c r="G48" s="134"/>
    </row>
    <row r="49" spans="1:16" ht="15.75" x14ac:dyDescent="0.25">
      <c r="A49" s="189" t="s">
        <v>130</v>
      </c>
      <c r="B49" s="189"/>
      <c r="C49" s="189"/>
      <c r="D49" s="189"/>
      <c r="E49" s="189"/>
      <c r="F49" s="189"/>
      <c r="G49" s="189"/>
    </row>
    <row r="50" spans="1:16" ht="15.75" hidden="1" x14ac:dyDescent="0.25">
      <c r="A50" s="189" t="s">
        <v>131</v>
      </c>
      <c r="B50" s="189"/>
      <c r="C50" s="189"/>
      <c r="D50" s="189"/>
      <c r="E50" s="189"/>
      <c r="F50" s="189"/>
      <c r="G50" s="189"/>
    </row>
    <row r="51" spans="1:16" ht="15.75" x14ac:dyDescent="0.25">
      <c r="A51" s="141" t="s">
        <v>132</v>
      </c>
      <c r="B51" s="188">
        <f>B41+B45+B49+B50</f>
        <v>0</v>
      </c>
      <c r="C51" s="188">
        <f>C41+C45+C49+C50</f>
        <v>0</v>
      </c>
      <c r="D51" s="188">
        <f>D41+D45+D49+D50</f>
        <v>1470</v>
      </c>
      <c r="E51" s="188">
        <f>E41+E45+E49+E50</f>
        <v>406089998.57999998</v>
      </c>
      <c r="F51" s="188">
        <f>F41+F45+F49+F50</f>
        <v>0</v>
      </c>
      <c r="G51" s="188">
        <f>C51-D51</f>
        <v>-1470</v>
      </c>
    </row>
    <row r="52" spans="1:16" ht="15.75" x14ac:dyDescent="0.25">
      <c r="A52" s="131" t="s">
        <v>133</v>
      </c>
      <c r="B52" s="166">
        <f>SUM(B53:B58)</f>
        <v>0</v>
      </c>
      <c r="C52" s="166">
        <f>SUM(C53:C58)</f>
        <v>0</v>
      </c>
      <c r="D52" s="166">
        <f>SUM(D53:D58)</f>
        <v>0</v>
      </c>
      <c r="E52" s="166">
        <f>SUM(E53:E58)</f>
        <v>0</v>
      </c>
      <c r="F52" s="166">
        <f>SUM(F53:F58)</f>
        <v>0</v>
      </c>
      <c r="G52" s="166">
        <f>(C52-D52)</f>
        <v>0</v>
      </c>
    </row>
    <row r="53" spans="1:16" ht="15.75" x14ac:dyDescent="0.25">
      <c r="A53" s="134" t="s">
        <v>134</v>
      </c>
      <c r="B53" s="134"/>
      <c r="C53" s="134"/>
      <c r="D53" s="134"/>
      <c r="E53" s="134"/>
      <c r="F53" s="134"/>
      <c r="G53" s="134"/>
    </row>
    <row r="54" spans="1:16" ht="15.75" x14ac:dyDescent="0.25">
      <c r="A54" s="134" t="s">
        <v>135</v>
      </c>
      <c r="B54" s="134"/>
      <c r="C54" s="134"/>
      <c r="D54" s="134"/>
      <c r="E54" s="134"/>
      <c r="F54" s="134"/>
      <c r="G54" s="134"/>
    </row>
    <row r="55" spans="1:16" ht="15.75" x14ac:dyDescent="0.25">
      <c r="A55" s="134" t="s">
        <v>136</v>
      </c>
      <c r="B55" s="134"/>
      <c r="C55" s="134"/>
      <c r="D55" s="134"/>
      <c r="E55" s="134"/>
      <c r="F55" s="134"/>
      <c r="G55" s="134"/>
    </row>
    <row r="56" spans="1:16" ht="15.75" x14ac:dyDescent="0.25">
      <c r="A56" s="134" t="s">
        <v>137</v>
      </c>
      <c r="B56" s="134"/>
      <c r="C56" s="134"/>
      <c r="D56" s="134"/>
      <c r="E56" s="134"/>
      <c r="F56" s="134"/>
      <c r="G56" s="134"/>
    </row>
    <row r="57" spans="1:16" ht="15.75" x14ac:dyDescent="0.25">
      <c r="A57" s="134" t="s">
        <v>138</v>
      </c>
      <c r="B57" s="134"/>
      <c r="C57" s="134"/>
      <c r="D57" s="134"/>
      <c r="E57" s="134"/>
      <c r="F57" s="134"/>
      <c r="G57" s="134"/>
    </row>
    <row r="58" spans="1:16" ht="15.75" x14ac:dyDescent="0.25">
      <c r="A58" s="134" t="s">
        <v>136</v>
      </c>
      <c r="B58" s="134"/>
      <c r="C58" s="134"/>
      <c r="D58" s="134"/>
      <c r="E58" s="134"/>
      <c r="F58" s="134"/>
      <c r="G58" s="134"/>
    </row>
    <row r="59" spans="1:16" ht="15.75" x14ac:dyDescent="0.25">
      <c r="A59" s="141" t="s">
        <v>139</v>
      </c>
      <c r="B59" s="188">
        <f>(B51+B52)</f>
        <v>0</v>
      </c>
      <c r="C59" s="188">
        <f>(C51+C52)</f>
        <v>0</v>
      </c>
      <c r="D59" s="188">
        <f>(D51+D52)</f>
        <v>1470</v>
      </c>
      <c r="E59" s="188">
        <f>(E51+E52)</f>
        <v>406089998.57999998</v>
      </c>
      <c r="F59" s="188">
        <f>(F51+F52)</f>
        <v>0</v>
      </c>
      <c r="G59" s="187">
        <f>(C59-D59)</f>
        <v>-1470</v>
      </c>
    </row>
    <row r="60" spans="1:16" ht="15.75" x14ac:dyDescent="0.25">
      <c r="A60" s="141" t="s">
        <v>140</v>
      </c>
      <c r="B60" s="187">
        <f>IF(B32&gt;B59,B32-B59,0)</f>
        <v>86517256</v>
      </c>
      <c r="C60" s="187">
        <f>IF(D32&gt;C59,D32-C59,0)</f>
        <v>86517256</v>
      </c>
      <c r="D60" s="187">
        <f>IF(F32&gt;D59,F32-D59,0)</f>
        <v>13829365.830000002</v>
      </c>
      <c r="E60" s="187">
        <f>IF(E32&gt;E59,E32-E59,0)</f>
        <v>0</v>
      </c>
      <c r="F60" s="187">
        <v>0</v>
      </c>
      <c r="G60" s="153">
        <f>+C60-D60</f>
        <v>72687890.170000002</v>
      </c>
    </row>
    <row r="61" spans="1:16" ht="15.75" x14ac:dyDescent="0.25">
      <c r="A61" s="141" t="s">
        <v>141</v>
      </c>
      <c r="B61" s="188">
        <f>B59+B60</f>
        <v>86517256</v>
      </c>
      <c r="C61" s="188">
        <f>C59+C60</f>
        <v>86517256</v>
      </c>
      <c r="D61" s="188">
        <f>D59+D60</f>
        <v>13830835.830000002</v>
      </c>
      <c r="E61" s="188">
        <f>E59+E60</f>
        <v>406089998.57999998</v>
      </c>
      <c r="F61" s="188">
        <f>F59+F60</f>
        <v>0</v>
      </c>
      <c r="G61" s="187">
        <f>(C61-D61)</f>
        <v>72686420.170000002</v>
      </c>
    </row>
    <row r="62" spans="1:16" ht="15.75" x14ac:dyDescent="0.25">
      <c r="A62" s="190" t="s">
        <v>142</v>
      </c>
      <c r="B62" s="188"/>
      <c r="C62" s="188"/>
      <c r="D62" s="188"/>
      <c r="E62" s="188"/>
      <c r="F62" s="188"/>
      <c r="G62" s="187"/>
    </row>
    <row r="63" spans="1:16" s="82" customFormat="1" ht="13.5" customHeight="1" x14ac:dyDescent="0.2">
      <c r="A63" s="191" t="s">
        <v>47</v>
      </c>
      <c r="B63" s="78"/>
      <c r="C63" s="78"/>
      <c r="D63" s="78"/>
      <c r="E63" s="79"/>
      <c r="F63" s="79"/>
      <c r="G63" s="79"/>
      <c r="H63" s="78"/>
      <c r="I63" s="192" t="s">
        <v>143</v>
      </c>
      <c r="J63" s="78"/>
      <c r="K63" s="79"/>
      <c r="L63" s="79"/>
      <c r="M63" s="79"/>
      <c r="N63" s="80"/>
    </row>
    <row r="64" spans="1:16" s="82" customFormat="1" ht="15" customHeight="1" x14ac:dyDescent="0.2">
      <c r="A64" s="191" t="s">
        <v>48</v>
      </c>
      <c r="B64" s="84"/>
      <c r="C64" s="84"/>
      <c r="D64" s="84"/>
      <c r="E64" s="84"/>
      <c r="F64" s="84"/>
      <c r="G64" s="84"/>
      <c r="H64" s="84"/>
      <c r="I64" s="193">
        <f>G34</f>
        <v>-72686420.170000002</v>
      </c>
      <c r="J64" s="194" t="s">
        <v>144</v>
      </c>
      <c r="K64" s="84"/>
      <c r="L64" s="84"/>
      <c r="M64" s="84"/>
      <c r="N64" s="195"/>
      <c r="P64" s="196"/>
    </row>
    <row r="65" spans="1:14" s="82" customFormat="1" ht="14.85" customHeight="1" x14ac:dyDescent="0.2">
      <c r="A65" s="197" t="s">
        <v>49</v>
      </c>
      <c r="B65" s="197"/>
      <c r="C65" s="197"/>
      <c r="D65" s="197"/>
      <c r="E65" s="197"/>
      <c r="F65" s="197"/>
      <c r="G65" s="197"/>
      <c r="H65" s="198"/>
      <c r="I65" s="199">
        <f>G61</f>
        <v>72686420.170000002</v>
      </c>
      <c r="J65" s="198" t="s">
        <v>145</v>
      </c>
      <c r="K65" s="198"/>
      <c r="L65" s="198"/>
      <c r="M65" s="200"/>
      <c r="N65" s="85"/>
    </row>
    <row r="66" spans="1:14" s="82" customFormat="1" ht="14.85" customHeight="1" x14ac:dyDescent="0.2">
      <c r="A66" s="201" t="s">
        <v>50</v>
      </c>
      <c r="B66" s="201"/>
      <c r="C66" s="201"/>
      <c r="D66" s="201"/>
      <c r="E66" s="201"/>
      <c r="F66" s="201"/>
      <c r="G66" s="201"/>
      <c r="H66" s="201"/>
      <c r="I66" s="202">
        <f>SUM(I64:I65)</f>
        <v>0</v>
      </c>
      <c r="J66" s="201"/>
      <c r="K66" s="201"/>
      <c r="L66" s="201"/>
      <c r="M66" s="203"/>
      <c r="N66" s="204"/>
    </row>
    <row r="67" spans="1:14" s="82" customFormat="1" ht="14.85" customHeight="1" x14ac:dyDescent="0.2">
      <c r="A67" s="197" t="s">
        <v>146</v>
      </c>
      <c r="B67" s="197"/>
      <c r="C67" s="197"/>
      <c r="D67" s="197"/>
      <c r="E67" s="197"/>
      <c r="F67" s="197"/>
      <c r="G67" s="197"/>
      <c r="H67" s="198"/>
      <c r="I67" s="198"/>
      <c r="J67" s="198"/>
      <c r="K67" s="198"/>
      <c r="L67" s="198"/>
      <c r="M67" s="200"/>
      <c r="N67" s="204"/>
    </row>
    <row r="68" spans="1:14" s="82" customFormat="1" ht="14.85" customHeight="1" x14ac:dyDescent="0.2">
      <c r="A68" s="205" t="s">
        <v>147</v>
      </c>
      <c r="B68" s="205"/>
      <c r="C68" s="205"/>
      <c r="D68" s="205"/>
      <c r="E68" s="205"/>
      <c r="F68" s="205"/>
      <c r="G68" s="205"/>
      <c r="H68" s="198"/>
      <c r="I68" s="198"/>
      <c r="J68" s="198"/>
      <c r="K68" s="198"/>
      <c r="L68" s="198"/>
      <c r="M68" s="200"/>
      <c r="N68" s="204"/>
    </row>
    <row r="69" spans="1:14" s="82" customFormat="1" ht="14.85" customHeight="1" x14ac:dyDescent="0.2">
      <c r="A69" s="206" t="s">
        <v>148</v>
      </c>
      <c r="B69" s="206"/>
      <c r="C69" s="206"/>
      <c r="D69" s="206"/>
      <c r="E69" s="206"/>
      <c r="F69" s="206"/>
      <c r="G69" s="206"/>
      <c r="H69" s="206"/>
      <c r="I69" s="206"/>
      <c r="J69" s="206"/>
      <c r="K69" s="206"/>
      <c r="L69" s="206"/>
      <c r="N69" s="204"/>
    </row>
    <row r="70" spans="1:14" ht="12.75" customHeight="1" x14ac:dyDescent="0.25">
      <c r="A70" s="207"/>
    </row>
    <row r="71" spans="1:14" ht="12.75" customHeight="1" x14ac:dyDescent="0.25">
      <c r="A71" s="207"/>
    </row>
    <row r="72" spans="1:14" ht="12" customHeight="1" x14ac:dyDescent="0.25">
      <c r="A72" s="207"/>
    </row>
    <row r="75" spans="1:14" x14ac:dyDescent="0.25">
      <c r="A75" s="103"/>
      <c r="B75" s="103" t="s">
        <v>68</v>
      </c>
      <c r="D75" s="103"/>
      <c r="E75" s="108"/>
      <c r="F75" s="101" t="s">
        <v>69</v>
      </c>
      <c r="H75" s="109"/>
    </row>
    <row r="76" spans="1:14" s="107" customFormat="1" ht="13.5" customHeight="1" x14ac:dyDescent="0.2">
      <c r="A76" s="106"/>
      <c r="B76" s="106" t="s">
        <v>70</v>
      </c>
      <c r="D76" s="106"/>
      <c r="E76" s="112"/>
      <c r="F76" s="106" t="s">
        <v>71</v>
      </c>
      <c r="H76" s="71"/>
    </row>
    <row r="77" spans="1:14" s="2" customFormat="1" ht="13.5" customHeight="1" x14ac:dyDescent="0.25">
      <c r="A77" s="111"/>
      <c r="B77" s="111" t="s">
        <v>72</v>
      </c>
      <c r="D77" s="111"/>
      <c r="E77" s="114"/>
      <c r="F77" s="115" t="s">
        <v>73</v>
      </c>
      <c r="H77" s="71"/>
    </row>
    <row r="78" spans="1:14" s="2" customFormat="1" ht="13.5" customHeight="1" x14ac:dyDescent="0.25">
      <c r="A78" s="111"/>
      <c r="B78" s="111" t="s">
        <v>74</v>
      </c>
      <c r="D78" s="111"/>
      <c r="E78" s="114"/>
      <c r="F78" s="111" t="s">
        <v>74</v>
      </c>
      <c r="H78" s="71"/>
    </row>
    <row r="79" spans="1:14" s="2" customFormat="1" ht="13.5" customHeight="1" x14ac:dyDescent="0.25">
      <c r="B79" s="114"/>
      <c r="C79" s="114"/>
      <c r="D79" s="114"/>
      <c r="E79" s="114"/>
      <c r="F79" s="114"/>
    </row>
  </sheetData>
  <mergeCells count="68">
    <mergeCell ref="A68:G68"/>
    <mergeCell ref="A69:L69"/>
    <mergeCell ref="B35:C35"/>
    <mergeCell ref="D35:E35"/>
    <mergeCell ref="B36:C36"/>
    <mergeCell ref="D36:E36"/>
    <mergeCell ref="B37:C37"/>
    <mergeCell ref="D37:E37"/>
    <mergeCell ref="B32:C32"/>
    <mergeCell ref="D32:E32"/>
    <mergeCell ref="B33:C33"/>
    <mergeCell ref="D33:E33"/>
    <mergeCell ref="B34:C34"/>
    <mergeCell ref="D34:E34"/>
    <mergeCell ref="B29:C29"/>
    <mergeCell ref="D29:E29"/>
    <mergeCell ref="B30:C30"/>
    <mergeCell ref="D30:E30"/>
    <mergeCell ref="B31:C31"/>
    <mergeCell ref="D31:E31"/>
    <mergeCell ref="B26:C26"/>
    <mergeCell ref="D26:E26"/>
    <mergeCell ref="B27:C27"/>
    <mergeCell ref="D27:E27"/>
    <mergeCell ref="B28:C28"/>
    <mergeCell ref="D28:E28"/>
    <mergeCell ref="B23:C23"/>
    <mergeCell ref="D23:E23"/>
    <mergeCell ref="B24:C24"/>
    <mergeCell ref="D24:E24"/>
    <mergeCell ref="B25:C25"/>
    <mergeCell ref="D25:E25"/>
    <mergeCell ref="B20:C20"/>
    <mergeCell ref="D20:E20"/>
    <mergeCell ref="B21:C21"/>
    <mergeCell ref="D21:E21"/>
    <mergeCell ref="B22:C22"/>
    <mergeCell ref="D22:E22"/>
    <mergeCell ref="B17:C17"/>
    <mergeCell ref="D17:E17"/>
    <mergeCell ref="B18:C18"/>
    <mergeCell ref="D18:E18"/>
    <mergeCell ref="B19:C19"/>
    <mergeCell ref="D19:E19"/>
    <mergeCell ref="B14:C14"/>
    <mergeCell ref="D14:E14"/>
    <mergeCell ref="B15:C15"/>
    <mergeCell ref="D15:E15"/>
    <mergeCell ref="B16:C16"/>
    <mergeCell ref="D16:E16"/>
    <mergeCell ref="B11:C11"/>
    <mergeCell ref="D11:E11"/>
    <mergeCell ref="B12:C12"/>
    <mergeCell ref="D12:E12"/>
    <mergeCell ref="B13:C13"/>
    <mergeCell ref="D13:E13"/>
    <mergeCell ref="B8:C8"/>
    <mergeCell ref="D8:E8"/>
    <mergeCell ref="B9:C9"/>
    <mergeCell ref="D9:E9"/>
    <mergeCell ref="B10:C10"/>
    <mergeCell ref="D10:E10"/>
    <mergeCell ref="A2:G2"/>
    <mergeCell ref="A3:G3"/>
    <mergeCell ref="A4:G4"/>
    <mergeCell ref="A5:G5"/>
    <mergeCell ref="B7:C7"/>
    <mergeCell ref="D7:E7"/>
  </mergeCells>
  <pageMargins left="0.19685039370078741" right="0.11811023622047245" top="0.74803149606299213" bottom="0.78740157480314965" header="0.31496062992125984" footer="0.31496062992125984"/>
  <pageSetup paperSize="9" scale="61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588FBE-1EB5-4AE5-A097-A501D483637F}">
  <sheetPr codeName="Plan11">
    <tabColor indexed="42"/>
    <pageSetUpPr fitToPage="1"/>
  </sheetPr>
  <dimension ref="A1:O45"/>
  <sheetViews>
    <sheetView tabSelected="1" zoomScaleNormal="100" workbookViewId="0">
      <selection activeCell="F43" sqref="F43"/>
    </sheetView>
  </sheetViews>
  <sheetFormatPr defaultRowHeight="15" x14ac:dyDescent="0.25"/>
  <cols>
    <col min="1" max="1" width="47.7109375" style="114" bestFit="1" customWidth="1"/>
    <col min="2" max="2" width="21.42578125" style="114" customWidth="1"/>
    <col min="3" max="3" width="22.85546875" style="114" customWidth="1"/>
    <col min="4" max="4" width="16.42578125" style="114" bestFit="1" customWidth="1"/>
    <col min="5" max="5" width="15.7109375" style="114" bestFit="1" customWidth="1"/>
    <col min="6" max="6" width="19.42578125" style="114" customWidth="1"/>
    <col min="7" max="7" width="19.140625" style="114" bestFit="1" customWidth="1"/>
    <col min="8" max="8" width="9.140625" style="114" customWidth="1"/>
    <col min="9" max="9" width="15.28515625" style="114" hidden="1" customWidth="1"/>
    <col min="10" max="10" width="14.140625" style="114" hidden="1" customWidth="1"/>
    <col min="11" max="11" width="18" style="114" hidden="1" customWidth="1"/>
    <col min="12" max="12" width="0" style="114" hidden="1" customWidth="1"/>
    <col min="13" max="256" width="9.140625" style="114"/>
    <col min="257" max="257" width="47.7109375" style="114" bestFit="1" customWidth="1"/>
    <col min="258" max="258" width="21.42578125" style="114" customWidth="1"/>
    <col min="259" max="259" width="22.85546875" style="114" customWidth="1"/>
    <col min="260" max="260" width="16.42578125" style="114" bestFit="1" customWidth="1"/>
    <col min="261" max="261" width="15.7109375" style="114" bestFit="1" customWidth="1"/>
    <col min="262" max="262" width="19.42578125" style="114" customWidth="1"/>
    <col min="263" max="263" width="19.140625" style="114" bestFit="1" customWidth="1"/>
    <col min="264" max="264" width="9.140625" style="114"/>
    <col min="265" max="265" width="15.28515625" style="114" customWidth="1"/>
    <col min="266" max="266" width="14.140625" style="114" customWidth="1"/>
    <col min="267" max="267" width="18" style="114" customWidth="1"/>
    <col min="268" max="512" width="9.140625" style="114"/>
    <col min="513" max="513" width="47.7109375" style="114" bestFit="1" customWidth="1"/>
    <col min="514" max="514" width="21.42578125" style="114" customWidth="1"/>
    <col min="515" max="515" width="22.85546875" style="114" customWidth="1"/>
    <col min="516" max="516" width="16.42578125" style="114" bestFit="1" customWidth="1"/>
    <col min="517" max="517" width="15.7109375" style="114" bestFit="1" customWidth="1"/>
    <col min="518" max="518" width="19.42578125" style="114" customWidth="1"/>
    <col min="519" max="519" width="19.140625" style="114" bestFit="1" customWidth="1"/>
    <col min="520" max="520" width="9.140625" style="114"/>
    <col min="521" max="521" width="15.28515625" style="114" customWidth="1"/>
    <col min="522" max="522" width="14.140625" style="114" customWidth="1"/>
    <col min="523" max="523" width="18" style="114" customWidth="1"/>
    <col min="524" max="768" width="9.140625" style="114"/>
    <col min="769" max="769" width="47.7109375" style="114" bestFit="1" customWidth="1"/>
    <col min="770" max="770" width="21.42578125" style="114" customWidth="1"/>
    <col min="771" max="771" width="22.85546875" style="114" customWidth="1"/>
    <col min="772" max="772" width="16.42578125" style="114" bestFit="1" customWidth="1"/>
    <col min="773" max="773" width="15.7109375" style="114" bestFit="1" customWidth="1"/>
    <col min="774" max="774" width="19.42578125" style="114" customWidth="1"/>
    <col min="775" max="775" width="19.140625" style="114" bestFit="1" customWidth="1"/>
    <col min="776" max="776" width="9.140625" style="114"/>
    <col min="777" max="777" width="15.28515625" style="114" customWidth="1"/>
    <col min="778" max="778" width="14.140625" style="114" customWidth="1"/>
    <col min="779" max="779" width="18" style="114" customWidth="1"/>
    <col min="780" max="1024" width="9.140625" style="114"/>
    <col min="1025" max="1025" width="47.7109375" style="114" bestFit="1" customWidth="1"/>
    <col min="1026" max="1026" width="21.42578125" style="114" customWidth="1"/>
    <col min="1027" max="1027" width="22.85546875" style="114" customWidth="1"/>
    <col min="1028" max="1028" width="16.42578125" style="114" bestFit="1" customWidth="1"/>
    <col min="1029" max="1029" width="15.7109375" style="114" bestFit="1" customWidth="1"/>
    <col min="1030" max="1030" width="19.42578125" style="114" customWidth="1"/>
    <col min="1031" max="1031" width="19.140625" style="114" bestFit="1" customWidth="1"/>
    <col min="1032" max="1032" width="9.140625" style="114"/>
    <col min="1033" max="1033" width="15.28515625" style="114" customWidth="1"/>
    <col min="1034" max="1034" width="14.140625" style="114" customWidth="1"/>
    <col min="1035" max="1035" width="18" style="114" customWidth="1"/>
    <col min="1036" max="1280" width="9.140625" style="114"/>
    <col min="1281" max="1281" width="47.7109375" style="114" bestFit="1" customWidth="1"/>
    <col min="1282" max="1282" width="21.42578125" style="114" customWidth="1"/>
    <col min="1283" max="1283" width="22.85546875" style="114" customWidth="1"/>
    <col min="1284" max="1284" width="16.42578125" style="114" bestFit="1" customWidth="1"/>
    <col min="1285" max="1285" width="15.7109375" style="114" bestFit="1" customWidth="1"/>
    <col min="1286" max="1286" width="19.42578125" style="114" customWidth="1"/>
    <col min="1287" max="1287" width="19.140625" style="114" bestFit="1" customWidth="1"/>
    <col min="1288" max="1288" width="9.140625" style="114"/>
    <col min="1289" max="1289" width="15.28515625" style="114" customWidth="1"/>
    <col min="1290" max="1290" width="14.140625" style="114" customWidth="1"/>
    <col min="1291" max="1291" width="18" style="114" customWidth="1"/>
    <col min="1292" max="1536" width="9.140625" style="114"/>
    <col min="1537" max="1537" width="47.7109375" style="114" bestFit="1" customWidth="1"/>
    <col min="1538" max="1538" width="21.42578125" style="114" customWidth="1"/>
    <col min="1539" max="1539" width="22.85546875" style="114" customWidth="1"/>
    <col min="1540" max="1540" width="16.42578125" style="114" bestFit="1" customWidth="1"/>
    <col min="1541" max="1541" width="15.7109375" style="114" bestFit="1" customWidth="1"/>
    <col min="1542" max="1542" width="19.42578125" style="114" customWidth="1"/>
    <col min="1543" max="1543" width="19.140625" style="114" bestFit="1" customWidth="1"/>
    <col min="1544" max="1544" width="9.140625" style="114"/>
    <col min="1545" max="1545" width="15.28515625" style="114" customWidth="1"/>
    <col min="1546" max="1546" width="14.140625" style="114" customWidth="1"/>
    <col min="1547" max="1547" width="18" style="114" customWidth="1"/>
    <col min="1548" max="1792" width="9.140625" style="114"/>
    <col min="1793" max="1793" width="47.7109375" style="114" bestFit="1" customWidth="1"/>
    <col min="1794" max="1794" width="21.42578125" style="114" customWidth="1"/>
    <col min="1795" max="1795" width="22.85546875" style="114" customWidth="1"/>
    <col min="1796" max="1796" width="16.42578125" style="114" bestFit="1" customWidth="1"/>
    <col min="1797" max="1797" width="15.7109375" style="114" bestFit="1" customWidth="1"/>
    <col min="1798" max="1798" width="19.42578125" style="114" customWidth="1"/>
    <col min="1799" max="1799" width="19.140625" style="114" bestFit="1" customWidth="1"/>
    <col min="1800" max="1800" width="9.140625" style="114"/>
    <col min="1801" max="1801" width="15.28515625" style="114" customWidth="1"/>
    <col min="1802" max="1802" width="14.140625" style="114" customWidth="1"/>
    <col min="1803" max="1803" width="18" style="114" customWidth="1"/>
    <col min="1804" max="2048" width="9.140625" style="114"/>
    <col min="2049" max="2049" width="47.7109375" style="114" bestFit="1" customWidth="1"/>
    <col min="2050" max="2050" width="21.42578125" style="114" customWidth="1"/>
    <col min="2051" max="2051" width="22.85546875" style="114" customWidth="1"/>
    <col min="2052" max="2052" width="16.42578125" style="114" bestFit="1" customWidth="1"/>
    <col min="2053" max="2053" width="15.7109375" style="114" bestFit="1" customWidth="1"/>
    <col min="2054" max="2054" width="19.42578125" style="114" customWidth="1"/>
    <col min="2055" max="2055" width="19.140625" style="114" bestFit="1" customWidth="1"/>
    <col min="2056" max="2056" width="9.140625" style="114"/>
    <col min="2057" max="2057" width="15.28515625" style="114" customWidth="1"/>
    <col min="2058" max="2058" width="14.140625" style="114" customWidth="1"/>
    <col min="2059" max="2059" width="18" style="114" customWidth="1"/>
    <col min="2060" max="2304" width="9.140625" style="114"/>
    <col min="2305" max="2305" width="47.7109375" style="114" bestFit="1" customWidth="1"/>
    <col min="2306" max="2306" width="21.42578125" style="114" customWidth="1"/>
    <col min="2307" max="2307" width="22.85546875" style="114" customWidth="1"/>
    <col min="2308" max="2308" width="16.42578125" style="114" bestFit="1" customWidth="1"/>
    <col min="2309" max="2309" width="15.7109375" style="114" bestFit="1" customWidth="1"/>
    <col min="2310" max="2310" width="19.42578125" style="114" customWidth="1"/>
    <col min="2311" max="2311" width="19.140625" style="114" bestFit="1" customWidth="1"/>
    <col min="2312" max="2312" width="9.140625" style="114"/>
    <col min="2313" max="2313" width="15.28515625" style="114" customWidth="1"/>
    <col min="2314" max="2314" width="14.140625" style="114" customWidth="1"/>
    <col min="2315" max="2315" width="18" style="114" customWidth="1"/>
    <col min="2316" max="2560" width="9.140625" style="114"/>
    <col min="2561" max="2561" width="47.7109375" style="114" bestFit="1" customWidth="1"/>
    <col min="2562" max="2562" width="21.42578125" style="114" customWidth="1"/>
    <col min="2563" max="2563" width="22.85546875" style="114" customWidth="1"/>
    <col min="2564" max="2564" width="16.42578125" style="114" bestFit="1" customWidth="1"/>
    <col min="2565" max="2565" width="15.7109375" style="114" bestFit="1" customWidth="1"/>
    <col min="2566" max="2566" width="19.42578125" style="114" customWidth="1"/>
    <col min="2567" max="2567" width="19.140625" style="114" bestFit="1" customWidth="1"/>
    <col min="2568" max="2568" width="9.140625" style="114"/>
    <col min="2569" max="2569" width="15.28515625" style="114" customWidth="1"/>
    <col min="2570" max="2570" width="14.140625" style="114" customWidth="1"/>
    <col min="2571" max="2571" width="18" style="114" customWidth="1"/>
    <col min="2572" max="2816" width="9.140625" style="114"/>
    <col min="2817" max="2817" width="47.7109375" style="114" bestFit="1" customWidth="1"/>
    <col min="2818" max="2818" width="21.42578125" style="114" customWidth="1"/>
    <col min="2819" max="2819" width="22.85546875" style="114" customWidth="1"/>
    <col min="2820" max="2820" width="16.42578125" style="114" bestFit="1" customWidth="1"/>
    <col min="2821" max="2821" width="15.7109375" style="114" bestFit="1" customWidth="1"/>
    <col min="2822" max="2822" width="19.42578125" style="114" customWidth="1"/>
    <col min="2823" max="2823" width="19.140625" style="114" bestFit="1" customWidth="1"/>
    <col min="2824" max="2824" width="9.140625" style="114"/>
    <col min="2825" max="2825" width="15.28515625" style="114" customWidth="1"/>
    <col min="2826" max="2826" width="14.140625" style="114" customWidth="1"/>
    <col min="2827" max="2827" width="18" style="114" customWidth="1"/>
    <col min="2828" max="3072" width="9.140625" style="114"/>
    <col min="3073" max="3073" width="47.7109375" style="114" bestFit="1" customWidth="1"/>
    <col min="3074" max="3074" width="21.42578125" style="114" customWidth="1"/>
    <col min="3075" max="3075" width="22.85546875" style="114" customWidth="1"/>
    <col min="3076" max="3076" width="16.42578125" style="114" bestFit="1" customWidth="1"/>
    <col min="3077" max="3077" width="15.7109375" style="114" bestFit="1" customWidth="1"/>
    <col min="3078" max="3078" width="19.42578125" style="114" customWidth="1"/>
    <col min="3079" max="3079" width="19.140625" style="114" bestFit="1" customWidth="1"/>
    <col min="3080" max="3080" width="9.140625" style="114"/>
    <col min="3081" max="3081" width="15.28515625" style="114" customWidth="1"/>
    <col min="3082" max="3082" width="14.140625" style="114" customWidth="1"/>
    <col min="3083" max="3083" width="18" style="114" customWidth="1"/>
    <col min="3084" max="3328" width="9.140625" style="114"/>
    <col min="3329" max="3329" width="47.7109375" style="114" bestFit="1" customWidth="1"/>
    <col min="3330" max="3330" width="21.42578125" style="114" customWidth="1"/>
    <col min="3331" max="3331" width="22.85546875" style="114" customWidth="1"/>
    <col min="3332" max="3332" width="16.42578125" style="114" bestFit="1" customWidth="1"/>
    <col min="3333" max="3333" width="15.7109375" style="114" bestFit="1" customWidth="1"/>
    <col min="3334" max="3334" width="19.42578125" style="114" customWidth="1"/>
    <col min="3335" max="3335" width="19.140625" style="114" bestFit="1" customWidth="1"/>
    <col min="3336" max="3336" width="9.140625" style="114"/>
    <col min="3337" max="3337" width="15.28515625" style="114" customWidth="1"/>
    <col min="3338" max="3338" width="14.140625" style="114" customWidth="1"/>
    <col min="3339" max="3339" width="18" style="114" customWidth="1"/>
    <col min="3340" max="3584" width="9.140625" style="114"/>
    <col min="3585" max="3585" width="47.7109375" style="114" bestFit="1" customWidth="1"/>
    <col min="3586" max="3586" width="21.42578125" style="114" customWidth="1"/>
    <col min="3587" max="3587" width="22.85546875" style="114" customWidth="1"/>
    <col min="3588" max="3588" width="16.42578125" style="114" bestFit="1" customWidth="1"/>
    <col min="3589" max="3589" width="15.7109375" style="114" bestFit="1" customWidth="1"/>
    <col min="3590" max="3590" width="19.42578125" style="114" customWidth="1"/>
    <col min="3591" max="3591" width="19.140625" style="114" bestFit="1" customWidth="1"/>
    <col min="3592" max="3592" width="9.140625" style="114"/>
    <col min="3593" max="3593" width="15.28515625" style="114" customWidth="1"/>
    <col min="3594" max="3594" width="14.140625" style="114" customWidth="1"/>
    <col min="3595" max="3595" width="18" style="114" customWidth="1"/>
    <col min="3596" max="3840" width="9.140625" style="114"/>
    <col min="3841" max="3841" width="47.7109375" style="114" bestFit="1" customWidth="1"/>
    <col min="3842" max="3842" width="21.42578125" style="114" customWidth="1"/>
    <col min="3843" max="3843" width="22.85546875" style="114" customWidth="1"/>
    <col min="3844" max="3844" width="16.42578125" style="114" bestFit="1" customWidth="1"/>
    <col min="3845" max="3845" width="15.7109375" style="114" bestFit="1" customWidth="1"/>
    <col min="3846" max="3846" width="19.42578125" style="114" customWidth="1"/>
    <col min="3847" max="3847" width="19.140625" style="114" bestFit="1" customWidth="1"/>
    <col min="3848" max="3848" width="9.140625" style="114"/>
    <col min="3849" max="3849" width="15.28515625" style="114" customWidth="1"/>
    <col min="3850" max="3850" width="14.140625" style="114" customWidth="1"/>
    <col min="3851" max="3851" width="18" style="114" customWidth="1"/>
    <col min="3852" max="4096" width="9.140625" style="114"/>
    <col min="4097" max="4097" width="47.7109375" style="114" bestFit="1" customWidth="1"/>
    <col min="4098" max="4098" width="21.42578125" style="114" customWidth="1"/>
    <col min="4099" max="4099" width="22.85546875" style="114" customWidth="1"/>
    <col min="4100" max="4100" width="16.42578125" style="114" bestFit="1" customWidth="1"/>
    <col min="4101" max="4101" width="15.7109375" style="114" bestFit="1" customWidth="1"/>
    <col min="4102" max="4102" width="19.42578125" style="114" customWidth="1"/>
    <col min="4103" max="4103" width="19.140625" style="114" bestFit="1" customWidth="1"/>
    <col min="4104" max="4104" width="9.140625" style="114"/>
    <col min="4105" max="4105" width="15.28515625" style="114" customWidth="1"/>
    <col min="4106" max="4106" width="14.140625" style="114" customWidth="1"/>
    <col min="4107" max="4107" width="18" style="114" customWidth="1"/>
    <col min="4108" max="4352" width="9.140625" style="114"/>
    <col min="4353" max="4353" width="47.7109375" style="114" bestFit="1" customWidth="1"/>
    <col min="4354" max="4354" width="21.42578125" style="114" customWidth="1"/>
    <col min="4355" max="4355" width="22.85546875" style="114" customWidth="1"/>
    <col min="4356" max="4356" width="16.42578125" style="114" bestFit="1" customWidth="1"/>
    <col min="4357" max="4357" width="15.7109375" style="114" bestFit="1" customWidth="1"/>
    <col min="4358" max="4358" width="19.42578125" style="114" customWidth="1"/>
    <col min="4359" max="4359" width="19.140625" style="114" bestFit="1" customWidth="1"/>
    <col min="4360" max="4360" width="9.140625" style="114"/>
    <col min="4361" max="4361" width="15.28515625" style="114" customWidth="1"/>
    <col min="4362" max="4362" width="14.140625" style="114" customWidth="1"/>
    <col min="4363" max="4363" width="18" style="114" customWidth="1"/>
    <col min="4364" max="4608" width="9.140625" style="114"/>
    <col min="4609" max="4609" width="47.7109375" style="114" bestFit="1" customWidth="1"/>
    <col min="4610" max="4610" width="21.42578125" style="114" customWidth="1"/>
    <col min="4611" max="4611" width="22.85546875" style="114" customWidth="1"/>
    <col min="4612" max="4612" width="16.42578125" style="114" bestFit="1" customWidth="1"/>
    <col min="4613" max="4613" width="15.7109375" style="114" bestFit="1" customWidth="1"/>
    <col min="4614" max="4614" width="19.42578125" style="114" customWidth="1"/>
    <col min="4615" max="4615" width="19.140625" style="114" bestFit="1" customWidth="1"/>
    <col min="4616" max="4616" width="9.140625" style="114"/>
    <col min="4617" max="4617" width="15.28515625" style="114" customWidth="1"/>
    <col min="4618" max="4618" width="14.140625" style="114" customWidth="1"/>
    <col min="4619" max="4619" width="18" style="114" customWidth="1"/>
    <col min="4620" max="4864" width="9.140625" style="114"/>
    <col min="4865" max="4865" width="47.7109375" style="114" bestFit="1" customWidth="1"/>
    <col min="4866" max="4866" width="21.42578125" style="114" customWidth="1"/>
    <col min="4867" max="4867" width="22.85546875" style="114" customWidth="1"/>
    <col min="4868" max="4868" width="16.42578125" style="114" bestFit="1" customWidth="1"/>
    <col min="4869" max="4869" width="15.7109375" style="114" bestFit="1" customWidth="1"/>
    <col min="4870" max="4870" width="19.42578125" style="114" customWidth="1"/>
    <col min="4871" max="4871" width="19.140625" style="114" bestFit="1" customWidth="1"/>
    <col min="4872" max="4872" width="9.140625" style="114"/>
    <col min="4873" max="4873" width="15.28515625" style="114" customWidth="1"/>
    <col min="4874" max="4874" width="14.140625" style="114" customWidth="1"/>
    <col min="4875" max="4875" width="18" style="114" customWidth="1"/>
    <col min="4876" max="5120" width="9.140625" style="114"/>
    <col min="5121" max="5121" width="47.7109375" style="114" bestFit="1" customWidth="1"/>
    <col min="5122" max="5122" width="21.42578125" style="114" customWidth="1"/>
    <col min="5123" max="5123" width="22.85546875" style="114" customWidth="1"/>
    <col min="5124" max="5124" width="16.42578125" style="114" bestFit="1" customWidth="1"/>
    <col min="5125" max="5125" width="15.7109375" style="114" bestFit="1" customWidth="1"/>
    <col min="5126" max="5126" width="19.42578125" style="114" customWidth="1"/>
    <col min="5127" max="5127" width="19.140625" style="114" bestFit="1" customWidth="1"/>
    <col min="5128" max="5128" width="9.140625" style="114"/>
    <col min="5129" max="5129" width="15.28515625" style="114" customWidth="1"/>
    <col min="5130" max="5130" width="14.140625" style="114" customWidth="1"/>
    <col min="5131" max="5131" width="18" style="114" customWidth="1"/>
    <col min="5132" max="5376" width="9.140625" style="114"/>
    <col min="5377" max="5377" width="47.7109375" style="114" bestFit="1" customWidth="1"/>
    <col min="5378" max="5378" width="21.42578125" style="114" customWidth="1"/>
    <col min="5379" max="5379" width="22.85546875" style="114" customWidth="1"/>
    <col min="5380" max="5380" width="16.42578125" style="114" bestFit="1" customWidth="1"/>
    <col min="5381" max="5381" width="15.7109375" style="114" bestFit="1" customWidth="1"/>
    <col min="5382" max="5382" width="19.42578125" style="114" customWidth="1"/>
    <col min="5383" max="5383" width="19.140625" style="114" bestFit="1" customWidth="1"/>
    <col min="5384" max="5384" width="9.140625" style="114"/>
    <col min="5385" max="5385" width="15.28515625" style="114" customWidth="1"/>
    <col min="5386" max="5386" width="14.140625" style="114" customWidth="1"/>
    <col min="5387" max="5387" width="18" style="114" customWidth="1"/>
    <col min="5388" max="5632" width="9.140625" style="114"/>
    <col min="5633" max="5633" width="47.7109375" style="114" bestFit="1" customWidth="1"/>
    <col min="5634" max="5634" width="21.42578125" style="114" customWidth="1"/>
    <col min="5635" max="5635" width="22.85546875" style="114" customWidth="1"/>
    <col min="5636" max="5636" width="16.42578125" style="114" bestFit="1" customWidth="1"/>
    <col min="5637" max="5637" width="15.7109375" style="114" bestFit="1" customWidth="1"/>
    <col min="5638" max="5638" width="19.42578125" style="114" customWidth="1"/>
    <col min="5639" max="5639" width="19.140625" style="114" bestFit="1" customWidth="1"/>
    <col min="5640" max="5640" width="9.140625" style="114"/>
    <col min="5641" max="5641" width="15.28515625" style="114" customWidth="1"/>
    <col min="5642" max="5642" width="14.140625" style="114" customWidth="1"/>
    <col min="5643" max="5643" width="18" style="114" customWidth="1"/>
    <col min="5644" max="5888" width="9.140625" style="114"/>
    <col min="5889" max="5889" width="47.7109375" style="114" bestFit="1" customWidth="1"/>
    <col min="5890" max="5890" width="21.42578125" style="114" customWidth="1"/>
    <col min="5891" max="5891" width="22.85546875" style="114" customWidth="1"/>
    <col min="5892" max="5892" width="16.42578125" style="114" bestFit="1" customWidth="1"/>
    <col min="5893" max="5893" width="15.7109375" style="114" bestFit="1" customWidth="1"/>
    <col min="5894" max="5894" width="19.42578125" style="114" customWidth="1"/>
    <col min="5895" max="5895" width="19.140625" style="114" bestFit="1" customWidth="1"/>
    <col min="5896" max="5896" width="9.140625" style="114"/>
    <col min="5897" max="5897" width="15.28515625" style="114" customWidth="1"/>
    <col min="5898" max="5898" width="14.140625" style="114" customWidth="1"/>
    <col min="5899" max="5899" width="18" style="114" customWidth="1"/>
    <col min="5900" max="6144" width="9.140625" style="114"/>
    <col min="6145" max="6145" width="47.7109375" style="114" bestFit="1" customWidth="1"/>
    <col min="6146" max="6146" width="21.42578125" style="114" customWidth="1"/>
    <col min="6147" max="6147" width="22.85546875" style="114" customWidth="1"/>
    <col min="6148" max="6148" width="16.42578125" style="114" bestFit="1" customWidth="1"/>
    <col min="6149" max="6149" width="15.7109375" style="114" bestFit="1" customWidth="1"/>
    <col min="6150" max="6150" width="19.42578125" style="114" customWidth="1"/>
    <col min="6151" max="6151" width="19.140625" style="114" bestFit="1" customWidth="1"/>
    <col min="6152" max="6152" width="9.140625" style="114"/>
    <col min="6153" max="6153" width="15.28515625" style="114" customWidth="1"/>
    <col min="6154" max="6154" width="14.140625" style="114" customWidth="1"/>
    <col min="6155" max="6155" width="18" style="114" customWidth="1"/>
    <col min="6156" max="6400" width="9.140625" style="114"/>
    <col min="6401" max="6401" width="47.7109375" style="114" bestFit="1" customWidth="1"/>
    <col min="6402" max="6402" width="21.42578125" style="114" customWidth="1"/>
    <col min="6403" max="6403" width="22.85546875" style="114" customWidth="1"/>
    <col min="6404" max="6404" width="16.42578125" style="114" bestFit="1" customWidth="1"/>
    <col min="6405" max="6405" width="15.7109375" style="114" bestFit="1" customWidth="1"/>
    <col min="6406" max="6406" width="19.42578125" style="114" customWidth="1"/>
    <col min="6407" max="6407" width="19.140625" style="114" bestFit="1" customWidth="1"/>
    <col min="6408" max="6408" width="9.140625" style="114"/>
    <col min="6409" max="6409" width="15.28515625" style="114" customWidth="1"/>
    <col min="6410" max="6410" width="14.140625" style="114" customWidth="1"/>
    <col min="6411" max="6411" width="18" style="114" customWidth="1"/>
    <col min="6412" max="6656" width="9.140625" style="114"/>
    <col min="6657" max="6657" width="47.7109375" style="114" bestFit="1" customWidth="1"/>
    <col min="6658" max="6658" width="21.42578125" style="114" customWidth="1"/>
    <col min="6659" max="6659" width="22.85546875" style="114" customWidth="1"/>
    <col min="6660" max="6660" width="16.42578125" style="114" bestFit="1" customWidth="1"/>
    <col min="6661" max="6661" width="15.7109375" style="114" bestFit="1" customWidth="1"/>
    <col min="6662" max="6662" width="19.42578125" style="114" customWidth="1"/>
    <col min="6663" max="6663" width="19.140625" style="114" bestFit="1" customWidth="1"/>
    <col min="6664" max="6664" width="9.140625" style="114"/>
    <col min="6665" max="6665" width="15.28515625" style="114" customWidth="1"/>
    <col min="6666" max="6666" width="14.140625" style="114" customWidth="1"/>
    <col min="6667" max="6667" width="18" style="114" customWidth="1"/>
    <col min="6668" max="6912" width="9.140625" style="114"/>
    <col min="6913" max="6913" width="47.7109375" style="114" bestFit="1" customWidth="1"/>
    <col min="6914" max="6914" width="21.42578125" style="114" customWidth="1"/>
    <col min="6915" max="6915" width="22.85546875" style="114" customWidth="1"/>
    <col min="6916" max="6916" width="16.42578125" style="114" bestFit="1" customWidth="1"/>
    <col min="6917" max="6917" width="15.7109375" style="114" bestFit="1" customWidth="1"/>
    <col min="6918" max="6918" width="19.42578125" style="114" customWidth="1"/>
    <col min="6919" max="6919" width="19.140625" style="114" bestFit="1" customWidth="1"/>
    <col min="6920" max="6920" width="9.140625" style="114"/>
    <col min="6921" max="6921" width="15.28515625" style="114" customWidth="1"/>
    <col min="6922" max="6922" width="14.140625" style="114" customWidth="1"/>
    <col min="6923" max="6923" width="18" style="114" customWidth="1"/>
    <col min="6924" max="7168" width="9.140625" style="114"/>
    <col min="7169" max="7169" width="47.7109375" style="114" bestFit="1" customWidth="1"/>
    <col min="7170" max="7170" width="21.42578125" style="114" customWidth="1"/>
    <col min="7171" max="7171" width="22.85546875" style="114" customWidth="1"/>
    <col min="7172" max="7172" width="16.42578125" style="114" bestFit="1" customWidth="1"/>
    <col min="7173" max="7173" width="15.7109375" style="114" bestFit="1" customWidth="1"/>
    <col min="7174" max="7174" width="19.42578125" style="114" customWidth="1"/>
    <col min="7175" max="7175" width="19.140625" style="114" bestFit="1" customWidth="1"/>
    <col min="7176" max="7176" width="9.140625" style="114"/>
    <col min="7177" max="7177" width="15.28515625" style="114" customWidth="1"/>
    <col min="7178" max="7178" width="14.140625" style="114" customWidth="1"/>
    <col min="7179" max="7179" width="18" style="114" customWidth="1"/>
    <col min="7180" max="7424" width="9.140625" style="114"/>
    <col min="7425" max="7425" width="47.7109375" style="114" bestFit="1" customWidth="1"/>
    <col min="7426" max="7426" width="21.42578125" style="114" customWidth="1"/>
    <col min="7427" max="7427" width="22.85546875" style="114" customWidth="1"/>
    <col min="7428" max="7428" width="16.42578125" style="114" bestFit="1" customWidth="1"/>
    <col min="7429" max="7429" width="15.7109375" style="114" bestFit="1" customWidth="1"/>
    <col min="7430" max="7430" width="19.42578125" style="114" customWidth="1"/>
    <col min="7431" max="7431" width="19.140625" style="114" bestFit="1" customWidth="1"/>
    <col min="7432" max="7432" width="9.140625" style="114"/>
    <col min="7433" max="7433" width="15.28515625" style="114" customWidth="1"/>
    <col min="7434" max="7434" width="14.140625" style="114" customWidth="1"/>
    <col min="7435" max="7435" width="18" style="114" customWidth="1"/>
    <col min="7436" max="7680" width="9.140625" style="114"/>
    <col min="7681" max="7681" width="47.7109375" style="114" bestFit="1" customWidth="1"/>
    <col min="7682" max="7682" width="21.42578125" style="114" customWidth="1"/>
    <col min="7683" max="7683" width="22.85546875" style="114" customWidth="1"/>
    <col min="7684" max="7684" width="16.42578125" style="114" bestFit="1" customWidth="1"/>
    <col min="7685" max="7685" width="15.7109375" style="114" bestFit="1" customWidth="1"/>
    <col min="7686" max="7686" width="19.42578125" style="114" customWidth="1"/>
    <col min="7687" max="7687" width="19.140625" style="114" bestFit="1" customWidth="1"/>
    <col min="7688" max="7688" width="9.140625" style="114"/>
    <col min="7689" max="7689" width="15.28515625" style="114" customWidth="1"/>
    <col min="7690" max="7690" width="14.140625" style="114" customWidth="1"/>
    <col min="7691" max="7691" width="18" style="114" customWidth="1"/>
    <col min="7692" max="7936" width="9.140625" style="114"/>
    <col min="7937" max="7937" width="47.7109375" style="114" bestFit="1" customWidth="1"/>
    <col min="7938" max="7938" width="21.42578125" style="114" customWidth="1"/>
    <col min="7939" max="7939" width="22.85546875" style="114" customWidth="1"/>
    <col min="7940" max="7940" width="16.42578125" style="114" bestFit="1" customWidth="1"/>
    <col min="7941" max="7941" width="15.7109375" style="114" bestFit="1" customWidth="1"/>
    <col min="7942" max="7942" width="19.42578125" style="114" customWidth="1"/>
    <col min="7943" max="7943" width="19.140625" style="114" bestFit="1" customWidth="1"/>
    <col min="7944" max="7944" width="9.140625" style="114"/>
    <col min="7945" max="7945" width="15.28515625" style="114" customWidth="1"/>
    <col min="7946" max="7946" width="14.140625" style="114" customWidth="1"/>
    <col min="7947" max="7947" width="18" style="114" customWidth="1"/>
    <col min="7948" max="8192" width="9.140625" style="114"/>
    <col min="8193" max="8193" width="47.7109375" style="114" bestFit="1" customWidth="1"/>
    <col min="8194" max="8194" width="21.42578125" style="114" customWidth="1"/>
    <col min="8195" max="8195" width="22.85546875" style="114" customWidth="1"/>
    <col min="8196" max="8196" width="16.42578125" style="114" bestFit="1" customWidth="1"/>
    <col min="8197" max="8197" width="15.7109375" style="114" bestFit="1" customWidth="1"/>
    <col min="8198" max="8198" width="19.42578125" style="114" customWidth="1"/>
    <col min="8199" max="8199" width="19.140625" style="114" bestFit="1" customWidth="1"/>
    <col min="8200" max="8200" width="9.140625" style="114"/>
    <col min="8201" max="8201" width="15.28515625" style="114" customWidth="1"/>
    <col min="8202" max="8202" width="14.140625" style="114" customWidth="1"/>
    <col min="8203" max="8203" width="18" style="114" customWidth="1"/>
    <col min="8204" max="8448" width="9.140625" style="114"/>
    <col min="8449" max="8449" width="47.7109375" style="114" bestFit="1" customWidth="1"/>
    <col min="8450" max="8450" width="21.42578125" style="114" customWidth="1"/>
    <col min="8451" max="8451" width="22.85546875" style="114" customWidth="1"/>
    <col min="8452" max="8452" width="16.42578125" style="114" bestFit="1" customWidth="1"/>
    <col min="8453" max="8453" width="15.7109375" style="114" bestFit="1" customWidth="1"/>
    <col min="8454" max="8454" width="19.42578125" style="114" customWidth="1"/>
    <col min="8455" max="8455" width="19.140625" style="114" bestFit="1" customWidth="1"/>
    <col min="8456" max="8456" width="9.140625" style="114"/>
    <col min="8457" max="8457" width="15.28515625" style="114" customWidth="1"/>
    <col min="8458" max="8458" width="14.140625" style="114" customWidth="1"/>
    <col min="8459" max="8459" width="18" style="114" customWidth="1"/>
    <col min="8460" max="8704" width="9.140625" style="114"/>
    <col min="8705" max="8705" width="47.7109375" style="114" bestFit="1" customWidth="1"/>
    <col min="8706" max="8706" width="21.42578125" style="114" customWidth="1"/>
    <col min="8707" max="8707" width="22.85546875" style="114" customWidth="1"/>
    <col min="8708" max="8708" width="16.42578125" style="114" bestFit="1" customWidth="1"/>
    <col min="8709" max="8709" width="15.7109375" style="114" bestFit="1" customWidth="1"/>
    <col min="8710" max="8710" width="19.42578125" style="114" customWidth="1"/>
    <col min="8711" max="8711" width="19.140625" style="114" bestFit="1" customWidth="1"/>
    <col min="8712" max="8712" width="9.140625" style="114"/>
    <col min="8713" max="8713" width="15.28515625" style="114" customWidth="1"/>
    <col min="8714" max="8714" width="14.140625" style="114" customWidth="1"/>
    <col min="8715" max="8715" width="18" style="114" customWidth="1"/>
    <col min="8716" max="8960" width="9.140625" style="114"/>
    <col min="8961" max="8961" width="47.7109375" style="114" bestFit="1" customWidth="1"/>
    <col min="8962" max="8962" width="21.42578125" style="114" customWidth="1"/>
    <col min="8963" max="8963" width="22.85546875" style="114" customWidth="1"/>
    <col min="8964" max="8964" width="16.42578125" style="114" bestFit="1" customWidth="1"/>
    <col min="8965" max="8965" width="15.7109375" style="114" bestFit="1" customWidth="1"/>
    <col min="8966" max="8966" width="19.42578125" style="114" customWidth="1"/>
    <col min="8967" max="8967" width="19.140625" style="114" bestFit="1" customWidth="1"/>
    <col min="8968" max="8968" width="9.140625" style="114"/>
    <col min="8969" max="8969" width="15.28515625" style="114" customWidth="1"/>
    <col min="8970" max="8970" width="14.140625" style="114" customWidth="1"/>
    <col min="8971" max="8971" width="18" style="114" customWidth="1"/>
    <col min="8972" max="9216" width="9.140625" style="114"/>
    <col min="9217" max="9217" width="47.7109375" style="114" bestFit="1" customWidth="1"/>
    <col min="9218" max="9218" width="21.42578125" style="114" customWidth="1"/>
    <col min="9219" max="9219" width="22.85546875" style="114" customWidth="1"/>
    <col min="9220" max="9220" width="16.42578125" style="114" bestFit="1" customWidth="1"/>
    <col min="9221" max="9221" width="15.7109375" style="114" bestFit="1" customWidth="1"/>
    <col min="9222" max="9222" width="19.42578125" style="114" customWidth="1"/>
    <col min="9223" max="9223" width="19.140625" style="114" bestFit="1" customWidth="1"/>
    <col min="9224" max="9224" width="9.140625" style="114"/>
    <col min="9225" max="9225" width="15.28515625" style="114" customWidth="1"/>
    <col min="9226" max="9226" width="14.140625" style="114" customWidth="1"/>
    <col min="9227" max="9227" width="18" style="114" customWidth="1"/>
    <col min="9228" max="9472" width="9.140625" style="114"/>
    <col min="9473" max="9473" width="47.7109375" style="114" bestFit="1" customWidth="1"/>
    <col min="9474" max="9474" width="21.42578125" style="114" customWidth="1"/>
    <col min="9475" max="9475" width="22.85546875" style="114" customWidth="1"/>
    <col min="9476" max="9476" width="16.42578125" style="114" bestFit="1" customWidth="1"/>
    <col min="9477" max="9477" width="15.7109375" style="114" bestFit="1" customWidth="1"/>
    <col min="9478" max="9478" width="19.42578125" style="114" customWidth="1"/>
    <col min="9479" max="9479" width="19.140625" style="114" bestFit="1" customWidth="1"/>
    <col min="9480" max="9480" width="9.140625" style="114"/>
    <col min="9481" max="9481" width="15.28515625" style="114" customWidth="1"/>
    <col min="9482" max="9482" width="14.140625" style="114" customWidth="1"/>
    <col min="9483" max="9483" width="18" style="114" customWidth="1"/>
    <col min="9484" max="9728" width="9.140625" style="114"/>
    <col min="9729" max="9729" width="47.7109375" style="114" bestFit="1" customWidth="1"/>
    <col min="9730" max="9730" width="21.42578125" style="114" customWidth="1"/>
    <col min="9731" max="9731" width="22.85546875" style="114" customWidth="1"/>
    <col min="9732" max="9732" width="16.42578125" style="114" bestFit="1" customWidth="1"/>
    <col min="9733" max="9733" width="15.7109375" style="114" bestFit="1" customWidth="1"/>
    <col min="9734" max="9734" width="19.42578125" style="114" customWidth="1"/>
    <col min="9735" max="9735" width="19.140625" style="114" bestFit="1" customWidth="1"/>
    <col min="9736" max="9736" width="9.140625" style="114"/>
    <col min="9737" max="9737" width="15.28515625" style="114" customWidth="1"/>
    <col min="9738" max="9738" width="14.140625" style="114" customWidth="1"/>
    <col min="9739" max="9739" width="18" style="114" customWidth="1"/>
    <col min="9740" max="9984" width="9.140625" style="114"/>
    <col min="9985" max="9985" width="47.7109375" style="114" bestFit="1" customWidth="1"/>
    <col min="9986" max="9986" width="21.42578125" style="114" customWidth="1"/>
    <col min="9987" max="9987" width="22.85546875" style="114" customWidth="1"/>
    <col min="9988" max="9988" width="16.42578125" style="114" bestFit="1" customWidth="1"/>
    <col min="9989" max="9989" width="15.7109375" style="114" bestFit="1" customWidth="1"/>
    <col min="9990" max="9990" width="19.42578125" style="114" customWidth="1"/>
    <col min="9991" max="9991" width="19.140625" style="114" bestFit="1" customWidth="1"/>
    <col min="9992" max="9992" width="9.140625" style="114"/>
    <col min="9993" max="9993" width="15.28515625" style="114" customWidth="1"/>
    <col min="9994" max="9994" width="14.140625" style="114" customWidth="1"/>
    <col min="9995" max="9995" width="18" style="114" customWidth="1"/>
    <col min="9996" max="10240" width="9.140625" style="114"/>
    <col min="10241" max="10241" width="47.7109375" style="114" bestFit="1" customWidth="1"/>
    <col min="10242" max="10242" width="21.42578125" style="114" customWidth="1"/>
    <col min="10243" max="10243" width="22.85546875" style="114" customWidth="1"/>
    <col min="10244" max="10244" width="16.42578125" style="114" bestFit="1" customWidth="1"/>
    <col min="10245" max="10245" width="15.7109375" style="114" bestFit="1" customWidth="1"/>
    <col min="10246" max="10246" width="19.42578125" style="114" customWidth="1"/>
    <col min="10247" max="10247" width="19.140625" style="114" bestFit="1" customWidth="1"/>
    <col min="10248" max="10248" width="9.140625" style="114"/>
    <col min="10249" max="10249" width="15.28515625" style="114" customWidth="1"/>
    <col min="10250" max="10250" width="14.140625" style="114" customWidth="1"/>
    <col min="10251" max="10251" width="18" style="114" customWidth="1"/>
    <col min="10252" max="10496" width="9.140625" style="114"/>
    <col min="10497" max="10497" width="47.7109375" style="114" bestFit="1" customWidth="1"/>
    <col min="10498" max="10498" width="21.42578125" style="114" customWidth="1"/>
    <col min="10499" max="10499" width="22.85546875" style="114" customWidth="1"/>
    <col min="10500" max="10500" width="16.42578125" style="114" bestFit="1" customWidth="1"/>
    <col min="10501" max="10501" width="15.7109375" style="114" bestFit="1" customWidth="1"/>
    <col min="10502" max="10502" width="19.42578125" style="114" customWidth="1"/>
    <col min="10503" max="10503" width="19.140625" style="114" bestFit="1" customWidth="1"/>
    <col min="10504" max="10504" width="9.140625" style="114"/>
    <col min="10505" max="10505" width="15.28515625" style="114" customWidth="1"/>
    <col min="10506" max="10506" width="14.140625" style="114" customWidth="1"/>
    <col min="10507" max="10507" width="18" style="114" customWidth="1"/>
    <col min="10508" max="10752" width="9.140625" style="114"/>
    <col min="10753" max="10753" width="47.7109375" style="114" bestFit="1" customWidth="1"/>
    <col min="10754" max="10754" width="21.42578125" style="114" customWidth="1"/>
    <col min="10755" max="10755" width="22.85546875" style="114" customWidth="1"/>
    <col min="10756" max="10756" width="16.42578125" style="114" bestFit="1" customWidth="1"/>
    <col min="10757" max="10757" width="15.7109375" style="114" bestFit="1" customWidth="1"/>
    <col min="10758" max="10758" width="19.42578125" style="114" customWidth="1"/>
    <col min="10759" max="10759" width="19.140625" style="114" bestFit="1" customWidth="1"/>
    <col min="10760" max="10760" width="9.140625" style="114"/>
    <col min="10761" max="10761" width="15.28515625" style="114" customWidth="1"/>
    <col min="10762" max="10762" width="14.140625" style="114" customWidth="1"/>
    <col min="10763" max="10763" width="18" style="114" customWidth="1"/>
    <col min="10764" max="11008" width="9.140625" style="114"/>
    <col min="11009" max="11009" width="47.7109375" style="114" bestFit="1" customWidth="1"/>
    <col min="11010" max="11010" width="21.42578125" style="114" customWidth="1"/>
    <col min="11011" max="11011" width="22.85546875" style="114" customWidth="1"/>
    <col min="11012" max="11012" width="16.42578125" style="114" bestFit="1" customWidth="1"/>
    <col min="11013" max="11013" width="15.7109375" style="114" bestFit="1" customWidth="1"/>
    <col min="11014" max="11014" width="19.42578125" style="114" customWidth="1"/>
    <col min="11015" max="11015" width="19.140625" style="114" bestFit="1" customWidth="1"/>
    <col min="11016" max="11016" width="9.140625" style="114"/>
    <col min="11017" max="11017" width="15.28515625" style="114" customWidth="1"/>
    <col min="11018" max="11018" width="14.140625" style="114" customWidth="1"/>
    <col min="11019" max="11019" width="18" style="114" customWidth="1"/>
    <col min="11020" max="11264" width="9.140625" style="114"/>
    <col min="11265" max="11265" width="47.7109375" style="114" bestFit="1" customWidth="1"/>
    <col min="11266" max="11266" width="21.42578125" style="114" customWidth="1"/>
    <col min="11267" max="11267" width="22.85546875" style="114" customWidth="1"/>
    <col min="11268" max="11268" width="16.42578125" style="114" bestFit="1" customWidth="1"/>
    <col min="11269" max="11269" width="15.7109375" style="114" bestFit="1" customWidth="1"/>
    <col min="11270" max="11270" width="19.42578125" style="114" customWidth="1"/>
    <col min="11271" max="11271" width="19.140625" style="114" bestFit="1" customWidth="1"/>
    <col min="11272" max="11272" width="9.140625" style="114"/>
    <col min="11273" max="11273" width="15.28515625" style="114" customWidth="1"/>
    <col min="11274" max="11274" width="14.140625" style="114" customWidth="1"/>
    <col min="11275" max="11275" width="18" style="114" customWidth="1"/>
    <col min="11276" max="11520" width="9.140625" style="114"/>
    <col min="11521" max="11521" width="47.7109375" style="114" bestFit="1" customWidth="1"/>
    <col min="11522" max="11522" width="21.42578125" style="114" customWidth="1"/>
    <col min="11523" max="11523" width="22.85546875" style="114" customWidth="1"/>
    <col min="11524" max="11524" width="16.42578125" style="114" bestFit="1" customWidth="1"/>
    <col min="11525" max="11525" width="15.7109375" style="114" bestFit="1" customWidth="1"/>
    <col min="11526" max="11526" width="19.42578125" style="114" customWidth="1"/>
    <col min="11527" max="11527" width="19.140625" style="114" bestFit="1" customWidth="1"/>
    <col min="11528" max="11528" width="9.140625" style="114"/>
    <col min="11529" max="11529" width="15.28515625" style="114" customWidth="1"/>
    <col min="11530" max="11530" width="14.140625" style="114" customWidth="1"/>
    <col min="11531" max="11531" width="18" style="114" customWidth="1"/>
    <col min="11532" max="11776" width="9.140625" style="114"/>
    <col min="11777" max="11777" width="47.7109375" style="114" bestFit="1" customWidth="1"/>
    <col min="11778" max="11778" width="21.42578125" style="114" customWidth="1"/>
    <col min="11779" max="11779" width="22.85546875" style="114" customWidth="1"/>
    <col min="11780" max="11780" width="16.42578125" style="114" bestFit="1" customWidth="1"/>
    <col min="11781" max="11781" width="15.7109375" style="114" bestFit="1" customWidth="1"/>
    <col min="11782" max="11782" width="19.42578125" style="114" customWidth="1"/>
    <col min="11783" max="11783" width="19.140625" style="114" bestFit="1" customWidth="1"/>
    <col min="11784" max="11784" width="9.140625" style="114"/>
    <col min="11785" max="11785" width="15.28515625" style="114" customWidth="1"/>
    <col min="11786" max="11786" width="14.140625" style="114" customWidth="1"/>
    <col min="11787" max="11787" width="18" style="114" customWidth="1"/>
    <col min="11788" max="12032" width="9.140625" style="114"/>
    <col min="12033" max="12033" width="47.7109375" style="114" bestFit="1" customWidth="1"/>
    <col min="12034" max="12034" width="21.42578125" style="114" customWidth="1"/>
    <col min="12035" max="12035" width="22.85546875" style="114" customWidth="1"/>
    <col min="12036" max="12036" width="16.42578125" style="114" bestFit="1" customWidth="1"/>
    <col min="12037" max="12037" width="15.7109375" style="114" bestFit="1" customWidth="1"/>
    <col min="12038" max="12038" width="19.42578125" style="114" customWidth="1"/>
    <col min="12039" max="12039" width="19.140625" style="114" bestFit="1" customWidth="1"/>
    <col min="12040" max="12040" width="9.140625" style="114"/>
    <col min="12041" max="12041" width="15.28515625" style="114" customWidth="1"/>
    <col min="12042" max="12042" width="14.140625" style="114" customWidth="1"/>
    <col min="12043" max="12043" width="18" style="114" customWidth="1"/>
    <col min="12044" max="12288" width="9.140625" style="114"/>
    <col min="12289" max="12289" width="47.7109375" style="114" bestFit="1" customWidth="1"/>
    <col min="12290" max="12290" width="21.42578125" style="114" customWidth="1"/>
    <col min="12291" max="12291" width="22.85546875" style="114" customWidth="1"/>
    <col min="12292" max="12292" width="16.42578125" style="114" bestFit="1" customWidth="1"/>
    <col min="12293" max="12293" width="15.7109375" style="114" bestFit="1" customWidth="1"/>
    <col min="12294" max="12294" width="19.42578125" style="114" customWidth="1"/>
    <col min="12295" max="12295" width="19.140625" style="114" bestFit="1" customWidth="1"/>
    <col min="12296" max="12296" width="9.140625" style="114"/>
    <col min="12297" max="12297" width="15.28515625" style="114" customWidth="1"/>
    <col min="12298" max="12298" width="14.140625" style="114" customWidth="1"/>
    <col min="12299" max="12299" width="18" style="114" customWidth="1"/>
    <col min="12300" max="12544" width="9.140625" style="114"/>
    <col min="12545" max="12545" width="47.7109375" style="114" bestFit="1" customWidth="1"/>
    <col min="12546" max="12546" width="21.42578125" style="114" customWidth="1"/>
    <col min="12547" max="12547" width="22.85546875" style="114" customWidth="1"/>
    <col min="12548" max="12548" width="16.42578125" style="114" bestFit="1" customWidth="1"/>
    <col min="12549" max="12549" width="15.7109375" style="114" bestFit="1" customWidth="1"/>
    <col min="12550" max="12550" width="19.42578125" style="114" customWidth="1"/>
    <col min="12551" max="12551" width="19.140625" style="114" bestFit="1" customWidth="1"/>
    <col min="12552" max="12552" width="9.140625" style="114"/>
    <col min="12553" max="12553" width="15.28515625" style="114" customWidth="1"/>
    <col min="12554" max="12554" width="14.140625" style="114" customWidth="1"/>
    <col min="12555" max="12555" width="18" style="114" customWidth="1"/>
    <col min="12556" max="12800" width="9.140625" style="114"/>
    <col min="12801" max="12801" width="47.7109375" style="114" bestFit="1" customWidth="1"/>
    <col min="12802" max="12802" width="21.42578125" style="114" customWidth="1"/>
    <col min="12803" max="12803" width="22.85546875" style="114" customWidth="1"/>
    <col min="12804" max="12804" width="16.42578125" style="114" bestFit="1" customWidth="1"/>
    <col min="12805" max="12805" width="15.7109375" style="114" bestFit="1" customWidth="1"/>
    <col min="12806" max="12806" width="19.42578125" style="114" customWidth="1"/>
    <col min="12807" max="12807" width="19.140625" style="114" bestFit="1" customWidth="1"/>
    <col min="12808" max="12808" width="9.140625" style="114"/>
    <col min="12809" max="12809" width="15.28515625" style="114" customWidth="1"/>
    <col min="12810" max="12810" width="14.140625" style="114" customWidth="1"/>
    <col min="12811" max="12811" width="18" style="114" customWidth="1"/>
    <col min="12812" max="13056" width="9.140625" style="114"/>
    <col min="13057" max="13057" width="47.7109375" style="114" bestFit="1" customWidth="1"/>
    <col min="13058" max="13058" width="21.42578125" style="114" customWidth="1"/>
    <col min="13059" max="13059" width="22.85546875" style="114" customWidth="1"/>
    <col min="13060" max="13060" width="16.42578125" style="114" bestFit="1" customWidth="1"/>
    <col min="13061" max="13061" width="15.7109375" style="114" bestFit="1" customWidth="1"/>
    <col min="13062" max="13062" width="19.42578125" style="114" customWidth="1"/>
    <col min="13063" max="13063" width="19.140625" style="114" bestFit="1" customWidth="1"/>
    <col min="13064" max="13064" width="9.140625" style="114"/>
    <col min="13065" max="13065" width="15.28515625" style="114" customWidth="1"/>
    <col min="13066" max="13066" width="14.140625" style="114" customWidth="1"/>
    <col min="13067" max="13067" width="18" style="114" customWidth="1"/>
    <col min="13068" max="13312" width="9.140625" style="114"/>
    <col min="13313" max="13313" width="47.7109375" style="114" bestFit="1" customWidth="1"/>
    <col min="13314" max="13314" width="21.42578125" style="114" customWidth="1"/>
    <col min="13315" max="13315" width="22.85546875" style="114" customWidth="1"/>
    <col min="13316" max="13316" width="16.42578125" style="114" bestFit="1" customWidth="1"/>
    <col min="13317" max="13317" width="15.7109375" style="114" bestFit="1" customWidth="1"/>
    <col min="13318" max="13318" width="19.42578125" style="114" customWidth="1"/>
    <col min="13319" max="13319" width="19.140625" style="114" bestFit="1" customWidth="1"/>
    <col min="13320" max="13320" width="9.140625" style="114"/>
    <col min="13321" max="13321" width="15.28515625" style="114" customWidth="1"/>
    <col min="13322" max="13322" width="14.140625" style="114" customWidth="1"/>
    <col min="13323" max="13323" width="18" style="114" customWidth="1"/>
    <col min="13324" max="13568" width="9.140625" style="114"/>
    <col min="13569" max="13569" width="47.7109375" style="114" bestFit="1" customWidth="1"/>
    <col min="13570" max="13570" width="21.42578125" style="114" customWidth="1"/>
    <col min="13571" max="13571" width="22.85546875" style="114" customWidth="1"/>
    <col min="13572" max="13572" width="16.42578125" style="114" bestFit="1" customWidth="1"/>
    <col min="13573" max="13573" width="15.7109375" style="114" bestFit="1" customWidth="1"/>
    <col min="13574" max="13574" width="19.42578125" style="114" customWidth="1"/>
    <col min="13575" max="13575" width="19.140625" style="114" bestFit="1" customWidth="1"/>
    <col min="13576" max="13576" width="9.140625" style="114"/>
    <col min="13577" max="13577" width="15.28515625" style="114" customWidth="1"/>
    <col min="13578" max="13578" width="14.140625" style="114" customWidth="1"/>
    <col min="13579" max="13579" width="18" style="114" customWidth="1"/>
    <col min="13580" max="13824" width="9.140625" style="114"/>
    <col min="13825" max="13825" width="47.7109375" style="114" bestFit="1" customWidth="1"/>
    <col min="13826" max="13826" width="21.42578125" style="114" customWidth="1"/>
    <col min="13827" max="13827" width="22.85546875" style="114" customWidth="1"/>
    <col min="13828" max="13828" width="16.42578125" style="114" bestFit="1" customWidth="1"/>
    <col min="13829" max="13829" width="15.7109375" style="114" bestFit="1" customWidth="1"/>
    <col min="13830" max="13830" width="19.42578125" style="114" customWidth="1"/>
    <col min="13831" max="13831" width="19.140625" style="114" bestFit="1" customWidth="1"/>
    <col min="13832" max="13832" width="9.140625" style="114"/>
    <col min="13833" max="13833" width="15.28515625" style="114" customWidth="1"/>
    <col min="13834" max="13834" width="14.140625" style="114" customWidth="1"/>
    <col min="13835" max="13835" width="18" style="114" customWidth="1"/>
    <col min="13836" max="14080" width="9.140625" style="114"/>
    <col min="14081" max="14081" width="47.7109375" style="114" bestFit="1" customWidth="1"/>
    <col min="14082" max="14082" width="21.42578125" style="114" customWidth="1"/>
    <col min="14083" max="14083" width="22.85546875" style="114" customWidth="1"/>
    <col min="14084" max="14084" width="16.42578125" style="114" bestFit="1" customWidth="1"/>
    <col min="14085" max="14085" width="15.7109375" style="114" bestFit="1" customWidth="1"/>
    <col min="14086" max="14086" width="19.42578125" style="114" customWidth="1"/>
    <col min="14087" max="14087" width="19.140625" style="114" bestFit="1" customWidth="1"/>
    <col min="14088" max="14088" width="9.140625" style="114"/>
    <col min="14089" max="14089" width="15.28515625" style="114" customWidth="1"/>
    <col min="14090" max="14090" width="14.140625" style="114" customWidth="1"/>
    <col min="14091" max="14091" width="18" style="114" customWidth="1"/>
    <col min="14092" max="14336" width="9.140625" style="114"/>
    <col min="14337" max="14337" width="47.7109375" style="114" bestFit="1" customWidth="1"/>
    <col min="14338" max="14338" width="21.42578125" style="114" customWidth="1"/>
    <col min="14339" max="14339" width="22.85546875" style="114" customWidth="1"/>
    <col min="14340" max="14340" width="16.42578125" style="114" bestFit="1" customWidth="1"/>
    <col min="14341" max="14341" width="15.7109375" style="114" bestFit="1" customWidth="1"/>
    <col min="14342" max="14342" width="19.42578125" style="114" customWidth="1"/>
    <col min="14343" max="14343" width="19.140625" style="114" bestFit="1" customWidth="1"/>
    <col min="14344" max="14344" width="9.140625" style="114"/>
    <col min="14345" max="14345" width="15.28515625" style="114" customWidth="1"/>
    <col min="14346" max="14346" width="14.140625" style="114" customWidth="1"/>
    <col min="14347" max="14347" width="18" style="114" customWidth="1"/>
    <col min="14348" max="14592" width="9.140625" style="114"/>
    <col min="14593" max="14593" width="47.7109375" style="114" bestFit="1" customWidth="1"/>
    <col min="14594" max="14594" width="21.42578125" style="114" customWidth="1"/>
    <col min="14595" max="14595" width="22.85546875" style="114" customWidth="1"/>
    <col min="14596" max="14596" width="16.42578125" style="114" bestFit="1" customWidth="1"/>
    <col min="14597" max="14597" width="15.7109375" style="114" bestFit="1" customWidth="1"/>
    <col min="14598" max="14598" width="19.42578125" style="114" customWidth="1"/>
    <col min="14599" max="14599" width="19.140625" style="114" bestFit="1" customWidth="1"/>
    <col min="14600" max="14600" width="9.140625" style="114"/>
    <col min="14601" max="14601" width="15.28515625" style="114" customWidth="1"/>
    <col min="14602" max="14602" width="14.140625" style="114" customWidth="1"/>
    <col min="14603" max="14603" width="18" style="114" customWidth="1"/>
    <col min="14604" max="14848" width="9.140625" style="114"/>
    <col min="14849" max="14849" width="47.7109375" style="114" bestFit="1" customWidth="1"/>
    <col min="14850" max="14850" width="21.42578125" style="114" customWidth="1"/>
    <col min="14851" max="14851" width="22.85546875" style="114" customWidth="1"/>
    <col min="14852" max="14852" width="16.42578125" style="114" bestFit="1" customWidth="1"/>
    <col min="14853" max="14853" width="15.7109375" style="114" bestFit="1" customWidth="1"/>
    <col min="14854" max="14854" width="19.42578125" style="114" customWidth="1"/>
    <col min="14855" max="14855" width="19.140625" style="114" bestFit="1" customWidth="1"/>
    <col min="14856" max="14856" width="9.140625" style="114"/>
    <col min="14857" max="14857" width="15.28515625" style="114" customWidth="1"/>
    <col min="14858" max="14858" width="14.140625" style="114" customWidth="1"/>
    <col min="14859" max="14859" width="18" style="114" customWidth="1"/>
    <col min="14860" max="15104" width="9.140625" style="114"/>
    <col min="15105" max="15105" width="47.7109375" style="114" bestFit="1" customWidth="1"/>
    <col min="15106" max="15106" width="21.42578125" style="114" customWidth="1"/>
    <col min="15107" max="15107" width="22.85546875" style="114" customWidth="1"/>
    <col min="15108" max="15108" width="16.42578125" style="114" bestFit="1" customWidth="1"/>
    <col min="15109" max="15109" width="15.7109375" style="114" bestFit="1" customWidth="1"/>
    <col min="15110" max="15110" width="19.42578125" style="114" customWidth="1"/>
    <col min="15111" max="15111" width="19.140625" style="114" bestFit="1" customWidth="1"/>
    <col min="15112" max="15112" width="9.140625" style="114"/>
    <col min="15113" max="15113" width="15.28515625" style="114" customWidth="1"/>
    <col min="15114" max="15114" width="14.140625" style="114" customWidth="1"/>
    <col min="15115" max="15115" width="18" style="114" customWidth="1"/>
    <col min="15116" max="15360" width="9.140625" style="114"/>
    <col min="15361" max="15361" width="47.7109375" style="114" bestFit="1" customWidth="1"/>
    <col min="15362" max="15362" width="21.42578125" style="114" customWidth="1"/>
    <col min="15363" max="15363" width="22.85546875" style="114" customWidth="1"/>
    <col min="15364" max="15364" width="16.42578125" style="114" bestFit="1" customWidth="1"/>
    <col min="15365" max="15365" width="15.7109375" style="114" bestFit="1" customWidth="1"/>
    <col min="15366" max="15366" width="19.42578125" style="114" customWidth="1"/>
    <col min="15367" max="15367" width="19.140625" style="114" bestFit="1" customWidth="1"/>
    <col min="15368" max="15368" width="9.140625" style="114"/>
    <col min="15369" max="15369" width="15.28515625" style="114" customWidth="1"/>
    <col min="15370" max="15370" width="14.140625" style="114" customWidth="1"/>
    <col min="15371" max="15371" width="18" style="114" customWidth="1"/>
    <col min="15372" max="15616" width="9.140625" style="114"/>
    <col min="15617" max="15617" width="47.7109375" style="114" bestFit="1" customWidth="1"/>
    <col min="15618" max="15618" width="21.42578125" style="114" customWidth="1"/>
    <col min="15619" max="15619" width="22.85546875" style="114" customWidth="1"/>
    <col min="15620" max="15620" width="16.42578125" style="114" bestFit="1" customWidth="1"/>
    <col min="15621" max="15621" width="15.7109375" style="114" bestFit="1" customWidth="1"/>
    <col min="15622" max="15622" width="19.42578125" style="114" customWidth="1"/>
    <col min="15623" max="15623" width="19.140625" style="114" bestFit="1" customWidth="1"/>
    <col min="15624" max="15624" width="9.140625" style="114"/>
    <col min="15625" max="15625" width="15.28515625" style="114" customWidth="1"/>
    <col min="15626" max="15626" width="14.140625" style="114" customWidth="1"/>
    <col min="15627" max="15627" width="18" style="114" customWidth="1"/>
    <col min="15628" max="15872" width="9.140625" style="114"/>
    <col min="15873" max="15873" width="47.7109375" style="114" bestFit="1" customWidth="1"/>
    <col min="15874" max="15874" width="21.42578125" style="114" customWidth="1"/>
    <col min="15875" max="15875" width="22.85546875" style="114" customWidth="1"/>
    <col min="15876" max="15876" width="16.42578125" style="114" bestFit="1" customWidth="1"/>
    <col min="15877" max="15877" width="15.7109375" style="114" bestFit="1" customWidth="1"/>
    <col min="15878" max="15878" width="19.42578125" style="114" customWidth="1"/>
    <col min="15879" max="15879" width="19.140625" style="114" bestFit="1" customWidth="1"/>
    <col min="15880" max="15880" width="9.140625" style="114"/>
    <col min="15881" max="15881" width="15.28515625" style="114" customWidth="1"/>
    <col min="15882" max="15882" width="14.140625" style="114" customWidth="1"/>
    <col min="15883" max="15883" width="18" style="114" customWidth="1"/>
    <col min="15884" max="16128" width="9.140625" style="114"/>
    <col min="16129" max="16129" width="47.7109375" style="114" bestFit="1" customWidth="1"/>
    <col min="16130" max="16130" width="21.42578125" style="114" customWidth="1"/>
    <col min="16131" max="16131" width="22.85546875" style="114" customWidth="1"/>
    <col min="16132" max="16132" width="16.42578125" style="114" bestFit="1" customWidth="1"/>
    <col min="16133" max="16133" width="15.7109375" style="114" bestFit="1" customWidth="1"/>
    <col min="16134" max="16134" width="19.42578125" style="114" customWidth="1"/>
    <col min="16135" max="16135" width="19.140625" style="114" bestFit="1" customWidth="1"/>
    <col min="16136" max="16136" width="9.140625" style="114"/>
    <col min="16137" max="16137" width="15.28515625" style="114" customWidth="1"/>
    <col min="16138" max="16138" width="14.140625" style="114" customWidth="1"/>
    <col min="16139" max="16139" width="18" style="114" customWidth="1"/>
    <col min="16140" max="16384" width="9.140625" style="114"/>
  </cols>
  <sheetData>
    <row r="1" spans="1:7" x14ac:dyDescent="0.25">
      <c r="A1" s="122">
        <f>'Balanço Orçamentário MCASP'!A1</f>
        <v>44013</v>
      </c>
    </row>
    <row r="2" spans="1:7" x14ac:dyDescent="0.25">
      <c r="A2" s="208" t="s">
        <v>0</v>
      </c>
      <c r="B2" s="208"/>
      <c r="C2" s="208"/>
      <c r="D2" s="208"/>
      <c r="E2" s="208"/>
      <c r="F2" s="208"/>
      <c r="G2" s="208"/>
    </row>
    <row r="3" spans="1:7" x14ac:dyDescent="0.25">
      <c r="A3" s="208" t="s">
        <v>149</v>
      </c>
      <c r="B3" s="208"/>
      <c r="C3" s="208"/>
      <c r="D3" s="208"/>
      <c r="E3" s="208"/>
      <c r="F3" s="208"/>
      <c r="G3" s="208"/>
    </row>
    <row r="4" spans="1:7" x14ac:dyDescent="0.25">
      <c r="A4" s="208" t="s">
        <v>81</v>
      </c>
      <c r="B4" s="208"/>
      <c r="C4" s="208"/>
      <c r="D4" s="208"/>
      <c r="E4" s="208"/>
      <c r="F4" s="208"/>
      <c r="G4" s="208"/>
    </row>
    <row r="5" spans="1:7" x14ac:dyDescent="0.25">
      <c r="A5" s="127"/>
      <c r="B5" s="127"/>
      <c r="C5" s="127"/>
      <c r="D5" s="127"/>
      <c r="E5" s="127"/>
      <c r="F5" s="127"/>
      <c r="G5" s="209"/>
    </row>
    <row r="6" spans="1:7" ht="15.75" thickBot="1" x14ac:dyDescent="0.3">
      <c r="A6" s="127"/>
      <c r="B6" s="127"/>
      <c r="C6" s="127"/>
      <c r="D6" s="127"/>
      <c r="E6" s="127"/>
      <c r="F6" s="127"/>
      <c r="G6" s="127"/>
    </row>
    <row r="7" spans="1:7" ht="15.75" thickBot="1" x14ac:dyDescent="0.3">
      <c r="A7" s="210" t="s">
        <v>150</v>
      </c>
      <c r="B7" s="211" t="s">
        <v>151</v>
      </c>
      <c r="C7" s="212"/>
      <c r="D7" s="213" t="s">
        <v>152</v>
      </c>
      <c r="E7" s="214" t="s">
        <v>153</v>
      </c>
      <c r="F7" s="213" t="s">
        <v>154</v>
      </c>
      <c r="G7" s="215" t="s">
        <v>155</v>
      </c>
    </row>
    <row r="8" spans="1:7" ht="42" customHeight="1" thickBot="1" x14ac:dyDescent="0.3">
      <c r="A8" s="216"/>
      <c r="B8" s="217" t="s">
        <v>156</v>
      </c>
      <c r="C8" s="218" t="s">
        <v>157</v>
      </c>
      <c r="D8" s="219"/>
      <c r="E8" s="220"/>
      <c r="F8" s="219"/>
      <c r="G8" s="221"/>
    </row>
    <row r="9" spans="1:7" ht="16.5" thickBot="1" x14ac:dyDescent="0.3">
      <c r="A9" s="222" t="s">
        <v>158</v>
      </c>
      <c r="B9" s="223">
        <f>SUM(B10:B12)</f>
        <v>0</v>
      </c>
      <c r="C9" s="224">
        <f>SUM(C10:C12)</f>
        <v>0</v>
      </c>
      <c r="D9" s="224">
        <f>SUM(D10:D12)</f>
        <v>65513385</v>
      </c>
      <c r="E9" s="223">
        <f>SUM(E10:E12)</f>
        <v>65513385</v>
      </c>
      <c r="F9" s="224">
        <f>SUM(F10:F12)</f>
        <v>34574488.5</v>
      </c>
      <c r="G9" s="225">
        <f t="shared" ref="G9:G16" si="0">B9+C9-E9-F9</f>
        <v>-100087873.5</v>
      </c>
    </row>
    <row r="10" spans="1:7" ht="15.75" x14ac:dyDescent="0.25">
      <c r="A10" s="226" t="s">
        <v>123</v>
      </c>
      <c r="B10" s="227"/>
      <c r="C10" s="228"/>
      <c r="D10" s="228"/>
      <c r="E10" s="227"/>
      <c r="F10" s="228"/>
      <c r="G10" s="229">
        <f t="shared" si="0"/>
        <v>0</v>
      </c>
    </row>
    <row r="11" spans="1:7" ht="15.75" x14ac:dyDescent="0.25">
      <c r="A11" s="226" t="s">
        <v>124</v>
      </c>
      <c r="B11" s="227"/>
      <c r="C11" s="228"/>
      <c r="D11" s="230"/>
      <c r="E11" s="231"/>
      <c r="F11" s="228"/>
      <c r="G11" s="229">
        <f t="shared" si="0"/>
        <v>0</v>
      </c>
    </row>
    <row r="12" spans="1:7" ht="16.5" thickBot="1" x14ac:dyDescent="0.3">
      <c r="A12" s="226" t="s">
        <v>125</v>
      </c>
      <c r="B12" s="232">
        <f>HLOOKUP($A$1,[1]DADOS!$A1:$IV200,140,0)</f>
        <v>0</v>
      </c>
      <c r="C12" s="233">
        <f>HLOOKUP($A$1,[1]DADOS!$A1:$IV200,124,0)</f>
        <v>0</v>
      </c>
      <c r="D12" s="234">
        <f>$E$12</f>
        <v>65513385</v>
      </c>
      <c r="E12" s="235">
        <f>HLOOKUP($A$1,[1]DADOS!$A1:$IV200,126,0)+HLOOKUP($A$1,[1]DADOS!$A1:$IV200,142,0)</f>
        <v>65513385</v>
      </c>
      <c r="F12" s="236">
        <f>HLOOKUP($A$1,[1]DADOS!$A1:$IV200,128,0)+HLOOKUP($A$1,[1]DADOS!$A1:$IV200,136,0)+HLOOKUP($A$1,[1]DADOS!$A1:$IV200,144,0)</f>
        <v>34574488.5</v>
      </c>
      <c r="G12" s="237">
        <f>B12+C12-E12-F12</f>
        <v>-100087873.5</v>
      </c>
    </row>
    <row r="13" spans="1:7" ht="16.5" thickBot="1" x14ac:dyDescent="0.3">
      <c r="A13" s="222" t="s">
        <v>159</v>
      </c>
      <c r="B13" s="238">
        <f>SUM(B14:B16)</f>
        <v>0</v>
      </c>
      <c r="C13" s="224">
        <f>SUM(C14:C16)</f>
        <v>0</v>
      </c>
      <c r="D13" s="224">
        <f>SUM(D14:D16)</f>
        <v>43000</v>
      </c>
      <c r="E13" s="223">
        <f>SUM(E14:E16)</f>
        <v>43000</v>
      </c>
      <c r="F13" s="224">
        <f>SUM(F14:F16)</f>
        <v>8641.73</v>
      </c>
      <c r="G13" s="225">
        <f t="shared" si="0"/>
        <v>-51641.729999999996</v>
      </c>
    </row>
    <row r="14" spans="1:7" ht="15.75" x14ac:dyDescent="0.25">
      <c r="A14" s="226" t="s">
        <v>127</v>
      </c>
      <c r="B14" s="227">
        <f>HLOOKUP($A$1,[1]DADOS!$A1:$IV200,139,0)</f>
        <v>0</v>
      </c>
      <c r="C14" s="233">
        <f>HLOOKUP($A$1,[1]DADOS!$A1:$IV200,131,0)</f>
        <v>0</v>
      </c>
      <c r="D14" s="236">
        <f>$E$14</f>
        <v>43000</v>
      </c>
      <c r="E14" s="232">
        <f>HLOOKUP($A$1,[1]DADOS!$A1:$IV200,133,0)+HLOOKUP($A$1,[1]DADOS!$A1:$IV200,149,0)</f>
        <v>43000</v>
      </c>
      <c r="F14" s="236">
        <f>HLOOKUP($A$1,[1]DADOS!$A1:$IV200,135,0)+HLOOKUP($A$1,[1]DADOS!$A1:$IV200,151,0)</f>
        <v>8641.73</v>
      </c>
      <c r="G14" s="229">
        <f t="shared" si="0"/>
        <v>-51641.729999999996</v>
      </c>
    </row>
    <row r="15" spans="1:7" ht="15.75" x14ac:dyDescent="0.25">
      <c r="A15" s="226" t="s">
        <v>128</v>
      </c>
      <c r="B15" s="227"/>
      <c r="C15" s="228"/>
      <c r="D15" s="228"/>
      <c r="E15" s="227"/>
      <c r="F15" s="228"/>
      <c r="G15" s="229">
        <f t="shared" si="0"/>
        <v>0</v>
      </c>
    </row>
    <row r="16" spans="1:7" ht="16.5" thickBot="1" x14ac:dyDescent="0.3">
      <c r="A16" s="239" t="s">
        <v>129</v>
      </c>
      <c r="B16" s="227"/>
      <c r="C16" s="228"/>
      <c r="D16" s="228"/>
      <c r="E16" s="240"/>
      <c r="F16" s="228"/>
      <c r="G16" s="229">
        <f t="shared" si="0"/>
        <v>0</v>
      </c>
    </row>
    <row r="17" spans="1:15" s="154" customFormat="1" ht="16.5" thickBot="1" x14ac:dyDescent="0.3">
      <c r="A17" s="241" t="s">
        <v>160</v>
      </c>
      <c r="B17" s="242">
        <f t="shared" ref="B17:G17" si="1">B9+B13</f>
        <v>0</v>
      </c>
      <c r="C17" s="242">
        <f t="shared" si="1"/>
        <v>0</v>
      </c>
      <c r="D17" s="242">
        <f t="shared" si="1"/>
        <v>65556385</v>
      </c>
      <c r="E17" s="242">
        <f t="shared" si="1"/>
        <v>65556385</v>
      </c>
      <c r="F17" s="242">
        <f t="shared" si="1"/>
        <v>34583130.229999997</v>
      </c>
      <c r="G17" s="242">
        <f t="shared" si="1"/>
        <v>-100139515.23</v>
      </c>
      <c r="I17" s="243">
        <f>G17</f>
        <v>-100139515.23</v>
      </c>
      <c r="J17" s="244" t="s">
        <v>161</v>
      </c>
      <c r="K17" s="245"/>
    </row>
    <row r="18" spans="1:15" x14ac:dyDescent="0.25">
      <c r="I18" s="174"/>
      <c r="K18" s="246"/>
    </row>
    <row r="19" spans="1:15" ht="15.75" thickBot="1" x14ac:dyDescent="0.3">
      <c r="A19" s="127"/>
      <c r="B19" s="127"/>
      <c r="C19" s="127"/>
      <c r="D19" s="127"/>
      <c r="E19" s="127"/>
      <c r="F19" s="127"/>
      <c r="G19" s="127"/>
      <c r="I19" s="174"/>
      <c r="K19" s="246"/>
    </row>
    <row r="20" spans="1:15" ht="15.75" thickBot="1" x14ac:dyDescent="0.3">
      <c r="A20" s="210" t="s">
        <v>162</v>
      </c>
      <c r="B20" s="211" t="s">
        <v>151</v>
      </c>
      <c r="C20" s="212"/>
      <c r="D20" s="247" t="s">
        <v>163</v>
      </c>
      <c r="E20" s="247" t="s">
        <v>164</v>
      </c>
      <c r="F20" s="247" t="s">
        <v>165</v>
      </c>
      <c r="I20" s="174"/>
      <c r="K20" s="246"/>
    </row>
    <row r="21" spans="1:15" ht="30.75" thickBot="1" x14ac:dyDescent="0.3">
      <c r="A21" s="248"/>
      <c r="B21" s="217" t="s">
        <v>156</v>
      </c>
      <c r="C21" s="218" t="s">
        <v>157</v>
      </c>
      <c r="D21" s="249"/>
      <c r="E21" s="249"/>
      <c r="F21" s="249"/>
      <c r="I21" s="174"/>
      <c r="K21" s="246"/>
    </row>
    <row r="22" spans="1:15" ht="16.5" thickBot="1" x14ac:dyDescent="0.3">
      <c r="A22" s="241" t="s">
        <v>158</v>
      </c>
      <c r="B22" s="223">
        <f>SUM(B23:B25)</f>
        <v>0</v>
      </c>
      <c r="C22" s="224">
        <f>SUM(C23:C25)</f>
        <v>0</v>
      </c>
      <c r="D22" s="224">
        <f>SUM(D23:D25)</f>
        <v>122224907</v>
      </c>
      <c r="E22" s="224">
        <f>SUM(E23:E25)</f>
        <v>29880674.25</v>
      </c>
      <c r="F22" s="224">
        <f t="shared" ref="F22:F27" si="2">B22+C22-D22-E22</f>
        <v>-152105581.25</v>
      </c>
      <c r="I22" s="174"/>
      <c r="K22" s="246"/>
    </row>
    <row r="23" spans="1:15" ht="15.75" x14ac:dyDescent="0.25">
      <c r="A23" s="250" t="s">
        <v>123</v>
      </c>
      <c r="B23" s="227"/>
      <c r="C23" s="227"/>
      <c r="D23" s="230"/>
      <c r="E23" s="230"/>
      <c r="F23" s="228">
        <f t="shared" si="2"/>
        <v>0</v>
      </c>
      <c r="I23" s="174"/>
      <c r="K23" s="246"/>
    </row>
    <row r="24" spans="1:15" ht="15.75" x14ac:dyDescent="0.25">
      <c r="A24" s="250" t="s">
        <v>124</v>
      </c>
      <c r="B24" s="227"/>
      <c r="C24" s="228"/>
      <c r="D24" s="228"/>
      <c r="E24" s="228"/>
      <c r="F24" s="228">
        <f t="shared" si="2"/>
        <v>0</v>
      </c>
      <c r="I24" s="174"/>
      <c r="K24" s="246"/>
    </row>
    <row r="25" spans="1:15" ht="16.5" thickBot="1" x14ac:dyDescent="0.3">
      <c r="A25" s="250" t="s">
        <v>125</v>
      </c>
      <c r="B25" s="235">
        <f>HLOOKUP($A$1,[1]DADOS!$A1:$IV200,141,0)</f>
        <v>0</v>
      </c>
      <c r="C25" s="235">
        <f>HLOOKUP($A$1,[1]DADOS!$A1:$IV200,125,0)</f>
        <v>0</v>
      </c>
      <c r="D25" s="236">
        <f>HLOOKUP($A$1,[1]DADOS!$A1:$IV200,127,0)+HLOOKUP($A$1,[1]DADOS!$A1:$IV200,143,0)</f>
        <v>122224907</v>
      </c>
      <c r="E25" s="236">
        <f>HLOOKUP($A$1,[1]DADOS!$A1:$IV200,129,0)+HLOOKUP($A$1,[1]DADOS!$A1:$IV200,145,0)</f>
        <v>29880674.25</v>
      </c>
      <c r="F25" s="233">
        <f t="shared" si="2"/>
        <v>-152105581.25</v>
      </c>
      <c r="I25" s="174"/>
      <c r="K25" s="246"/>
    </row>
    <row r="26" spans="1:15" ht="15.75" thickBot="1" x14ac:dyDescent="0.3">
      <c r="A26" s="241" t="s">
        <v>159</v>
      </c>
      <c r="B26" s="238">
        <f>SUM(B27:B29)</f>
        <v>0</v>
      </c>
      <c r="C26" s="251">
        <f>SUM(C27:C29)</f>
        <v>43000</v>
      </c>
      <c r="D26" s="251">
        <f>SUM(D27:D29)</f>
        <v>2003403.79</v>
      </c>
      <c r="E26" s="251">
        <f>SUM(E27:E29)</f>
        <v>263013.11</v>
      </c>
      <c r="F26" s="251">
        <f t="shared" si="2"/>
        <v>-2223416.9</v>
      </c>
      <c r="I26" s="174"/>
      <c r="K26" s="246"/>
    </row>
    <row r="27" spans="1:15" ht="15.75" x14ac:dyDescent="0.25">
      <c r="A27" s="250" t="s">
        <v>127</v>
      </c>
      <c r="B27" s="227">
        <f>HLOOKUP($A$1,[1]DADOS!$A1:$IV200,148,0)</f>
        <v>0</v>
      </c>
      <c r="C27" s="252">
        <f>HLOOKUP($A$1,[1]DADOS!$A1:$IV200,132,0)</f>
        <v>43000</v>
      </c>
      <c r="D27" s="228">
        <f>HLOOKUP($A$1,[1]DADOS!$A1:$IV200,134,0)+HLOOKUP($A$1,[1]DADOS!$A1:$IV200,150,0)</f>
        <v>2003403.79</v>
      </c>
      <c r="E27" s="228">
        <f>HLOOKUP($A$1,[1]DADOS!$A1:$IV200,136,0)+HLOOKUP($A$1,[1]DADOS!$A1:$IV200,152,0)</f>
        <v>263013.11</v>
      </c>
      <c r="F27" s="252">
        <f t="shared" si="2"/>
        <v>-2223416.9</v>
      </c>
      <c r="I27" s="174"/>
      <c r="K27" s="246"/>
    </row>
    <row r="28" spans="1:15" ht="15.75" x14ac:dyDescent="0.25">
      <c r="A28" s="250" t="s">
        <v>128</v>
      </c>
      <c r="B28" s="227"/>
      <c r="C28" s="228"/>
      <c r="D28" s="228"/>
      <c r="E28" s="228"/>
      <c r="F28" s="228"/>
      <c r="I28" s="174"/>
      <c r="K28" s="246"/>
    </row>
    <row r="29" spans="1:15" ht="16.5" thickBot="1" x14ac:dyDescent="0.3">
      <c r="A29" s="250" t="s">
        <v>129</v>
      </c>
      <c r="B29" s="240"/>
      <c r="C29" s="228"/>
      <c r="D29" s="228"/>
      <c r="E29" s="228"/>
      <c r="F29" s="228"/>
      <c r="I29" s="174"/>
      <c r="K29" s="246"/>
    </row>
    <row r="30" spans="1:15" s="154" customFormat="1" ht="18.75" thickBot="1" x14ac:dyDescent="0.45">
      <c r="A30" s="241" t="s">
        <v>160</v>
      </c>
      <c r="B30" s="242">
        <f>B22+B26</f>
        <v>0</v>
      </c>
      <c r="C30" s="242">
        <f>C22+C26</f>
        <v>43000</v>
      </c>
      <c r="D30" s="242">
        <f>D22+D26</f>
        <v>124228310.79000001</v>
      </c>
      <c r="E30" s="242">
        <f>E22+E26</f>
        <v>30143687.359999999</v>
      </c>
      <c r="F30" s="242">
        <f>F22+F26</f>
        <v>-154328998.15000001</v>
      </c>
      <c r="I30" s="253">
        <f>F30</f>
        <v>-154328998.15000001</v>
      </c>
      <c r="J30" s="254" t="s">
        <v>166</v>
      </c>
      <c r="K30" s="255"/>
    </row>
    <row r="31" spans="1:15" s="82" customFormat="1" ht="13.5" customHeight="1" x14ac:dyDescent="0.25">
      <c r="A31" s="77" t="s">
        <v>47</v>
      </c>
      <c r="B31" s="78"/>
      <c r="C31" s="78"/>
      <c r="D31" s="78"/>
      <c r="E31" s="79"/>
      <c r="F31" s="79"/>
      <c r="G31" s="79"/>
      <c r="H31" s="78"/>
      <c r="I31" s="256">
        <f>I17+I30</f>
        <v>-254468513.38</v>
      </c>
      <c r="J31" s="114" t="s">
        <v>167</v>
      </c>
      <c r="K31" s="257"/>
      <c r="L31" s="79"/>
      <c r="M31" s="80"/>
    </row>
    <row r="32" spans="1:15" s="82" customFormat="1" ht="13.5" customHeight="1" x14ac:dyDescent="0.2">
      <c r="A32" s="77" t="s">
        <v>48</v>
      </c>
      <c r="B32" s="84"/>
      <c r="C32" s="84"/>
      <c r="D32" s="84"/>
      <c r="E32" s="84"/>
      <c r="F32" s="84"/>
      <c r="G32" s="84"/>
      <c r="H32" s="84"/>
      <c r="I32" s="258">
        <v>-72409.919999999998</v>
      </c>
      <c r="J32" s="259" t="s">
        <v>168</v>
      </c>
      <c r="K32" s="260"/>
      <c r="L32" s="84"/>
      <c r="M32" s="85"/>
      <c r="O32" s="196"/>
    </row>
    <row r="33" spans="1:13" s="82" customFormat="1" ht="12.95" customHeight="1" x14ac:dyDescent="0.2">
      <c r="A33" s="261" t="s">
        <v>49</v>
      </c>
      <c r="B33" s="261"/>
      <c r="C33" s="261"/>
      <c r="D33" s="261"/>
      <c r="E33" s="261"/>
      <c r="F33" s="261"/>
      <c r="G33" s="261"/>
      <c r="H33" s="262"/>
      <c r="I33" s="263">
        <f>SUM(I31:I32)</f>
        <v>-254540923.29999998</v>
      </c>
      <c r="J33" s="264" t="s">
        <v>169</v>
      </c>
      <c r="K33" s="265"/>
      <c r="L33" s="262"/>
      <c r="M33" s="204"/>
    </row>
    <row r="34" spans="1:13" s="82" customFormat="1" ht="12.95" customHeight="1" x14ac:dyDescent="0.2">
      <c r="A34" s="266" t="s">
        <v>50</v>
      </c>
      <c r="B34" s="266"/>
      <c r="C34" s="266"/>
      <c r="D34" s="266"/>
      <c r="E34" s="266"/>
      <c r="F34" s="266"/>
      <c r="G34" s="266"/>
      <c r="H34" s="266"/>
      <c r="I34" s="267" t="s">
        <v>170</v>
      </c>
      <c r="J34" s="268"/>
      <c r="K34" s="269"/>
      <c r="L34" s="266"/>
      <c r="M34" s="203"/>
    </row>
    <row r="35" spans="1:13" s="82" customFormat="1" ht="12.95" customHeight="1" x14ac:dyDescent="0.25">
      <c r="A35" s="270" t="s">
        <v>171</v>
      </c>
      <c r="B35" s="270"/>
      <c r="C35" s="270"/>
      <c r="D35" s="270"/>
      <c r="E35" s="270"/>
      <c r="F35" s="270"/>
      <c r="G35" s="270"/>
      <c r="H35" s="270"/>
      <c r="I35" s="270"/>
      <c r="J35" s="270"/>
      <c r="K35" s="270"/>
      <c r="L35" s="270"/>
      <c r="M35" s="114"/>
    </row>
    <row r="36" spans="1:13" ht="12.95" customHeight="1" x14ac:dyDescent="0.25">
      <c r="A36" s="271" t="s">
        <v>172</v>
      </c>
      <c r="B36" s="271"/>
      <c r="C36" s="271"/>
      <c r="D36" s="271"/>
      <c r="E36" s="271"/>
      <c r="F36" s="271"/>
      <c r="G36" s="271"/>
      <c r="H36" s="271"/>
      <c r="I36" s="271"/>
      <c r="J36" s="271"/>
      <c r="K36" s="271"/>
      <c r="L36" s="271"/>
    </row>
    <row r="40" spans="1:13" s="107" customFormat="1" ht="13.5" customHeight="1" x14ac:dyDescent="0.25">
      <c r="A40" s="114"/>
      <c r="B40" s="114"/>
      <c r="C40" s="114"/>
      <c r="D40" s="114"/>
      <c r="E40" s="114"/>
      <c r="F40" s="114"/>
      <c r="G40" s="272"/>
      <c r="H40" s="272"/>
    </row>
    <row r="41" spans="1:13" s="2" customFormat="1" ht="13.5" customHeight="1" x14ac:dyDescent="0.25">
      <c r="A41" s="103"/>
      <c r="B41" s="103" t="s">
        <v>68</v>
      </c>
      <c r="C41" s="114"/>
      <c r="D41" s="103"/>
      <c r="E41" s="108"/>
      <c r="F41" s="101" t="s">
        <v>69</v>
      </c>
      <c r="G41" s="273"/>
      <c r="H41" s="273"/>
    </row>
    <row r="42" spans="1:13" s="2" customFormat="1" ht="13.5" customHeight="1" x14ac:dyDescent="0.2">
      <c r="A42" s="106"/>
      <c r="B42" s="106" t="s">
        <v>70</v>
      </c>
      <c r="C42" s="107"/>
      <c r="D42" s="106"/>
      <c r="E42" s="112"/>
      <c r="F42" s="106" t="s">
        <v>71</v>
      </c>
      <c r="G42" s="108"/>
      <c r="H42" s="108"/>
    </row>
    <row r="43" spans="1:13" s="2" customFormat="1" ht="13.5" customHeight="1" x14ac:dyDescent="0.25">
      <c r="A43" s="111"/>
      <c r="B43" s="111" t="s">
        <v>72</v>
      </c>
      <c r="D43" s="111"/>
      <c r="E43" s="114"/>
      <c r="F43" s="115" t="s">
        <v>73</v>
      </c>
      <c r="G43" s="112"/>
      <c r="H43" s="112"/>
    </row>
    <row r="44" spans="1:13" x14ac:dyDescent="0.25">
      <c r="A44" s="111"/>
      <c r="B44" s="111" t="s">
        <v>74</v>
      </c>
      <c r="C44" s="2"/>
      <c r="D44" s="111"/>
      <c r="F44" s="111" t="s">
        <v>74</v>
      </c>
    </row>
    <row r="45" spans="1:13" x14ac:dyDescent="0.25">
      <c r="A45" s="2"/>
    </row>
  </sheetData>
  <mergeCells count="15">
    <mergeCell ref="A20:A21"/>
    <mergeCell ref="B20:C20"/>
    <mergeCell ref="D20:D21"/>
    <mergeCell ref="E20:E21"/>
    <mergeCell ref="F20:F21"/>
    <mergeCell ref="A36:L36"/>
    <mergeCell ref="A2:G2"/>
    <mergeCell ref="A3:G3"/>
    <mergeCell ref="A4:G4"/>
    <mergeCell ref="A7:A8"/>
    <mergeCell ref="B7:C7"/>
    <mergeCell ref="D7:D8"/>
    <mergeCell ref="E7:E8"/>
    <mergeCell ref="F7:F8"/>
    <mergeCell ref="G7:G8"/>
  </mergeCells>
  <pageMargins left="0.511811024" right="0.511811024" top="0.36" bottom="0.33" header="0.31496062000000002" footer="0.31496062000000002"/>
  <pageSetup paperSize="9" scale="79" orientation="landscape" r:id="rId1"/>
  <headerFooter alignWithMargins="0"/>
  <colBreaks count="1" manualBreakCount="1">
    <brk id="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Balanço Financeiro </vt:lpstr>
      <vt:lpstr>Balanço Orçamentário MCASP</vt:lpstr>
      <vt:lpstr>Anexos do BO </vt:lpstr>
      <vt:lpstr>'Anexos do BO '!Area_de_impressao</vt:lpstr>
      <vt:lpstr>'Balanço Financeiro '!Area_de_impressao</vt:lpstr>
      <vt:lpstr>'Balanço Orçamentário MCASP'!Area_de_impressao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de Cassia Santos Rodrigues</dc:creator>
  <cp:lastModifiedBy>Denise de Cassia Santos Rodrigues</cp:lastModifiedBy>
  <dcterms:created xsi:type="dcterms:W3CDTF">2021-07-02T14:57:32Z</dcterms:created>
  <dcterms:modified xsi:type="dcterms:W3CDTF">2021-07-02T15:00:07Z</dcterms:modified>
</cp:coreProperties>
</file>