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DENISE\2020\1. Janeiro\Balancetes para Publicação\"/>
    </mc:Choice>
  </mc:AlternateContent>
  <xr:revisionPtr revIDLastSave="0" documentId="8_{E44F16C8-D050-454A-A8EB-92F7D702F400}" xr6:coauthVersionLast="47" xr6:coauthVersionMax="47" xr10:uidLastSave="{00000000-0000-0000-0000-000000000000}"/>
  <bookViews>
    <workbookView xWindow="-120" yWindow="-120" windowWidth="29040" windowHeight="15840" activeTab="2" xr2:uid="{AF134F37-0E36-440A-BD68-20886CCB92EB}"/>
  </bookViews>
  <sheets>
    <sheet name="Balanço Financeiro " sheetId="1" r:id="rId1"/>
    <sheet name="Balanço Orçamentário MCASP" sheetId="2" r:id="rId2"/>
    <sheet name="Anexos do BO " sheetId="3" r:id="rId3"/>
  </sheets>
  <externalReferences>
    <externalReference r:id="rId4"/>
  </externalReferences>
  <definedNames>
    <definedName name="_xlnm.Print_Area" localSheetId="2">'Anexos do BO '!$A$2:$G$43</definedName>
    <definedName name="_xlnm.Print_Area" localSheetId="0">'Balanço Financeiro '!$A$1:$O$54</definedName>
    <definedName name="_xlnm.Print_Area" localSheetId="1">'Balanço Orçamentário MCASP'!$A$2:$G$82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23" i="3"/>
  <c r="G16" i="3"/>
  <c r="G15" i="3"/>
  <c r="G11" i="3"/>
  <c r="G10" i="3"/>
  <c r="F52" i="2"/>
  <c r="E52" i="2"/>
  <c r="D52" i="2"/>
  <c r="C52" i="2"/>
  <c r="G52" i="2" s="1"/>
  <c r="B52" i="2"/>
  <c r="F46" i="2"/>
  <c r="E46" i="2"/>
  <c r="C46" i="2"/>
  <c r="F45" i="2"/>
  <c r="E45" i="2"/>
  <c r="F44" i="2"/>
  <c r="E44" i="2"/>
  <c r="C44" i="2"/>
  <c r="C41" i="2" s="1"/>
  <c r="F41" i="2"/>
  <c r="F51" i="2" s="1"/>
  <c r="F59" i="2" s="1"/>
  <c r="F61" i="2" s="1"/>
  <c r="E41" i="2"/>
  <c r="E51" i="2" s="1"/>
  <c r="E59" i="2" s="1"/>
  <c r="G35" i="2"/>
  <c r="F35" i="2"/>
  <c r="D35" i="2"/>
  <c r="B35" i="2"/>
  <c r="G25" i="2"/>
  <c r="F25" i="2"/>
  <c r="D25" i="2"/>
  <c r="B25" i="2"/>
  <c r="B32" i="2" s="1"/>
  <c r="G22" i="2"/>
  <c r="G21" i="2"/>
  <c r="G20" i="2"/>
  <c r="G19" i="2"/>
  <c r="G18" i="2"/>
  <c r="F17" i="2"/>
  <c r="G17" i="2" s="1"/>
  <c r="D17" i="2"/>
  <c r="B17" i="2"/>
  <c r="F16" i="2"/>
  <c r="B16" i="2"/>
  <c r="D16" i="2" s="1"/>
  <c r="F15" i="2"/>
  <c r="G15" i="2" s="1"/>
  <c r="D15" i="2"/>
  <c r="G14" i="2"/>
  <c r="D14" i="2"/>
  <c r="D13" i="2"/>
  <c r="G13" i="2" s="1"/>
  <c r="G12" i="2"/>
  <c r="D12" i="2"/>
  <c r="B11" i="2"/>
  <c r="D11" i="2" s="1"/>
  <c r="D8" i="2" s="1"/>
  <c r="D24" i="2" s="1"/>
  <c r="D32" i="2" s="1"/>
  <c r="G10" i="2"/>
  <c r="G9" i="2"/>
  <c r="B8" i="2"/>
  <c r="B24" i="2" s="1"/>
  <c r="A1" i="2"/>
  <c r="B46" i="2" s="1"/>
  <c r="B45" i="2" s="1"/>
  <c r="Q33" i="1"/>
  <c r="N31" i="1"/>
  <c r="N30" i="1" s="1"/>
  <c r="G31" i="1"/>
  <c r="G30" i="1"/>
  <c r="N29" i="1"/>
  <c r="G29" i="1"/>
  <c r="N28" i="1"/>
  <c r="G28" i="1"/>
  <c r="N27" i="1"/>
  <c r="G27" i="1"/>
  <c r="G25" i="1" s="1"/>
  <c r="N26" i="1"/>
  <c r="G26" i="1"/>
  <c r="N25" i="1"/>
  <c r="N24" i="1"/>
  <c r="G24" i="1"/>
  <c r="N23" i="1"/>
  <c r="G23" i="1"/>
  <c r="N22" i="1"/>
  <c r="N20" i="1" s="1"/>
  <c r="G22" i="1"/>
  <c r="N21" i="1"/>
  <c r="G21" i="1"/>
  <c r="G20" i="1" s="1"/>
  <c r="N19" i="1"/>
  <c r="G19" i="1"/>
  <c r="N18" i="1"/>
  <c r="G18" i="1"/>
  <c r="N17" i="1"/>
  <c r="G17" i="1"/>
  <c r="N16" i="1"/>
  <c r="G16" i="1"/>
  <c r="N15" i="1"/>
  <c r="G15" i="1"/>
  <c r="N14" i="1"/>
  <c r="G14" i="1"/>
  <c r="N13" i="1"/>
  <c r="N12" i="1" s="1"/>
  <c r="G13" i="1"/>
  <c r="G12" i="1"/>
  <c r="N11" i="1"/>
  <c r="G11" i="1"/>
  <c r="N10" i="1"/>
  <c r="N8" i="1" s="1"/>
  <c r="N7" i="1" s="1"/>
  <c r="G10" i="1"/>
  <c r="N9" i="1"/>
  <c r="G9" i="1"/>
  <c r="G8" i="1" s="1"/>
  <c r="G7" i="1" s="1"/>
  <c r="E60" i="2" l="1"/>
  <c r="E61" i="2"/>
  <c r="N33" i="1"/>
  <c r="I2" i="2"/>
  <c r="G33" i="1"/>
  <c r="G16" i="2"/>
  <c r="C51" i="2"/>
  <c r="D44" i="2"/>
  <c r="D41" i="2" s="1"/>
  <c r="D51" i="2" s="1"/>
  <c r="D59" i="2" s="1"/>
  <c r="D46" i="2"/>
  <c r="D45" i="2" s="1"/>
  <c r="A1" i="3"/>
  <c r="C45" i="2"/>
  <c r="F11" i="2"/>
  <c r="B44" i="2"/>
  <c r="B41" i="2" s="1"/>
  <c r="B51" i="2" s="1"/>
  <c r="B59" i="2" s="1"/>
  <c r="E25" i="3" l="1"/>
  <c r="E22" i="3" s="1"/>
  <c r="C14" i="3"/>
  <c r="C13" i="3" s="1"/>
  <c r="C12" i="3"/>
  <c r="C9" i="3" s="1"/>
  <c r="C17" i="3" s="1"/>
  <c r="D25" i="3"/>
  <c r="D22" i="3" s="1"/>
  <c r="B14" i="3"/>
  <c r="B12" i="3"/>
  <c r="E27" i="3"/>
  <c r="E26" i="3" s="1"/>
  <c r="C25" i="3"/>
  <c r="C22" i="3" s="1"/>
  <c r="C30" i="3" s="1"/>
  <c r="D27" i="3"/>
  <c r="D26" i="3" s="1"/>
  <c r="B25" i="3"/>
  <c r="F14" i="3"/>
  <c r="F13" i="3" s="1"/>
  <c r="F12" i="3"/>
  <c r="F9" i="3" s="1"/>
  <c r="C27" i="3"/>
  <c r="C26" i="3" s="1"/>
  <c r="E14" i="3"/>
  <c r="E12" i="3"/>
  <c r="B27" i="3"/>
  <c r="P33" i="1"/>
  <c r="F8" i="2"/>
  <c r="G11" i="2"/>
  <c r="G51" i="2"/>
  <c r="C59" i="2"/>
  <c r="G44" i="2"/>
  <c r="G41" i="2"/>
  <c r="B33" i="2"/>
  <c r="B34" i="2" s="1"/>
  <c r="G45" i="2"/>
  <c r="G46" i="2"/>
  <c r="B60" i="2"/>
  <c r="B61" i="2" s="1"/>
  <c r="G59" i="2" l="1"/>
  <c r="D33" i="2"/>
  <c r="D34" i="2" s="1"/>
  <c r="C60" i="2"/>
  <c r="F17" i="3"/>
  <c r="G12" i="3"/>
  <c r="B9" i="3"/>
  <c r="B13" i="3"/>
  <c r="G14" i="3"/>
  <c r="F27" i="3"/>
  <c r="B26" i="3"/>
  <c r="F26" i="3" s="1"/>
  <c r="B22" i="3"/>
  <c r="F25" i="3"/>
  <c r="D30" i="3"/>
  <c r="G8" i="2"/>
  <c r="F24" i="2"/>
  <c r="I3" i="2"/>
  <c r="I4" i="2" s="1"/>
  <c r="E9" i="3"/>
  <c r="D12" i="3"/>
  <c r="D9" i="3" s="1"/>
  <c r="E13" i="3"/>
  <c r="D14" i="3"/>
  <c r="D13" i="3" s="1"/>
  <c r="E30" i="3"/>
  <c r="F32" i="2" l="1"/>
  <c r="G24" i="2"/>
  <c r="G13" i="3"/>
  <c r="D17" i="3"/>
  <c r="G9" i="3"/>
  <c r="B17" i="3"/>
  <c r="C61" i="2"/>
  <c r="E17" i="3"/>
  <c r="B30" i="3"/>
  <c r="F22" i="3"/>
  <c r="F30" i="3" s="1"/>
  <c r="I30" i="3" s="1"/>
  <c r="G17" i="3" l="1"/>
  <c r="I17" i="3" s="1"/>
  <c r="I31" i="3" s="1"/>
  <c r="I33" i="3" s="1"/>
  <c r="G32" i="2"/>
  <c r="D60" i="2"/>
  <c r="F33" i="2"/>
  <c r="G33" i="2" s="1"/>
  <c r="D61" i="2" l="1"/>
  <c r="G61" i="2" s="1"/>
  <c r="I65" i="2" s="1"/>
  <c r="G60" i="2"/>
  <c r="F34" i="2"/>
  <c r="G34" i="2" s="1"/>
  <c r="I64" i="2" s="1"/>
  <c r="I66" i="2" s="1"/>
</calcChain>
</file>

<file path=xl/sharedStrings.xml><?xml version="1.0" encoding="utf-8"?>
<sst xmlns="http://schemas.openxmlformats.org/spreadsheetml/2006/main" count="237" uniqueCount="166">
  <si>
    <t>FUMCAD - Fundo Municipal da Criança e do Adolescente</t>
  </si>
  <si>
    <t xml:space="preserve">Balancete Financeiro </t>
  </si>
  <si>
    <t>Janeiro 2020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</si>
  <si>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</si>
  <si>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</si>
  <si>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</si>
  <si>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</si>
  <si>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</si>
  <si>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</si>
  <si>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</si>
  <si>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</si>
  <si>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</si>
  <si>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</si>
  <si>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</si>
  <si>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</si>
  <si>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</si>
  <si>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</si>
  <si>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</si>
  <si>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</si>
  <si>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</si>
  <si>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</si>
  <si>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</si>
  <si>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</si>
  <si>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</si>
  <si>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</si>
  <si>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</si>
  <si>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</si>
  <si>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</si>
  <si>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</si>
  <si>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</si>
  <si>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</si>
  <si>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</si>
  <si>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</si>
  <si>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</si>
  <si>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</si>
  <si>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</si>
  <si>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</si>
  <si>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</si>
  <si>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</si>
  <si>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</si>
  <si>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</si>
  <si>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</si>
  <si>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>atual</t>
  </si>
  <si>
    <t>anterior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</si>
  <si>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</si>
  <si>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</si>
  <si>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</si>
  <si>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</si>
  <si>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</si>
  <si>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6074.2019/0000/159-4</t>
  </si>
  <si>
    <r>
      <t xml:space="preserve">3. </t>
    </r>
    <r>
      <rPr>
        <b/>
        <sz val="9"/>
        <rFont val="Arial"/>
        <family val="2"/>
      </rPr>
      <t>Transferências Financeiras Concedidas:</t>
    </r>
  </si>
  <si>
    <t>3.1.Rendimentos financeiros, do recurso transferido para o Projeto Mais Escola , repassados para SME (mais o repasse complementar do projeto mais escola Decrerto nº 58.163/2018.)</t>
  </si>
  <si>
    <t>3.2 Desvinculação das Receitas Municipais, ref.a Portaria SF nº 217 de 06/08/2019, DOC 07/08/2019, - Vr. R$ 72880000 e orientação SF/DECON processo SEI 6017.2017.0004407-8.</t>
  </si>
  <si>
    <r>
      <t xml:space="preserve">4. </t>
    </r>
    <r>
      <rPr>
        <b/>
        <sz val="9"/>
        <rFont val="Arial"/>
        <family val="2"/>
      </rPr>
      <t>Caixa e Equivalente de Caixa</t>
    </r>
    <r>
      <rPr>
        <sz val="9"/>
        <rFont val="Arial"/>
        <family val="2"/>
      </rPr>
      <t xml:space="preserve"> - conciliados de acordo com as contas movimentos e de arredações de boletos do fundo.</t>
    </r>
  </si>
  <si>
    <r>
      <t xml:space="preserve">5. </t>
    </r>
    <r>
      <rPr>
        <b/>
        <sz val="9"/>
        <rFont val="Arial"/>
        <family val="2"/>
      </rPr>
      <t>Outros Recebimentos Extraorçamentários</t>
    </r>
  </si>
  <si>
    <t>5.1.Trata-se da conciliação dos boletos de arrecadações dos créditos e recursos extraorçamentários a apropriar.</t>
  </si>
  <si>
    <r>
      <t xml:space="preserve">6. </t>
    </r>
    <r>
      <rPr>
        <b/>
        <sz val="9"/>
        <rFont val="Arial"/>
        <family val="2"/>
      </rPr>
      <t>Outros Pagamentos Extraorçamentários</t>
    </r>
  </si>
  <si>
    <t>6.1.Trata-se de recursos extraorçamentários reclassificados como orçamentários, reclassificação entre contas de receitas e transferências de recursos para pagamentos a serem realizados na competência seguinte.</t>
  </si>
  <si>
    <r>
      <t>7.0</t>
    </r>
    <r>
      <rPr>
        <b/>
        <sz val="9"/>
        <rFont val="Arial"/>
        <family val="2"/>
      </rPr>
      <t xml:space="preserve"> Receita Ordinária</t>
    </r>
    <r>
      <rPr>
        <sz val="9"/>
        <rFont val="Arial"/>
        <family val="2"/>
      </rPr>
      <t xml:space="preserve"> </t>
    </r>
  </si>
  <si>
    <r>
      <t>8.0.</t>
    </r>
    <r>
      <rPr>
        <b/>
        <sz val="9"/>
        <rFont val="Arial"/>
        <family val="2"/>
      </rPr>
      <t>Lei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Orçamentaria - LOA -</t>
    </r>
    <r>
      <rPr>
        <sz val="9"/>
        <rFont val="Arial"/>
        <family val="2"/>
      </rPr>
      <t xml:space="preserve"> n</t>
    </r>
    <r>
      <rPr>
        <b/>
        <sz val="9"/>
        <rFont val="Arial"/>
        <family val="2"/>
      </rPr>
      <t>º</t>
    </r>
    <r>
      <rPr>
        <sz val="9"/>
        <rFont val="Arial"/>
        <family val="2"/>
      </rPr>
      <t xml:space="preserve"> 17.021 de 27 de Dezembro de 2018, que estima a receita e fixa a despesa para o exercício de 2019.</t>
    </r>
  </si>
  <si>
    <t>Denise de Cássia Santos Rodrigues</t>
  </si>
  <si>
    <t>Ana Claudia Carletto</t>
  </si>
  <si>
    <t>Assessor Técnico I</t>
  </si>
  <si>
    <t xml:space="preserve">Sec.Munic.de Direitos Humanos e Cidadania </t>
  </si>
  <si>
    <t>CPF: 140.594.658-01</t>
  </si>
  <si>
    <t>CPF: 212.634.168-29</t>
  </si>
  <si>
    <t>SMDHC</t>
  </si>
  <si>
    <t>Receitas</t>
  </si>
  <si>
    <t>B Financ</t>
  </si>
  <si>
    <t>BALANÇO ORÇAMENTÁRIO</t>
  </si>
  <si>
    <t>B Orçam</t>
  </si>
  <si>
    <t>ORÇAMENTOS FISCAL E DA SEGURIDADE SOCIAL</t>
  </si>
  <si>
    <t>dif</t>
  </si>
  <si>
    <t>COMPETÊNCIA: JANEIRO  2020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</si>
  <si>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</si>
  <si>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</si>
  <si>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</si>
  <si>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</si>
  <si>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</si>
  <si>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</si>
  <si>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</si>
  <si>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</si>
  <si>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</si>
  <si>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</si>
  <si>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</si>
  <si>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</si>
  <si>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</si>
  <si>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</si>
  <si>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</si>
  <si>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</si>
  <si>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</si>
  <si>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</si>
  <si>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</si>
  <si>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</si>
  <si>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</si>
  <si>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</si>
  <si>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</si>
  <si>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</si>
  <si>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</si>
  <si>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</si>
  <si>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</si>
  <si>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</si>
  <si>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</si>
  <si>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</si>
  <si>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</si>
  <si>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</si>
  <si>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</si>
  <si>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</si>
  <si>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</si>
  <si>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</si>
  <si>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</si>
  <si>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</si>
  <si>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</si>
  <si>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</si>
  <si>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</si>
  <si>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</si>
  <si>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</si>
  <si>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</si>
  <si>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</si>
  <si>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</si>
  <si>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</si>
  <si>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</si>
  <si>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</si>
  <si>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</si>
  <si>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</si>
  <si>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</si>
  <si>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</si>
  <si>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</si>
  <si>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</si>
  <si>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</si>
  <si>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</si>
  <si>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</si>
  <si>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</si>
  <si>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</si>
  <si>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</si>
  <si>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Equilibrio Orçamentario</t>
  </si>
  <si>
    <t>Receita</t>
  </si>
  <si>
    <t>Despesa</t>
  </si>
  <si>
    <t>3. Receita Patrimonial - Rendimentos Financeiros.</t>
  </si>
  <si>
    <t>4. Outras Receitas Correntes - Imposto de Renda; Devoluções; Apropriação sem identificação do doador;Multas de Sentenças Judiciais.</t>
  </si>
  <si>
    <r>
      <t>5. Lei Orçamentaria - LOA</t>
    </r>
    <r>
      <rPr>
        <b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n</t>
    </r>
    <r>
      <rPr>
        <b/>
        <sz val="10"/>
        <rFont val="Arial"/>
        <family val="2"/>
      </rPr>
      <t>º</t>
    </r>
    <r>
      <rPr>
        <sz val="10"/>
        <rFont val="Arial"/>
        <family val="2"/>
      </rPr>
      <t xml:space="preserve"> 17.021 de 27 de Dezembro de 2018, que estima a receita e fixa a despesa para o exercício de 2019.</t>
    </r>
  </si>
  <si>
    <t>EXECUÇÃO DE RESTOS A PAGAR PROCESSADO E NÃO PROCESSADOS</t>
  </si>
  <si>
    <t>COMPETÊNCIA: Janeiro 2020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</si>
  <si>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</si>
  <si>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</si>
  <si>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</si>
  <si>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</si>
  <si>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</si>
  <si>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</si>
  <si>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</si>
  <si>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</si>
  <si>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</si>
  <si>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</si>
  <si>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</si>
  <si>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 xml:space="preserve"> RP N Processado</t>
  </si>
  <si>
    <t>RESTOS A PAGAR  PROCESSADO</t>
  </si>
  <si>
    <t>Pagos (c)</t>
  </si>
  <si>
    <t>Cancelados (d)</t>
  </si>
  <si>
    <t>Saldo (e)= (a+b-c-d)</t>
  </si>
  <si>
    <t>RP  Processado</t>
  </si>
  <si>
    <t>total restos planilha</t>
  </si>
  <si>
    <t>total relatorio2018 restos SOF</t>
  </si>
  <si>
    <r>
      <t xml:space="preserve">sd exerc ant </t>
    </r>
    <r>
      <rPr>
        <sz val="10"/>
        <color indexed="10"/>
        <rFont val="Arial"/>
        <family val="2"/>
      </rPr>
      <t xml:space="preserve">2016 </t>
    </r>
  </si>
  <si>
    <t>ok</t>
  </si>
  <si>
    <t>3. Modelo do MCASP - 8ª edição, a partir do exercício de 2019.</t>
  </si>
  <si>
    <r>
      <t>4. Lei Orçamentaria - LOA</t>
    </r>
    <r>
      <rPr>
        <b/>
        <sz val="10"/>
        <color indexed="8"/>
        <rFont val="Arial"/>
        <family val="2"/>
      </rPr>
      <t xml:space="preserve"> -</t>
    </r>
    <r>
      <rPr>
        <sz val="10"/>
        <color indexed="8"/>
        <rFont val="Arial"/>
        <family val="2"/>
      </rPr>
      <t xml:space="preserve"> n</t>
    </r>
    <r>
      <rPr>
        <b/>
        <sz val="10"/>
        <color indexed="8"/>
        <rFont val="Arial"/>
        <family val="2"/>
      </rPr>
      <t>º</t>
    </r>
    <r>
      <rPr>
        <sz val="10"/>
        <color indexed="8"/>
        <rFont val="Arial"/>
        <family val="2"/>
      </rPr>
      <t xml:space="preserve"> 17.021 de 27 de Dezembro de 2018, que estima a receita e fixa a despesa para o exercício de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</si>
</sst>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#,##0.00_ ;\-#,##0.00\ "/>
    <numFmt numFmtId="167" formatCode="_(* #,##0.00_);_(* \(#,##0.00\);_(* \-??_);_(@_)"/>
  </numFmts>
  <fonts count="34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.15"/>
      <color indexed="8"/>
      <name val="Arial"/>
      <family val="2"/>
    </font>
    <font>
      <sz val="8.15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u val="singleAccounting"/>
      <sz val="12"/>
      <color indexed="8"/>
      <name val="Calibri"/>
      <family val="2"/>
    </font>
    <font>
      <b/>
      <u/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indexed="10"/>
      <name val="Arial"/>
      <family val="2"/>
    </font>
    <font>
      <b/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</cellStyleXfs>
  <cellXfs count="265">
    <xf numFmtId="0" fontId="0" fillId="0" borderId="0" xfId="0">
      <alignment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readingOrder="1"/>
    </xf>
    <xf numFmtId="43" fontId="3" fillId="0" borderId="0" xfId="1" applyFont="1" applyFill="1" applyAlignment="1">
      <alignment vertical="center"/>
    </xf>
    <xf numFmtId="49" fontId="4" fillId="0" borderId="0" xfId="0" applyNumberFormat="1" applyFont="1" applyAlignment="1">
      <alignment horizontal="center" vertical="center" readingOrder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3" fillId="2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7" fillId="3" borderId="3" xfId="0" applyFont="1" applyFill="1" applyBorder="1" applyAlignment="1">
      <alignment horizontal="center" vertical="center" readingOrder="1"/>
    </xf>
    <xf numFmtId="0" fontId="8" fillId="3" borderId="4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center" vertical="center" readingOrder="1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64" fontId="7" fillId="0" borderId="6" xfId="0" applyNumberFormat="1" applyFont="1" applyBorder="1" applyAlignment="1">
      <alignment vertical="center"/>
    </xf>
    <xf numFmtId="164" fontId="7" fillId="4" borderId="6" xfId="0" applyNumberFormat="1" applyFont="1" applyFill="1" applyBorder="1" applyAlignment="1">
      <alignment vertical="center"/>
    </xf>
    <xf numFmtId="2" fontId="3" fillId="0" borderId="0" xfId="0" applyNumberFormat="1" applyFont="1" applyAlignment="1">
      <alignment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164" fontId="6" fillId="0" borderId="5" xfId="0" applyNumberFormat="1" applyFont="1" applyBorder="1" applyAlignment="1">
      <alignment vertical="center"/>
    </xf>
    <xf numFmtId="165" fontId="3" fillId="0" borderId="0" xfId="0" applyNumberFormat="1" applyFont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vertical="center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6" fillId="0" borderId="14" xfId="0" applyFont="1" applyBorder="1" applyAlignment="1">
      <alignment horizontal="left" vertical="center" indent="1"/>
    </xf>
    <xf numFmtId="164" fontId="6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7" fillId="4" borderId="15" xfId="0" applyNumberFormat="1" applyFont="1" applyFill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164" fontId="7" fillId="4" borderId="4" xfId="0" applyNumberFormat="1" applyFont="1" applyFill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164" fontId="6" fillId="0" borderId="6" xfId="0" applyNumberFormat="1" applyFont="1" applyBorder="1" applyAlignment="1">
      <alignment vertical="center"/>
    </xf>
    <xf numFmtId="164" fontId="6" fillId="4" borderId="6" xfId="0" applyNumberFormat="1" applyFont="1" applyFill="1" applyBorder="1" applyAlignment="1">
      <alignment vertical="center"/>
    </xf>
    <xf numFmtId="164" fontId="6" fillId="4" borderId="5" xfId="0" applyNumberFormat="1" applyFont="1" applyFill="1" applyBorder="1" applyAlignment="1">
      <alignment vertical="center"/>
    </xf>
    <xf numFmtId="164" fontId="6" fillId="4" borderId="15" xfId="0" applyNumberFormat="1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164" fontId="6" fillId="0" borderId="5" xfId="0" applyNumberFormat="1" applyFont="1" applyBorder="1" applyAlignment="1"/>
    <xf numFmtId="164" fontId="6" fillId="4" borderId="5" xfId="0" applyNumberFormat="1" applyFont="1" applyFill="1" applyBorder="1" applyAlignment="1"/>
    <xf numFmtId="164" fontId="6" fillId="0" borderId="5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7" fillId="0" borderId="4" xfId="0" applyNumberFormat="1" applyFont="1" applyBorder="1" applyAlignment="1">
      <alignment horizontal="right" vertical="center"/>
    </xf>
    <xf numFmtId="165" fontId="10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164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readingOrder="1"/>
    </xf>
    <xf numFmtId="0" fontId="12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vertical="center" wrapText="1" readingOrder="1"/>
    </xf>
    <xf numFmtId="0" fontId="14" fillId="0" borderId="0" xfId="0" applyFont="1" applyAlignment="1">
      <alignment vertical="center" wrapText="1" readingOrder="1"/>
    </xf>
    <xf numFmtId="43" fontId="15" fillId="0" borderId="0" xfId="1" applyFont="1" applyFill="1" applyAlignment="1">
      <alignment vertical="center"/>
    </xf>
    <xf numFmtId="0" fontId="14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vertical="center" wrapText="1" readingOrder="1"/>
    </xf>
    <xf numFmtId="43" fontId="15" fillId="2" borderId="0" xfId="1" applyFont="1" applyFill="1" applyAlignment="1">
      <alignment vertical="center"/>
    </xf>
    <xf numFmtId="0" fontId="15" fillId="2" borderId="0" xfId="0" applyFont="1" applyFill="1" applyAlignment="1">
      <alignment vertical="center"/>
    </xf>
    <xf numFmtId="43" fontId="15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 readingOrder="1"/>
    </xf>
    <xf numFmtId="0" fontId="21" fillId="0" borderId="0" xfId="0" applyFont="1" applyAlignment="1">
      <alignment horizontal="center" vertical="center" readingOrder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readingOrder="1"/>
    </xf>
    <xf numFmtId="9" fontId="21" fillId="0" borderId="0" xfId="2" applyFont="1" applyFill="1" applyAlignment="1">
      <alignment horizontal="center" vertical="center"/>
    </xf>
    <xf numFmtId="9" fontId="14" fillId="0" borderId="0" xfId="2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 readingOrder="1"/>
    </xf>
    <xf numFmtId="0" fontId="24" fillId="0" borderId="0" xfId="0" applyFont="1" applyAlignment="1">
      <alignment horizontal="center" vertical="center" wrapText="1" readingOrder="1"/>
    </xf>
    <xf numFmtId="14" fontId="25" fillId="5" borderId="0" xfId="3" applyNumberFormat="1" applyFill="1"/>
    <xf numFmtId="0" fontId="25" fillId="0" borderId="0" xfId="3"/>
    <xf numFmtId="49" fontId="25" fillId="0" borderId="0" xfId="3" applyNumberFormat="1"/>
    <xf numFmtId="43" fontId="25" fillId="0" borderId="0" xfId="1" applyFont="1"/>
    <xf numFmtId="0" fontId="26" fillId="0" borderId="0" xfId="3" applyFont="1" applyAlignment="1">
      <alignment horizontal="center"/>
    </xf>
    <xf numFmtId="166" fontId="25" fillId="0" borderId="0" xfId="1" applyNumberFormat="1" applyFont="1"/>
    <xf numFmtId="0" fontId="27" fillId="0" borderId="0" xfId="3" applyFont="1" applyAlignment="1">
      <alignment horizontal="center"/>
    </xf>
    <xf numFmtId="0" fontId="27" fillId="6" borderId="4" xfId="3" applyFont="1" applyFill="1" applyBorder="1"/>
    <xf numFmtId="0" fontId="27" fillId="6" borderId="4" xfId="3" applyFont="1" applyFill="1" applyBorder="1" applyAlignment="1">
      <alignment horizontal="center"/>
    </xf>
    <xf numFmtId="0" fontId="27" fillId="6" borderId="4" xfId="3" applyFont="1" applyFill="1" applyBorder="1" applyAlignment="1">
      <alignment horizontal="center"/>
    </xf>
    <xf numFmtId="0" fontId="26" fillId="6" borderId="15" xfId="3" applyFont="1" applyFill="1" applyBorder="1"/>
    <xf numFmtId="167" fontId="26" fillId="6" borderId="15" xfId="1" applyNumberFormat="1" applyFont="1" applyFill="1" applyBorder="1" applyAlignment="1">
      <alignment horizontal="center"/>
    </xf>
    <xf numFmtId="167" fontId="26" fillId="6" borderId="15" xfId="1" applyNumberFormat="1" applyFont="1" applyFill="1" applyBorder="1"/>
    <xf numFmtId="0" fontId="28" fillId="0" borderId="5" xfId="3" applyFont="1" applyBorder="1"/>
    <xf numFmtId="167" fontId="28" fillId="0" borderId="10" xfId="1" applyNumberFormat="1" applyFont="1" applyBorder="1" applyAlignment="1">
      <alignment horizontal="center"/>
    </xf>
    <xf numFmtId="167" fontId="28" fillId="0" borderId="11" xfId="1" applyNumberFormat="1" applyFont="1" applyBorder="1" applyAlignment="1">
      <alignment horizontal="center"/>
    </xf>
    <xf numFmtId="167" fontId="28" fillId="0" borderId="5" xfId="1" applyNumberFormat="1" applyFont="1" applyBorder="1"/>
    <xf numFmtId="167" fontId="28" fillId="0" borderId="10" xfId="1" applyNumberFormat="1" applyFont="1" applyFill="1" applyBorder="1" applyAlignment="1">
      <alignment horizontal="center"/>
    </xf>
    <xf numFmtId="167" fontId="28" fillId="0" borderId="11" xfId="1" applyNumberFormat="1" applyFont="1" applyFill="1" applyBorder="1" applyAlignment="1">
      <alignment horizontal="center"/>
    </xf>
    <xf numFmtId="167" fontId="28" fillId="0" borderId="5" xfId="1" applyNumberFormat="1" applyFont="1" applyFill="1" applyBorder="1"/>
    <xf numFmtId="0" fontId="26" fillId="6" borderId="4" xfId="3" applyFont="1" applyFill="1" applyBorder="1"/>
    <xf numFmtId="167" fontId="27" fillId="6" borderId="4" xfId="1" applyNumberFormat="1" applyFont="1" applyFill="1" applyBorder="1" applyAlignment="1">
      <alignment horizontal="center"/>
    </xf>
    <xf numFmtId="167" fontId="27" fillId="6" borderId="4" xfId="1" applyNumberFormat="1" applyFont="1" applyFill="1" applyBorder="1"/>
    <xf numFmtId="167" fontId="25" fillId="0" borderId="10" xfId="1" applyNumberFormat="1" applyFont="1" applyBorder="1" applyAlignment="1">
      <alignment horizontal="center"/>
    </xf>
    <xf numFmtId="167" fontId="25" fillId="0" borderId="11" xfId="1" applyNumberFormat="1" applyFont="1" applyBorder="1" applyAlignment="1">
      <alignment horizontal="center"/>
    </xf>
    <xf numFmtId="167" fontId="25" fillId="0" borderId="5" xfId="3" applyNumberFormat="1" applyBorder="1"/>
    <xf numFmtId="167" fontId="25" fillId="0" borderId="5" xfId="1" applyNumberFormat="1" applyFont="1" applyBorder="1"/>
    <xf numFmtId="0" fontId="26" fillId="6" borderId="6" xfId="3" applyFont="1" applyFill="1" applyBorder="1"/>
    <xf numFmtId="167" fontId="25" fillId="6" borderId="1" xfId="3" applyNumberFormat="1" applyFill="1" applyBorder="1" applyAlignment="1">
      <alignment horizontal="center"/>
    </xf>
    <xf numFmtId="167" fontId="25" fillId="6" borderId="3" xfId="3" applyNumberFormat="1" applyFill="1" applyBorder="1" applyAlignment="1">
      <alignment horizontal="center"/>
    </xf>
    <xf numFmtId="167" fontId="25" fillId="6" borderId="6" xfId="3" applyNumberFormat="1" applyFill="1" applyBorder="1"/>
    <xf numFmtId="167" fontId="26" fillId="6" borderId="4" xfId="3" applyNumberFormat="1" applyFont="1" applyFill="1" applyBorder="1" applyAlignment="1">
      <alignment horizontal="center"/>
    </xf>
    <xf numFmtId="167" fontId="26" fillId="6" borderId="4" xfId="3" applyNumberFormat="1" applyFont="1" applyFill="1" applyBorder="1"/>
    <xf numFmtId="0" fontId="27" fillId="0" borderId="0" xfId="3" applyFont="1"/>
    <xf numFmtId="43" fontId="27" fillId="0" borderId="0" xfId="1" applyFont="1"/>
    <xf numFmtId="167" fontId="25" fillId="6" borderId="15" xfId="1" applyNumberFormat="1" applyFont="1" applyFill="1" applyBorder="1" applyAlignment="1">
      <alignment horizontal="center"/>
    </xf>
    <xf numFmtId="167" fontId="25" fillId="6" borderId="15" xfId="1" applyNumberFormat="1" applyFont="1" applyFill="1" applyBorder="1"/>
    <xf numFmtId="167" fontId="25" fillId="0" borderId="10" xfId="3" applyNumberFormat="1" applyBorder="1" applyAlignment="1">
      <alignment horizontal="center"/>
    </xf>
    <xf numFmtId="167" fontId="25" fillId="0" borderId="11" xfId="3" applyNumberFormat="1" applyBorder="1" applyAlignment="1">
      <alignment horizontal="center"/>
    </xf>
    <xf numFmtId="167" fontId="26" fillId="6" borderId="6" xfId="3" applyNumberFormat="1" applyFont="1" applyFill="1" applyBorder="1" applyAlignment="1">
      <alignment horizontal="center"/>
    </xf>
    <xf numFmtId="167" fontId="26" fillId="6" borderId="6" xfId="3" applyNumberFormat="1" applyFont="1" applyFill="1" applyBorder="1"/>
    <xf numFmtId="0" fontId="25" fillId="2" borderId="0" xfId="3" applyFill="1"/>
    <xf numFmtId="0" fontId="26" fillId="6" borderId="5" xfId="3" applyFont="1" applyFill="1" applyBorder="1" applyAlignment="1">
      <alignment horizontal="left" wrapText="1"/>
    </xf>
    <xf numFmtId="167" fontId="26" fillId="6" borderId="15" xfId="3" applyNumberFormat="1" applyFont="1" applyFill="1" applyBorder="1" applyAlignment="1">
      <alignment horizontal="center" wrapText="1"/>
    </xf>
    <xf numFmtId="0" fontId="26" fillId="6" borderId="15" xfId="3" applyFont="1" applyFill="1" applyBorder="1" applyAlignment="1">
      <alignment horizontal="center" wrapText="1"/>
    </xf>
    <xf numFmtId="43" fontId="28" fillId="6" borderId="15" xfId="1" applyFont="1" applyFill="1" applyBorder="1"/>
    <xf numFmtId="0" fontId="27" fillId="0" borderId="5" xfId="3" applyFont="1" applyBorder="1"/>
    <xf numFmtId="43" fontId="25" fillId="0" borderId="7" xfId="3" applyNumberFormat="1" applyBorder="1" applyAlignment="1">
      <alignment horizontal="center"/>
    </xf>
    <xf numFmtId="43" fontId="25" fillId="0" borderId="9" xfId="3" applyNumberFormat="1" applyBorder="1" applyAlignment="1">
      <alignment horizontal="center"/>
    </xf>
    <xf numFmtId="167" fontId="25" fillId="0" borderId="6" xfId="3" applyNumberFormat="1" applyBorder="1" applyAlignment="1">
      <alignment horizontal="center"/>
    </xf>
    <xf numFmtId="0" fontId="25" fillId="0" borderId="6" xfId="3" applyBorder="1"/>
    <xf numFmtId="0" fontId="26" fillId="0" borderId="10" xfId="3" applyFont="1" applyBorder="1"/>
    <xf numFmtId="167" fontId="25" fillId="0" borderId="0" xfId="3" applyNumberFormat="1" applyAlignment="1">
      <alignment horizontal="center"/>
    </xf>
    <xf numFmtId="0" fontId="25" fillId="0" borderId="10" xfId="3" applyBorder="1"/>
    <xf numFmtId="0" fontId="25" fillId="0" borderId="5" xfId="3" applyBorder="1"/>
    <xf numFmtId="0" fontId="26" fillId="0" borderId="15" xfId="3" applyFont="1" applyBorder="1"/>
    <xf numFmtId="0" fontId="25" fillId="0" borderId="12" xfId="3" applyBorder="1"/>
    <xf numFmtId="0" fontId="25" fillId="0" borderId="13" xfId="3" applyBorder="1"/>
    <xf numFmtId="0" fontId="25" fillId="0" borderId="15" xfId="3" applyBorder="1"/>
    <xf numFmtId="0" fontId="26" fillId="6" borderId="4" xfId="3" applyFont="1" applyFill="1" applyBorder="1" applyAlignment="1">
      <alignment horizontal="center" vertical="center" wrapText="1"/>
    </xf>
    <xf numFmtId="0" fontId="27" fillId="6" borderId="4" xfId="3" applyFont="1" applyFill="1" applyBorder="1" applyAlignment="1">
      <alignment horizontal="center" vertical="center" wrapText="1"/>
    </xf>
    <xf numFmtId="0" fontId="25" fillId="0" borderId="0" xfId="3" applyAlignment="1">
      <alignment horizontal="center" vertical="center" wrapText="1"/>
    </xf>
    <xf numFmtId="43" fontId="25" fillId="0" borderId="0" xfId="1" applyFont="1" applyAlignment="1">
      <alignment horizontal="center" vertical="center" wrapText="1"/>
    </xf>
    <xf numFmtId="43" fontId="26" fillId="6" borderId="15" xfId="1" applyFont="1" applyFill="1" applyBorder="1"/>
    <xf numFmtId="43" fontId="28" fillId="0" borderId="5" xfId="1" applyFont="1" applyFill="1" applyBorder="1"/>
    <xf numFmtId="43" fontId="28" fillId="0" borderId="5" xfId="3" applyNumberFormat="1" applyFont="1" applyBorder="1"/>
    <xf numFmtId="43" fontId="26" fillId="6" borderId="4" xfId="1" applyFont="1" applyFill="1" applyBorder="1"/>
    <xf numFmtId="43" fontId="26" fillId="6" borderId="4" xfId="3" applyNumberFormat="1" applyFont="1" applyFill="1" applyBorder="1"/>
    <xf numFmtId="0" fontId="26" fillId="0" borderId="5" xfId="3" applyFont="1" applyBorder="1"/>
    <xf numFmtId="0" fontId="26" fillId="6" borderId="1" xfId="3" applyFont="1" applyFill="1" applyBorder="1"/>
    <xf numFmtId="0" fontId="9" fillId="0" borderId="0" xfId="0" applyFont="1" applyAlignment="1">
      <alignment vertical="center" readingOrder="1"/>
    </xf>
    <xf numFmtId="43" fontId="7" fillId="0" borderId="0" xfId="1" applyFont="1" applyFill="1" applyAlignment="1">
      <alignment vertical="center" readingOrder="1"/>
    </xf>
    <xf numFmtId="43" fontId="1" fillId="0" borderId="0" xfId="1" applyFont="1" applyFill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43" fontId="12" fillId="0" borderId="0" xfId="1" applyFont="1" applyFill="1" applyAlignment="1">
      <alignment horizontal="right" vertical="center"/>
    </xf>
    <xf numFmtId="43" fontId="12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vertical="center" readingOrder="1"/>
    </xf>
    <xf numFmtId="43" fontId="4" fillId="0" borderId="0" xfId="0" applyNumberFormat="1" applyFont="1" applyAlignment="1">
      <alignment vertical="center" readingOrder="1"/>
    </xf>
    <xf numFmtId="0" fontId="14" fillId="0" borderId="0" xfId="0" applyFont="1" applyAlignment="1">
      <alignment vertical="center" readingOrder="1"/>
    </xf>
    <xf numFmtId="0" fontId="4" fillId="2" borderId="0" xfId="0" applyFont="1" applyFill="1" applyAlignment="1">
      <alignment horizontal="left" vertical="center" readingOrder="1"/>
    </xf>
    <xf numFmtId="43" fontId="4" fillId="2" borderId="0" xfId="0" applyNumberFormat="1" applyFont="1" applyFill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20" fillId="0" borderId="0" xfId="0" applyFont="1" applyAlignment="1">
      <alignment vertical="center" readingOrder="1"/>
    </xf>
    <xf numFmtId="0" fontId="4" fillId="0" borderId="0" xfId="0" applyFont="1" applyAlignment="1">
      <alignment horizontal="left" vertical="center" readingOrder="1"/>
    </xf>
    <xf numFmtId="0" fontId="4" fillId="2" borderId="0" xfId="0" applyFont="1" applyFill="1" applyAlignment="1">
      <alignment horizontal="left" vertical="center" wrapText="1" readingOrder="1"/>
    </xf>
    <xf numFmtId="0" fontId="3" fillId="0" borderId="0" xfId="3" applyFont="1"/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43" fontId="10" fillId="0" borderId="0" xfId="1" applyFont="1" applyFill="1" applyAlignment="1">
      <alignment vertical="center"/>
    </xf>
    <xf numFmtId="0" fontId="27" fillId="0" borderId="0" xfId="3" applyFont="1" applyAlignment="1">
      <alignment horizontal="center"/>
    </xf>
    <xf numFmtId="43" fontId="27" fillId="0" borderId="0" xfId="3" applyNumberFormat="1" applyFont="1" applyAlignment="1">
      <alignment horizontal="center"/>
    </xf>
    <xf numFmtId="0" fontId="26" fillId="6" borderId="16" xfId="3" applyFont="1" applyFill="1" applyBorder="1" applyAlignment="1">
      <alignment horizontal="center" vertical="center"/>
    </xf>
    <xf numFmtId="0" fontId="27" fillId="6" borderId="17" xfId="3" applyFont="1" applyFill="1" applyBorder="1" applyAlignment="1">
      <alignment horizontal="center"/>
    </xf>
    <xf numFmtId="0" fontId="27" fillId="6" borderId="18" xfId="3" applyFont="1" applyFill="1" applyBorder="1" applyAlignment="1">
      <alignment horizontal="center"/>
    </xf>
    <xf numFmtId="0" fontId="27" fillId="6" borderId="16" xfId="3" applyFont="1" applyFill="1" applyBorder="1" applyAlignment="1">
      <alignment horizontal="center" vertical="center" wrapText="1"/>
    </xf>
    <xf numFmtId="0" fontId="27" fillId="6" borderId="19" xfId="3" applyFont="1" applyFill="1" applyBorder="1" applyAlignment="1">
      <alignment horizontal="center" vertical="center" wrapText="1"/>
    </xf>
    <xf numFmtId="0" fontId="27" fillId="6" borderId="20" xfId="3" applyFont="1" applyFill="1" applyBorder="1" applyAlignment="1">
      <alignment horizontal="center" vertical="center" wrapText="1"/>
    </xf>
    <xf numFmtId="0" fontId="26" fillId="6" borderId="21" xfId="3" applyFont="1" applyFill="1" applyBorder="1" applyAlignment="1">
      <alignment horizontal="center" vertical="center"/>
    </xf>
    <xf numFmtId="0" fontId="27" fillId="6" borderId="22" xfId="3" applyFont="1" applyFill="1" applyBorder="1" applyAlignment="1">
      <alignment horizontal="center" vertical="center" wrapText="1"/>
    </xf>
    <xf numFmtId="0" fontId="27" fillId="6" borderId="23" xfId="3" applyFont="1" applyFill="1" applyBorder="1" applyAlignment="1">
      <alignment horizontal="center" wrapText="1"/>
    </xf>
    <xf numFmtId="0" fontId="27" fillId="6" borderId="21" xfId="3" applyFont="1" applyFill="1" applyBorder="1" applyAlignment="1">
      <alignment horizontal="center" vertical="center" wrapText="1"/>
    </xf>
    <xf numFmtId="0" fontId="27" fillId="6" borderId="24" xfId="3" applyFont="1" applyFill="1" applyBorder="1" applyAlignment="1">
      <alignment horizontal="center" vertical="center" wrapText="1"/>
    </xf>
    <xf numFmtId="0" fontId="27" fillId="6" borderId="25" xfId="3" applyFont="1" applyFill="1" applyBorder="1" applyAlignment="1">
      <alignment horizontal="center" vertical="center" wrapText="1"/>
    </xf>
    <xf numFmtId="0" fontId="27" fillId="6" borderId="23" xfId="3" applyFont="1" applyFill="1" applyBorder="1"/>
    <xf numFmtId="167" fontId="26" fillId="6" borderId="22" xfId="1" applyNumberFormat="1" applyFont="1" applyFill="1" applyBorder="1"/>
    <xf numFmtId="167" fontId="26" fillId="6" borderId="23" xfId="1" applyNumberFormat="1" applyFont="1" applyFill="1" applyBorder="1"/>
    <xf numFmtId="167" fontId="26" fillId="6" borderId="26" xfId="1" applyNumberFormat="1" applyFont="1" applyFill="1" applyBorder="1"/>
    <xf numFmtId="0" fontId="28" fillId="0" borderId="27" xfId="3" applyFont="1" applyBorder="1"/>
    <xf numFmtId="167" fontId="25" fillId="0" borderId="28" xfId="3" applyNumberFormat="1" applyBorder="1"/>
    <xf numFmtId="167" fontId="25" fillId="0" borderId="27" xfId="3" applyNumberFormat="1" applyBorder="1"/>
    <xf numFmtId="167" fontId="25" fillId="0" borderId="29" xfId="3" applyNumberFormat="1" applyBorder="1"/>
    <xf numFmtId="167" fontId="25" fillId="0" borderId="27" xfId="1" applyNumberFormat="1" applyFont="1" applyBorder="1"/>
    <xf numFmtId="167" fontId="25" fillId="0" borderId="28" xfId="1" applyNumberFormat="1" applyFont="1" applyBorder="1"/>
    <xf numFmtId="167" fontId="28" fillId="0" borderId="28" xfId="3" applyNumberFormat="1" applyFont="1" applyBorder="1"/>
    <xf numFmtId="167" fontId="28" fillId="0" borderId="27" xfId="1" applyNumberFormat="1" applyFont="1" applyFill="1" applyBorder="1"/>
    <xf numFmtId="167" fontId="28" fillId="0" borderId="27" xfId="1" applyNumberFormat="1" applyFont="1" applyBorder="1"/>
    <xf numFmtId="167" fontId="28" fillId="0" borderId="28" xfId="1" applyNumberFormat="1" applyFont="1" applyFill="1" applyBorder="1"/>
    <xf numFmtId="167" fontId="28" fillId="0" borderId="27" xfId="3" applyNumberFormat="1" applyFont="1" applyBorder="1"/>
    <xf numFmtId="167" fontId="28" fillId="0" borderId="29" xfId="3" applyNumberFormat="1" applyFont="1" applyBorder="1"/>
    <xf numFmtId="167" fontId="27" fillId="6" borderId="22" xfId="1" applyNumberFormat="1" applyFont="1" applyFill="1" applyBorder="1"/>
    <xf numFmtId="0" fontId="28" fillId="0" borderId="30" xfId="3" applyFont="1" applyBorder="1"/>
    <xf numFmtId="167" fontId="25" fillId="0" borderId="31" xfId="3" applyNumberFormat="1" applyBorder="1"/>
    <xf numFmtId="0" fontId="27" fillId="6" borderId="22" xfId="3" applyFont="1" applyFill="1" applyBorder="1"/>
    <xf numFmtId="167" fontId="26" fillId="6" borderId="23" xfId="3" applyNumberFormat="1" applyFont="1" applyFill="1" applyBorder="1"/>
    <xf numFmtId="167" fontId="26" fillId="5" borderId="1" xfId="3" applyNumberFormat="1" applyFont="1" applyFill="1" applyBorder="1"/>
    <xf numFmtId="0" fontId="27" fillId="0" borderId="2" xfId="3" applyFont="1" applyBorder="1"/>
    <xf numFmtId="0" fontId="27" fillId="0" borderId="3" xfId="3" applyFont="1" applyBorder="1"/>
    <xf numFmtId="0" fontId="25" fillId="0" borderId="11" xfId="3" applyBorder="1"/>
    <xf numFmtId="0" fontId="27" fillId="6" borderId="32" xfId="3" applyFont="1" applyFill="1" applyBorder="1" applyAlignment="1">
      <alignment horizontal="center" vertical="center" wrapText="1"/>
    </xf>
    <xf numFmtId="0" fontId="26" fillId="6" borderId="24" xfId="3" applyFont="1" applyFill="1" applyBorder="1" applyAlignment="1">
      <alignment horizontal="center" vertical="center"/>
    </xf>
    <xf numFmtId="0" fontId="27" fillId="6" borderId="30" xfId="3" applyFont="1" applyFill="1" applyBorder="1" applyAlignment="1">
      <alignment horizontal="center" vertical="center" wrapText="1"/>
    </xf>
    <xf numFmtId="0" fontId="28" fillId="0" borderId="10" xfId="3" applyFont="1" applyBorder="1"/>
    <xf numFmtId="167" fontId="27" fillId="6" borderId="23" xfId="1" applyNumberFormat="1" applyFont="1" applyFill="1" applyBorder="1"/>
    <xf numFmtId="167" fontId="25" fillId="0" borderId="27" xfId="1" applyNumberFormat="1" applyFont="1" applyFill="1" applyBorder="1"/>
    <xf numFmtId="167" fontId="29" fillId="5" borderId="12" xfId="3" applyNumberFormat="1" applyFont="1" applyFill="1" applyBorder="1"/>
    <xf numFmtId="0" fontId="30" fillId="0" borderId="13" xfId="3" applyFont="1" applyBorder="1"/>
    <xf numFmtId="0" fontId="27" fillId="0" borderId="14" xfId="3" applyFont="1" applyBorder="1"/>
    <xf numFmtId="167" fontId="26" fillId="5" borderId="10" xfId="3" applyNumberFormat="1" applyFont="1" applyFill="1" applyBorder="1"/>
    <xf numFmtId="0" fontId="12" fillId="0" borderId="11" xfId="0" applyFont="1" applyBorder="1" applyAlignment="1">
      <alignment vertical="center"/>
    </xf>
    <xf numFmtId="43" fontId="26" fillId="7" borderId="10" xfId="1" applyFont="1" applyFill="1" applyBorder="1" applyAlignment="1">
      <alignment vertical="center" readingOrder="1"/>
    </xf>
    <xf numFmtId="164" fontId="17" fillId="0" borderId="0" xfId="0" applyNumberFormat="1" applyFont="1" applyAlignment="1">
      <alignment vertical="center"/>
    </xf>
    <xf numFmtId="0" fontId="12" fillId="0" borderId="11" xfId="0" applyFont="1" applyBorder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vertical="center" readingOrder="1"/>
    </xf>
    <xf numFmtId="167" fontId="31" fillId="8" borderId="1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33" fillId="0" borderId="11" xfId="3" applyFont="1" applyBorder="1"/>
    <xf numFmtId="0" fontId="1" fillId="2" borderId="0" xfId="0" applyFont="1" applyFill="1" applyAlignment="1">
      <alignment horizontal="left" vertical="center" readingOrder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0" fontId="1" fillId="0" borderId="0" xfId="3" applyFont="1"/>
    <xf numFmtId="0" fontId="1" fillId="2" borderId="0" xfId="0" applyFont="1" applyFill="1" applyAlignment="1">
      <alignment horizontal="left" vertical="center" wrapText="1" readingOrder="1"/>
    </xf>
    <xf numFmtId="0" fontId="21" fillId="0" borderId="0" xfId="0" applyFont="1" applyAlignment="1">
      <alignment vertical="center" readingOrder="1"/>
    </xf>
    <xf numFmtId="9" fontId="21" fillId="0" borderId="0" xfId="2" applyFont="1" applyFill="1" applyAlignment="1">
      <alignment vertical="center"/>
    </xf>
    <xf numFmtId="0" fontId="21" fillId="0" borderId="0" xfId="0" applyFont="1" applyAlignment="1">
      <alignment vertical="center"/>
    </xf>
  </cellXfs>
  <cellStyles count="4">
    <cellStyle name="Normal" xfId="0" builtinId="0"/>
    <cellStyle name="Normal_BALANÇO ORÇAMENTÁRIO MCASP - Nov15" xfId="3" xr:uid="{355117F5-CC60-43DF-90CA-E07B15242E9A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7905BDF8-0006-4225-8620-B37205424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38100</xdr:rowOff>
    </xdr:from>
    <xdr:to>
      <xdr:col>0</xdr:col>
      <xdr:colOff>895350</xdr:colOff>
      <xdr:row>5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B2DE1DC4-E3C4-45CB-91E0-C2D5F0289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47625</xdr:rowOff>
    </xdr:from>
    <xdr:to>
      <xdr:col>0</xdr:col>
      <xdr:colOff>600075</xdr:colOff>
      <xdr:row>4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60B2EA72-0E3C-4191-881E-8B678BC34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NISE/2020/1.%20Janeiro/Planilha%20FUMCAD%20(%20Mem&#243;ria%20de%20C&#225;lculo)%2001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.F. 05 "/>
      <sheetName val="B.F. 00 "/>
      <sheetName val="Balanço Financeiro "/>
      <sheetName val="Balanço Orçamentário MCASP"/>
      <sheetName val="Anexos do BO "/>
      <sheetName val="BAL.Financeiro MOD DEZ"/>
    </sheetNames>
    <sheetDataSet>
      <sheetData sheetId="0">
        <row r="1">
          <cell r="A1" t="str">
            <v>RELATÓRIOS</v>
          </cell>
          <cell r="C1">
            <v>43831</v>
          </cell>
          <cell r="D1">
            <v>43862</v>
          </cell>
          <cell r="E1">
            <v>43891</v>
          </cell>
          <cell r="F1">
            <v>43922</v>
          </cell>
          <cell r="G1">
            <v>43952</v>
          </cell>
          <cell r="H1">
            <v>43983</v>
          </cell>
          <cell r="I1">
            <v>44013</v>
          </cell>
          <cell r="J1">
            <v>44044</v>
          </cell>
          <cell r="K1">
            <v>44075</v>
          </cell>
          <cell r="L1">
            <v>44105</v>
          </cell>
          <cell r="M1">
            <v>44136</v>
          </cell>
          <cell r="N1">
            <v>44166</v>
          </cell>
        </row>
        <row r="2">
          <cell r="A2" t="str">
            <v>BOLETIM DA RECEITA POR FONTE E ORGÃO</v>
          </cell>
        </row>
        <row r="3">
          <cell r="A3" t="str">
            <v>FONTE 05 - Outras Fontes</v>
          </cell>
        </row>
        <row r="4">
          <cell r="A4" t="str">
            <v>1.3.2.1.00.5.1.01.06.022.001.11.01.000 - FUMCAD</v>
          </cell>
          <cell r="B4" t="str">
            <v>Receita Prevista</v>
          </cell>
          <cell r="C4">
            <v>16517256</v>
          </cell>
        </row>
        <row r="5">
          <cell r="B5" t="str">
            <v>Realizada no Mês</v>
          </cell>
          <cell r="C5">
            <v>905293.08</v>
          </cell>
        </row>
        <row r="6">
          <cell r="B6" t="str">
            <v>Realizada no Mês - CONCILIADO</v>
          </cell>
          <cell r="C6">
            <v>905293.08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DIFERENÇA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Realizada até o Mês</v>
          </cell>
          <cell r="C8">
            <v>905293.08</v>
          </cell>
        </row>
        <row r="9">
          <cell r="B9" t="str">
            <v>Realizada até o Mês - CONCILIADO</v>
          </cell>
          <cell r="C9">
            <v>905293.08</v>
          </cell>
          <cell r="D9">
            <v>905293.08</v>
          </cell>
          <cell r="E9">
            <v>905293.08</v>
          </cell>
          <cell r="F9">
            <v>905293.08</v>
          </cell>
          <cell r="G9">
            <v>905293.08</v>
          </cell>
          <cell r="H9">
            <v>905293.08</v>
          </cell>
          <cell r="I9">
            <v>905293.08</v>
          </cell>
          <cell r="J9">
            <v>905293.08</v>
          </cell>
          <cell r="K9">
            <v>905293.08</v>
          </cell>
          <cell r="L9">
            <v>905293.08</v>
          </cell>
          <cell r="M9">
            <v>905293.08</v>
          </cell>
          <cell r="N9">
            <v>905293.08</v>
          </cell>
        </row>
        <row r="10">
          <cell r="B10" t="str">
            <v>TOTAL</v>
          </cell>
          <cell r="C10">
            <v>905293.08</v>
          </cell>
          <cell r="D10">
            <v>905293.08</v>
          </cell>
          <cell r="E10">
            <v>905293.08</v>
          </cell>
          <cell r="F10">
            <v>905293.08</v>
          </cell>
          <cell r="G10">
            <v>905293.08</v>
          </cell>
          <cell r="H10">
            <v>905293.08</v>
          </cell>
          <cell r="I10">
            <v>905293.08</v>
          </cell>
          <cell r="J10">
            <v>905293.08</v>
          </cell>
          <cell r="K10">
            <v>905293.08</v>
          </cell>
          <cell r="L10">
            <v>905293.08</v>
          </cell>
          <cell r="M10">
            <v>905293.08</v>
          </cell>
          <cell r="N10">
            <v>905293.08</v>
          </cell>
        </row>
        <row r="12">
          <cell r="A12" t="str">
            <v>1.7.7.0.00.1.1.00.00.000.000.11.01.000 - FUMCAD - Imposto de Renda</v>
          </cell>
          <cell r="B12" t="str">
            <v>Receita Prevista</v>
          </cell>
          <cell r="C12">
            <v>70000000</v>
          </cell>
        </row>
        <row r="13">
          <cell r="B13" t="str">
            <v>Realizada no Mês</v>
          </cell>
          <cell r="C13">
            <v>87278.42</v>
          </cell>
        </row>
        <row r="14">
          <cell r="B14" t="str">
            <v>Realizada no Mês - CONCILIADO</v>
          </cell>
          <cell r="C14">
            <v>87278.42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B15" t="str">
            <v>DIFERENÇA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B16" t="str">
            <v>Realizada até o Mês</v>
          </cell>
          <cell r="C16">
            <v>87278.42</v>
          </cell>
        </row>
        <row r="17">
          <cell r="B17" t="str">
            <v>Realizada até o Mês - CONCILIADO</v>
          </cell>
          <cell r="C17">
            <v>87278.42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B18" t="str">
            <v>TOTAL</v>
          </cell>
          <cell r="C18">
            <v>87278.42</v>
          </cell>
          <cell r="D18">
            <v>87278.42</v>
          </cell>
          <cell r="E18">
            <v>87278.42</v>
          </cell>
          <cell r="F18">
            <v>87278.42</v>
          </cell>
          <cell r="G18">
            <v>87278.42</v>
          </cell>
          <cell r="H18">
            <v>87278.42</v>
          </cell>
          <cell r="I18">
            <v>87278.42</v>
          </cell>
          <cell r="J18">
            <v>87278.42</v>
          </cell>
          <cell r="K18">
            <v>87278.42</v>
          </cell>
          <cell r="L18">
            <v>87278.42</v>
          </cell>
          <cell r="M18">
            <v>87278.42</v>
          </cell>
          <cell r="N18">
            <v>87278.42</v>
          </cell>
        </row>
        <row r="20">
          <cell r="A20" t="str">
            <v>1.9.2.2.99.1.1.01.00.000.000.11.01.000 - FUMCAD - Outras Restituições</v>
          </cell>
          <cell r="B20" t="str">
            <v>Receita Prevista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B21" t="str">
            <v>Realizada no Mês</v>
          </cell>
          <cell r="E21">
            <v>0</v>
          </cell>
          <cell r="F21">
            <v>0</v>
          </cell>
          <cell r="K21">
            <v>0</v>
          </cell>
          <cell r="L21">
            <v>0</v>
          </cell>
        </row>
        <row r="22">
          <cell r="B22" t="str">
            <v>Realizada no Mês - CONCILIADO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  <row r="23">
          <cell r="B23" t="str">
            <v>DIFERENÇA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B24" t="str">
            <v>Realizada até o Mês</v>
          </cell>
          <cell r="E24">
            <v>0</v>
          </cell>
          <cell r="F24">
            <v>0</v>
          </cell>
          <cell r="K24">
            <v>0</v>
          </cell>
          <cell r="L24">
            <v>0</v>
          </cell>
        </row>
        <row r="25">
          <cell r="B25" t="str">
            <v>Realizada até o Mês - CONCILIADO</v>
          </cell>
          <cell r="E25">
            <v>0</v>
          </cell>
          <cell r="F25">
            <v>0</v>
          </cell>
          <cell r="K25">
            <v>0</v>
          </cell>
          <cell r="L25">
            <v>0</v>
          </cell>
        </row>
        <row r="26">
          <cell r="B26" t="str">
            <v>TOTAL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8">
          <cell r="A28" t="str">
            <v>1.9.9.0.99.1.1.05.00.000.000.11.01.000 - FUMCAD</v>
          </cell>
          <cell r="B28" t="str">
            <v>Receita Prevista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B29" t="str">
            <v>Realizada no Mês</v>
          </cell>
          <cell r="C29">
            <v>28082.35</v>
          </cell>
        </row>
        <row r="30">
          <cell r="B30" t="str">
            <v>Realizada no Mês - CONCILIADO</v>
          </cell>
          <cell r="C30">
            <v>28082.35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</row>
        <row r="31">
          <cell r="B31" t="str">
            <v>DIFERENÇA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B32" t="str">
            <v>Realizada até o Mês</v>
          </cell>
          <cell r="C32">
            <v>28082.35</v>
          </cell>
        </row>
        <row r="33">
          <cell r="B33" t="str">
            <v>Realizada até o Mês - CONCILIADO</v>
          </cell>
          <cell r="C33">
            <v>28082.35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B34" t="str">
            <v>TOTAL</v>
          </cell>
          <cell r="C34">
            <v>28082.35</v>
          </cell>
          <cell r="D34">
            <v>28082.35</v>
          </cell>
          <cell r="E34">
            <v>28082.35</v>
          </cell>
          <cell r="F34">
            <v>28082.35</v>
          </cell>
          <cell r="G34">
            <v>28082.35</v>
          </cell>
          <cell r="H34">
            <v>28082.35</v>
          </cell>
          <cell r="I34">
            <v>28082.35</v>
          </cell>
          <cell r="J34">
            <v>28082.35</v>
          </cell>
          <cell r="K34">
            <v>28082.35</v>
          </cell>
          <cell r="L34">
            <v>28082.35</v>
          </cell>
          <cell r="M34">
            <v>28082.35</v>
          </cell>
          <cell r="N34">
            <v>28082.35</v>
          </cell>
        </row>
        <row r="35">
          <cell r="B35" t="str">
            <v>TOTAL GERAL</v>
          </cell>
          <cell r="C35">
            <v>1020653.85</v>
          </cell>
          <cell r="D35">
            <v>1020653.85</v>
          </cell>
          <cell r="E35">
            <v>1020653.85</v>
          </cell>
          <cell r="F35">
            <v>1020653.85</v>
          </cell>
          <cell r="G35">
            <v>1020653.85</v>
          </cell>
          <cell r="H35">
            <v>1020653.85</v>
          </cell>
          <cell r="I35">
            <v>1020653.85</v>
          </cell>
          <cell r="J35">
            <v>1020653.85</v>
          </cell>
          <cell r="K35">
            <v>1020653.85</v>
          </cell>
          <cell r="L35">
            <v>1020653.85</v>
          </cell>
          <cell r="M35">
            <v>1020653.85</v>
          </cell>
          <cell r="N35">
            <v>1020653.85</v>
          </cell>
        </row>
        <row r="37">
          <cell r="A37" t="str">
            <v>FONTE 08 - Tesouro Municipal - Recursos Vinculados</v>
          </cell>
        </row>
        <row r="38">
          <cell r="A38" t="str">
            <v>7.9.1.0.08.1.1.01.00.000.000.11.01.000 - FUMCAD - Multas Decorrentes De Sentenças Judiciais</v>
          </cell>
          <cell r="B38" t="str">
            <v>Receita Prevista</v>
          </cell>
          <cell r="C38">
            <v>4337525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B39" t="str">
            <v>Realizada no Mês</v>
          </cell>
          <cell r="C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N39">
            <v>219988.34</v>
          </cell>
        </row>
        <row r="40">
          <cell r="B40" t="str">
            <v>Realizada no Mês - CONCILIADO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219988.34</v>
          </cell>
        </row>
        <row r="41">
          <cell r="B41" t="str">
            <v>DIFERENÇA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2">
          <cell r="B42" t="str">
            <v>Realizada até o Mês</v>
          </cell>
          <cell r="C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</row>
        <row r="43">
          <cell r="B43" t="str">
            <v>Realizada até o Mês - CONCILIADO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219988.34</v>
          </cell>
        </row>
        <row r="44">
          <cell r="B44" t="str">
            <v>TOTAL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219988.34</v>
          </cell>
        </row>
        <row r="46">
          <cell r="A46" t="str">
            <v>FONTE 08 - Tesouro Municipal - Recursos Vinculados</v>
          </cell>
        </row>
        <row r="47">
          <cell r="A47" t="str">
            <v>1.7.4.0.00.1.1.01.13.000.000.11.01.000 Transf.Instituições Privadas - FUMCAD Doações Direcionadas[</v>
          </cell>
          <cell r="B47" t="str">
            <v>Receita Prevista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</row>
        <row r="48">
          <cell r="B48" t="str">
            <v>Realizada no Mês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</row>
        <row r="49">
          <cell r="B49" t="str">
            <v>Realizada no Mês - CONCILIADO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</row>
        <row r="50">
          <cell r="B50" t="str">
            <v>DIFERENÇA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</row>
        <row r="51">
          <cell r="B51" t="str">
            <v>Realizada até o Mês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</row>
        <row r="52">
          <cell r="B52" t="str">
            <v>Realizada até o Mês - CONCILIADO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</row>
        <row r="53">
          <cell r="B53" t="str">
            <v>TOTAL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 t="str">
            <v>1.7.7.0.00.1.1.10.00.000.11.01.000 Transf. Pessoas Fisicas - FUMCAD Doações Direcionadas</v>
          </cell>
          <cell r="B54" t="str">
            <v>Receita Prevista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B55" t="str">
            <v>Realizada no Mês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6">
          <cell r="B56" t="str">
            <v>Realizada no Mês - CONCILIADO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57">
          <cell r="B57" t="str">
            <v>DIFERENÇA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B58" t="str">
            <v>Realizada até o Mês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B59" t="str">
            <v>Realizada até o Mês - CONCILIADO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</row>
        <row r="60">
          <cell r="B60" t="str">
            <v>TOTAL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</row>
        <row r="62">
          <cell r="A62" t="str">
            <v>RAZÃO DE ARRECADAÇÃO</v>
          </cell>
        </row>
        <row r="63">
          <cell r="A63" t="str">
            <v>1.3.2.1.00.5.1.01.06.022.001.11.01.000</v>
          </cell>
          <cell r="B63" t="str">
            <v>(25955) - FUMCAD</v>
          </cell>
          <cell r="C63">
            <v>905293.08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</row>
        <row r="64">
          <cell r="B64" t="str">
            <v>Valores RENDIMENTO DA CONTA SME - PROJETO MAIS ESCOLA</v>
          </cell>
          <cell r="C64">
            <v>54210.35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54210.35</v>
          </cell>
        </row>
        <row r="65">
          <cell r="A65" t="str">
            <v>1.7.7.0.00.1.1.00.00.000.000.11.01.000</v>
          </cell>
          <cell r="B65" t="str">
            <v>(28460) - FUMCAD - Imposto de Renda</v>
          </cell>
          <cell r="C65">
            <v>87278.42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</row>
        <row r="66">
          <cell r="B66" t="str">
            <v>Valores Indevidos (-)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</row>
        <row r="67">
          <cell r="A67" t="str">
            <v>1.9.2.2.99.1.1.01.00.000.000.11.01.000</v>
          </cell>
          <cell r="B67" t="str">
            <v>(28746) - FUMCAD - Outras Restit.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</row>
        <row r="68">
          <cell r="A68" t="str">
            <v xml:space="preserve">1.9.9.0.99.1.1.05.00.000.000.11.01.000 </v>
          </cell>
          <cell r="B68" t="str">
            <v>(28988) FUMCAD</v>
          </cell>
          <cell r="C68">
            <v>28082.35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A69" t="str">
            <v>1.9.1.0.08.1.1.02.00.000.000.11.01.000</v>
          </cell>
          <cell r="B69" t="str">
            <v>(28601) - FUMCAD - Multas Judiciais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</row>
        <row r="70">
          <cell r="A70" t="str">
            <v>1.7.4.0.00.1.1.01.13.000.000.11.01.000</v>
          </cell>
          <cell r="B70" t="str">
            <v>(33693)Tranf.Inst.Priv.-Doações Direc.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A71" t="str">
            <v>1.7.7.0.00.1.1.10.00.000.000.11.01.000</v>
          </cell>
          <cell r="B71" t="str">
            <v>(33696)Tranf.Inst.Pes.Fis.-Doações Direc.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B72" t="str">
            <v>TOTAL</v>
          </cell>
          <cell r="C72">
            <v>1020653.85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</row>
        <row r="74">
          <cell r="A74" t="str">
            <v>RAZÃO DE DISPONÍVEIS</v>
          </cell>
        </row>
        <row r="75">
          <cell r="A75" t="str">
            <v>Conta Corrente</v>
          </cell>
          <cell r="B75" t="str">
            <v>Saldo Inicial</v>
          </cell>
        </row>
        <row r="76">
          <cell r="A76" t="str">
            <v>Cód. 100738 - 8946-X</v>
          </cell>
          <cell r="B76">
            <v>1470</v>
          </cell>
          <cell r="C76">
            <v>1470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</row>
        <row r="77">
          <cell r="A77" t="str">
            <v>Cód. 100738 - Aplicação</v>
          </cell>
          <cell r="B77">
            <v>223187126.41</v>
          </cell>
          <cell r="C77">
            <v>220063977.59999999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</row>
        <row r="78">
          <cell r="A78" t="str">
            <v>Cód. 100071 - 5738-X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</row>
        <row r="79">
          <cell r="A79" t="str">
            <v>Cód. 100071 - Aplicação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</row>
        <row r="80">
          <cell r="A80" t="str">
            <v>Cód. 100072 - 5737-1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</row>
        <row r="81">
          <cell r="A81" t="str">
            <v>Ajuste - Desvinculação de Receita 2018</v>
          </cell>
          <cell r="B81">
            <v>-7288706.7699999996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</row>
        <row r="82">
          <cell r="A82" t="str">
            <v>Cód. 100991 - 18114-X</v>
          </cell>
          <cell r="B82">
            <v>1776551.13</v>
          </cell>
          <cell r="C82">
            <v>110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</row>
        <row r="83">
          <cell r="A83" t="str">
            <v>TOTAL</v>
          </cell>
          <cell r="B83">
            <v>217676440.76999998</v>
          </cell>
          <cell r="C83">
            <v>220065557.59999999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5">
          <cell r="A85" t="str">
            <v>ACOMPANHAMENTO DE EXECUÇÃO ORÇAMENTÁRIA</v>
          </cell>
        </row>
        <row r="86">
          <cell r="A86" t="str">
            <v>POR FONTE RECURSO</v>
          </cell>
        </row>
        <row r="87">
          <cell r="A87" t="str">
            <v>FONTE 05</v>
          </cell>
          <cell r="B87" t="str">
            <v>Empenhado Até o Mês</v>
          </cell>
          <cell r="C87">
            <v>10876477.07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</row>
        <row r="88">
          <cell r="B88" t="str">
            <v>Pago Até o Mês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</row>
        <row r="89">
          <cell r="B89" t="str">
            <v>Liquidado A Pagar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</row>
        <row r="90">
          <cell r="B90" t="str">
            <v xml:space="preserve">     Retenção Extra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</row>
        <row r="91">
          <cell r="B91" t="str">
            <v>NÃO Liquidado A Pagar</v>
          </cell>
          <cell r="C91">
            <v>10876477.07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</row>
        <row r="93">
          <cell r="A93" t="str">
            <v>FONTE 00</v>
          </cell>
          <cell r="B93" t="str">
            <v>Empenhado Até o Mês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</row>
        <row r="94">
          <cell r="B94" t="str">
            <v>Pago Até o Mês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</row>
        <row r="95">
          <cell r="B95" t="str">
            <v>Liquidado A Pagar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</row>
        <row r="96">
          <cell r="B96" t="str">
            <v xml:space="preserve">     Retenção Extra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</row>
        <row r="97">
          <cell r="B97" t="str">
            <v>NÃO Liquidado A Pagar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</row>
        <row r="99">
          <cell r="A99" t="str">
            <v>POR CONTA DE DESPESA</v>
          </cell>
        </row>
        <row r="100">
          <cell r="A100" t="str">
            <v>DESPESA CORRENTE</v>
          </cell>
          <cell r="B100" t="str">
            <v>Orçamento Inicial</v>
          </cell>
          <cell r="C100">
            <v>65513385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</row>
        <row r="101">
          <cell r="B101" t="str">
            <v>Orçamento Atualizado</v>
          </cell>
          <cell r="C101">
            <v>65513385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</row>
        <row r="102">
          <cell r="B102" t="str">
            <v>Empenhado Até o Mês</v>
          </cell>
          <cell r="C102">
            <v>10876477.07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</row>
        <row r="103">
          <cell r="B103" t="str">
            <v>Liquidado Até o Mês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</row>
        <row r="104">
          <cell r="B104" t="str">
            <v>Pago Até o Mês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</row>
        <row r="106">
          <cell r="A106" t="str">
            <v>DESPESA CAPITAL</v>
          </cell>
          <cell r="B106" t="str">
            <v>Orçamento Inicial</v>
          </cell>
          <cell r="C106">
            <v>43000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</row>
        <row r="107">
          <cell r="B107" t="str">
            <v>Orçamento Atualizado</v>
          </cell>
          <cell r="C107">
            <v>43000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</row>
        <row r="108">
          <cell r="B108" t="str">
            <v>Empenhado Até o Mês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</row>
        <row r="109">
          <cell r="B109" t="str">
            <v>Liquidado Até o Mês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</row>
        <row r="110">
          <cell r="B110" t="str">
            <v>Pago Até o Mês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</row>
        <row r="113">
          <cell r="A113" t="str">
            <v>ACOMPANHAMENTO DE EXECUÇÃO ORÇAMENTÁRIA - RESTO A PAGAR</v>
          </cell>
        </row>
        <row r="114">
          <cell r="A114" t="str">
            <v>POR FONTE RECURSO</v>
          </cell>
        </row>
        <row r="115">
          <cell r="A115" t="str">
            <v>PAGAMENTO</v>
          </cell>
          <cell r="B115" t="str">
            <v>Não Processado - FONTE 05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</row>
        <row r="116">
          <cell r="B116" t="str">
            <v>Processado - FONTE 05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</row>
        <row r="117">
          <cell r="B117" t="str">
            <v>TOTAL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</row>
        <row r="119">
          <cell r="A119" t="str">
            <v>PAGAMENTO</v>
          </cell>
          <cell r="B119" t="str">
            <v>Não Processado - FONTE 00</v>
          </cell>
          <cell r="C119">
            <v>60923.74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B120" t="str">
            <v>Processado - FONTE 00</v>
          </cell>
          <cell r="C120">
            <v>8641.73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B121" t="str">
            <v>TOTAL</v>
          </cell>
          <cell r="C121">
            <v>69565.47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</row>
        <row r="123">
          <cell r="A123" t="str">
            <v>POR CONTA DE DESPESA - DESPESA CORRENTE</v>
          </cell>
        </row>
        <row r="124">
          <cell r="A124" t="str">
            <v>SALDO TRANSFERIDO</v>
          </cell>
          <cell r="B124" t="str">
            <v>Não Processado</v>
          </cell>
          <cell r="C124">
            <v>2003403.79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</row>
        <row r="125">
          <cell r="B125" t="str">
            <v>Processado</v>
          </cell>
          <cell r="C125">
            <v>8641.73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</row>
        <row r="126">
          <cell r="A126" t="str">
            <v>PAGAMENTO</v>
          </cell>
          <cell r="B126" t="str">
            <v>Não Processado</v>
          </cell>
          <cell r="C126">
            <v>60923.74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</row>
        <row r="127">
          <cell r="B127" t="str">
            <v>Processado</v>
          </cell>
          <cell r="C127">
            <v>8641.73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 t="str">
            <v>CANCELAMENTO</v>
          </cell>
          <cell r="B128" t="str">
            <v>Não Processado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Processado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POR CONTA DE DESPESA - DESPESA CAPITAL</v>
          </cell>
        </row>
        <row r="131">
          <cell r="A131" t="str">
            <v>SALDO TRANSFERIDO</v>
          </cell>
          <cell r="B131" t="str">
            <v>Não Processado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B132" t="str">
            <v>Processado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A133" t="str">
            <v>PAGAMENTO</v>
          </cell>
          <cell r="B133" t="str">
            <v>Não Processado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B134" t="str">
            <v>Processado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A135" t="str">
            <v>CANCELAMENTO</v>
          </cell>
          <cell r="B135" t="str">
            <v>Não Processado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B136" t="str">
            <v>Processado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8">
          <cell r="A138" t="str">
            <v>A.E.O. - RESTO A PAGAR - COMPETÊNCIAS ANTERIORES</v>
          </cell>
        </row>
        <row r="139">
          <cell r="A139" t="str">
            <v>POR CONTA DE DESPESA - DESPESA CORRENTE</v>
          </cell>
        </row>
        <row r="140">
          <cell r="A140" t="str">
            <v>SALDO TRANSFERIDO</v>
          </cell>
          <cell r="B140" t="str">
            <v>Não Processado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</row>
        <row r="141">
          <cell r="B141" t="str">
            <v>Processado</v>
          </cell>
          <cell r="C141">
            <v>3821.76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A142" t="str">
            <v>PAGAMENTO</v>
          </cell>
          <cell r="B142" t="str">
            <v>Não Processado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</row>
        <row r="143">
          <cell r="B143" t="str">
            <v>Processado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A144" t="str">
            <v>CANCELAMENTO</v>
          </cell>
          <cell r="B144" t="str">
            <v>Não Processado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</row>
        <row r="145">
          <cell r="B145" t="str">
            <v>Processado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</row>
        <row r="146">
          <cell r="A146" t="str">
            <v>POR CONTA DE DESPESA - DESPESA CAPITAL</v>
          </cell>
        </row>
        <row r="147">
          <cell r="A147" t="str">
            <v>SALDO TRANSFERIDO</v>
          </cell>
          <cell r="B147" t="str">
            <v>Não Processado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</row>
        <row r="148">
          <cell r="B148" t="str">
            <v>Processado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</row>
        <row r="149">
          <cell r="A149" t="str">
            <v>PAGAMENTO</v>
          </cell>
          <cell r="B149" t="str">
            <v>Não Processado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</row>
        <row r="150">
          <cell r="B150" t="str">
            <v>Processado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</row>
        <row r="151">
          <cell r="A151" t="str">
            <v>CANCELAMENTO</v>
          </cell>
          <cell r="B151" t="str">
            <v>Não Processado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B152" t="str">
            <v>Processado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5">
          <cell r="A155" t="str">
            <v>TRANSFERÊNCIAS FINANCEIRAS RECEBIDAS (II)</v>
          </cell>
        </row>
        <row r="156">
          <cell r="A156" t="str">
            <v>PARA  EXECUÇÃO ORÇAMENTÁRIA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B163" t="str">
            <v>TOTAL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166">
          <cell r="A166" t="str">
            <v>TRANSFERÊNCIAS FINANCEIRAS CONCEDIDAS (VII)</v>
          </cell>
        </row>
        <row r="167">
          <cell r="A167" t="str">
            <v>PARA  EXECUÇÃO ORÇAMENTÁRIA</v>
          </cell>
        </row>
        <row r="168">
          <cell r="A168" t="str">
            <v>RENDIMENTO FINANCEIRO DA TRANSFERÊNCIA PARA EDUCAÇÃO</v>
          </cell>
          <cell r="C168">
            <v>54210.35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54210.35</v>
          </cell>
          <cell r="P168" t="str">
            <v>total de rendimentos transferidos para educação</v>
          </cell>
        </row>
        <row r="169">
          <cell r="A169" t="str">
            <v>DESVINCULAÇÃO ADICIONAL DA RECEITA - R$5.158.455,99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</row>
        <row r="170">
          <cell r="A170" t="str">
            <v>DESVINCULAÇÃO ADICIONAL DA RECEITA - R$15.480.496,12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</row>
        <row r="171">
          <cell r="A171" t="str">
            <v>DESVINCULAÇÃO ADICIONAL DA RECEITA - R$15.262.094,25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</row>
        <row r="172">
          <cell r="A172" t="str">
            <v xml:space="preserve">transferencia mais escolas ( p SME) 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</row>
        <row r="174">
          <cell r="B174" t="str">
            <v>TOTAL</v>
          </cell>
          <cell r="C174">
            <v>54210.35</v>
          </cell>
          <cell r="D174">
            <v>54210.35</v>
          </cell>
          <cell r="E174">
            <v>54210.35</v>
          </cell>
          <cell r="F174">
            <v>54210.35</v>
          </cell>
          <cell r="G174">
            <v>54210.35</v>
          </cell>
          <cell r="H174">
            <v>54210.35</v>
          </cell>
          <cell r="I174">
            <v>54210.35</v>
          </cell>
          <cell r="J174">
            <v>54210.35</v>
          </cell>
          <cell r="K174">
            <v>54210.35</v>
          </cell>
          <cell r="L174">
            <v>54210.35</v>
          </cell>
          <cell r="M174">
            <v>54210.35</v>
          </cell>
          <cell r="N174">
            <v>54210.35</v>
          </cell>
        </row>
      </sheetData>
      <sheetData sheetId="1">
        <row r="5">
          <cell r="A5">
            <v>43831</v>
          </cell>
        </row>
        <row r="10">
          <cell r="D10">
            <v>0</v>
          </cell>
        </row>
        <row r="18">
          <cell r="D18">
            <v>1020653.85</v>
          </cell>
          <cell r="K18">
            <v>10876477.07</v>
          </cell>
        </row>
        <row r="20">
          <cell r="D20">
            <v>0</v>
          </cell>
        </row>
        <row r="22">
          <cell r="D22">
            <v>0</v>
          </cell>
          <cell r="K22">
            <v>54210.35</v>
          </cell>
        </row>
        <row r="28">
          <cell r="D28">
            <v>10876477.07</v>
          </cell>
          <cell r="K28">
            <v>0</v>
          </cell>
        </row>
        <row r="30">
          <cell r="D30">
            <v>0</v>
          </cell>
          <cell r="K30">
            <v>0</v>
          </cell>
        </row>
        <row r="32">
          <cell r="D32">
            <v>1423723.33</v>
          </cell>
          <cell r="K32">
            <v>1050</v>
          </cell>
        </row>
        <row r="35">
          <cell r="D35">
            <v>217676440.76999998</v>
          </cell>
          <cell r="K35">
            <v>220065557.59999999</v>
          </cell>
        </row>
      </sheetData>
      <sheetData sheetId="2">
        <row r="8">
          <cell r="K8">
            <v>0</v>
          </cell>
        </row>
        <row r="20">
          <cell r="D20">
            <v>69565.47</v>
          </cell>
        </row>
        <row r="25">
          <cell r="D25">
            <v>0</v>
          </cell>
          <cell r="K25">
            <v>60923.74</v>
          </cell>
        </row>
        <row r="27">
          <cell r="D27">
            <v>0</v>
          </cell>
          <cell r="K27">
            <v>8641.73</v>
          </cell>
        </row>
        <row r="30">
          <cell r="D30">
            <v>0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59FD1-4DE4-48F1-A2B0-0CF1086470E0}">
  <sheetPr codeName="Plan9">
    <tabColor indexed="42"/>
  </sheetPr>
  <dimension ref="A1:IU62"/>
  <sheetViews>
    <sheetView showGridLines="0" showOutlineSymbols="0" zoomScaleNormal="100" workbookViewId="0">
      <selection activeCell="O23" sqref="O23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104" customWidth="1"/>
    <col min="15" max="15" width="16.7109375" style="72" customWidth="1"/>
    <col min="16" max="16" width="14.28515625" style="2" bestFit="1" customWidth="1"/>
    <col min="17" max="17" width="12.140625" style="2" customWidth="1"/>
    <col min="18" max="18" width="12.5703125" style="2" customWidth="1"/>
    <col min="19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2" width="14.28515625" style="2" bestFit="1" customWidth="1"/>
    <col min="273" max="273" width="12.140625" style="2" customWidth="1"/>
    <col min="274" max="274" width="12.5703125" style="2" customWidth="1"/>
    <col min="275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8" width="14.28515625" style="2" bestFit="1" customWidth="1"/>
    <col min="529" max="529" width="12.140625" style="2" customWidth="1"/>
    <col min="530" max="530" width="12.5703125" style="2" customWidth="1"/>
    <col min="531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4" width="14.28515625" style="2" bestFit="1" customWidth="1"/>
    <col min="785" max="785" width="12.140625" style="2" customWidth="1"/>
    <col min="786" max="786" width="12.5703125" style="2" customWidth="1"/>
    <col min="787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0" width="14.28515625" style="2" bestFit="1" customWidth="1"/>
    <col min="1041" max="1041" width="12.140625" style="2" customWidth="1"/>
    <col min="1042" max="1042" width="12.5703125" style="2" customWidth="1"/>
    <col min="1043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6" width="14.28515625" style="2" bestFit="1" customWidth="1"/>
    <col min="1297" max="1297" width="12.140625" style="2" customWidth="1"/>
    <col min="1298" max="1298" width="12.5703125" style="2" customWidth="1"/>
    <col min="1299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2" width="14.28515625" style="2" bestFit="1" customWidth="1"/>
    <col min="1553" max="1553" width="12.140625" style="2" customWidth="1"/>
    <col min="1554" max="1554" width="12.5703125" style="2" customWidth="1"/>
    <col min="1555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8" width="14.28515625" style="2" bestFit="1" customWidth="1"/>
    <col min="1809" max="1809" width="12.140625" style="2" customWidth="1"/>
    <col min="1810" max="1810" width="12.5703125" style="2" customWidth="1"/>
    <col min="1811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4" width="14.28515625" style="2" bestFit="1" customWidth="1"/>
    <col min="2065" max="2065" width="12.140625" style="2" customWidth="1"/>
    <col min="2066" max="2066" width="12.5703125" style="2" customWidth="1"/>
    <col min="2067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0" width="14.28515625" style="2" bestFit="1" customWidth="1"/>
    <col min="2321" max="2321" width="12.140625" style="2" customWidth="1"/>
    <col min="2322" max="2322" width="12.5703125" style="2" customWidth="1"/>
    <col min="2323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6" width="14.28515625" style="2" bestFit="1" customWidth="1"/>
    <col min="2577" max="2577" width="12.140625" style="2" customWidth="1"/>
    <col min="2578" max="2578" width="12.5703125" style="2" customWidth="1"/>
    <col min="2579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2" width="14.28515625" style="2" bestFit="1" customWidth="1"/>
    <col min="2833" max="2833" width="12.140625" style="2" customWidth="1"/>
    <col min="2834" max="2834" width="12.5703125" style="2" customWidth="1"/>
    <col min="2835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8" width="14.28515625" style="2" bestFit="1" customWidth="1"/>
    <col min="3089" max="3089" width="12.140625" style="2" customWidth="1"/>
    <col min="3090" max="3090" width="12.5703125" style="2" customWidth="1"/>
    <col min="3091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4" width="14.28515625" style="2" bestFit="1" customWidth="1"/>
    <col min="3345" max="3345" width="12.140625" style="2" customWidth="1"/>
    <col min="3346" max="3346" width="12.5703125" style="2" customWidth="1"/>
    <col min="3347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0" width="14.28515625" style="2" bestFit="1" customWidth="1"/>
    <col min="3601" max="3601" width="12.140625" style="2" customWidth="1"/>
    <col min="3602" max="3602" width="12.5703125" style="2" customWidth="1"/>
    <col min="3603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6" width="14.28515625" style="2" bestFit="1" customWidth="1"/>
    <col min="3857" max="3857" width="12.140625" style="2" customWidth="1"/>
    <col min="3858" max="3858" width="12.5703125" style="2" customWidth="1"/>
    <col min="3859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2" width="14.28515625" style="2" bestFit="1" customWidth="1"/>
    <col min="4113" max="4113" width="12.140625" style="2" customWidth="1"/>
    <col min="4114" max="4114" width="12.5703125" style="2" customWidth="1"/>
    <col min="4115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8" width="14.28515625" style="2" bestFit="1" customWidth="1"/>
    <col min="4369" max="4369" width="12.140625" style="2" customWidth="1"/>
    <col min="4370" max="4370" width="12.5703125" style="2" customWidth="1"/>
    <col min="4371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4" width="14.28515625" style="2" bestFit="1" customWidth="1"/>
    <col min="4625" max="4625" width="12.140625" style="2" customWidth="1"/>
    <col min="4626" max="4626" width="12.5703125" style="2" customWidth="1"/>
    <col min="4627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0" width="14.28515625" style="2" bestFit="1" customWidth="1"/>
    <col min="4881" max="4881" width="12.140625" style="2" customWidth="1"/>
    <col min="4882" max="4882" width="12.5703125" style="2" customWidth="1"/>
    <col min="4883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6" width="14.28515625" style="2" bestFit="1" customWidth="1"/>
    <col min="5137" max="5137" width="12.140625" style="2" customWidth="1"/>
    <col min="5138" max="5138" width="12.5703125" style="2" customWidth="1"/>
    <col min="5139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2" width="14.28515625" style="2" bestFit="1" customWidth="1"/>
    <col min="5393" max="5393" width="12.140625" style="2" customWidth="1"/>
    <col min="5394" max="5394" width="12.5703125" style="2" customWidth="1"/>
    <col min="5395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8" width="14.28515625" style="2" bestFit="1" customWidth="1"/>
    <col min="5649" max="5649" width="12.140625" style="2" customWidth="1"/>
    <col min="5650" max="5650" width="12.5703125" style="2" customWidth="1"/>
    <col min="5651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4" width="14.28515625" style="2" bestFit="1" customWidth="1"/>
    <col min="5905" max="5905" width="12.140625" style="2" customWidth="1"/>
    <col min="5906" max="5906" width="12.5703125" style="2" customWidth="1"/>
    <col min="5907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0" width="14.28515625" style="2" bestFit="1" customWidth="1"/>
    <col min="6161" max="6161" width="12.140625" style="2" customWidth="1"/>
    <col min="6162" max="6162" width="12.5703125" style="2" customWidth="1"/>
    <col min="6163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6" width="14.28515625" style="2" bestFit="1" customWidth="1"/>
    <col min="6417" max="6417" width="12.140625" style="2" customWidth="1"/>
    <col min="6418" max="6418" width="12.5703125" style="2" customWidth="1"/>
    <col min="6419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2" width="14.28515625" style="2" bestFit="1" customWidth="1"/>
    <col min="6673" max="6673" width="12.140625" style="2" customWidth="1"/>
    <col min="6674" max="6674" width="12.5703125" style="2" customWidth="1"/>
    <col min="6675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8" width="14.28515625" style="2" bestFit="1" customWidth="1"/>
    <col min="6929" max="6929" width="12.140625" style="2" customWidth="1"/>
    <col min="6930" max="6930" width="12.5703125" style="2" customWidth="1"/>
    <col min="6931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4" width="14.28515625" style="2" bestFit="1" customWidth="1"/>
    <col min="7185" max="7185" width="12.140625" style="2" customWidth="1"/>
    <col min="7186" max="7186" width="12.5703125" style="2" customWidth="1"/>
    <col min="7187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0" width="14.28515625" style="2" bestFit="1" customWidth="1"/>
    <col min="7441" max="7441" width="12.140625" style="2" customWidth="1"/>
    <col min="7442" max="7442" width="12.5703125" style="2" customWidth="1"/>
    <col min="7443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6" width="14.28515625" style="2" bestFit="1" customWidth="1"/>
    <col min="7697" max="7697" width="12.140625" style="2" customWidth="1"/>
    <col min="7698" max="7698" width="12.5703125" style="2" customWidth="1"/>
    <col min="7699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2" width="14.28515625" style="2" bestFit="1" customWidth="1"/>
    <col min="7953" max="7953" width="12.140625" style="2" customWidth="1"/>
    <col min="7954" max="7954" width="12.5703125" style="2" customWidth="1"/>
    <col min="7955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8" width="14.28515625" style="2" bestFit="1" customWidth="1"/>
    <col min="8209" max="8209" width="12.140625" style="2" customWidth="1"/>
    <col min="8210" max="8210" width="12.5703125" style="2" customWidth="1"/>
    <col min="8211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4" width="14.28515625" style="2" bestFit="1" customWidth="1"/>
    <col min="8465" max="8465" width="12.140625" style="2" customWidth="1"/>
    <col min="8466" max="8466" width="12.5703125" style="2" customWidth="1"/>
    <col min="8467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0" width="14.28515625" style="2" bestFit="1" customWidth="1"/>
    <col min="8721" max="8721" width="12.140625" style="2" customWidth="1"/>
    <col min="8722" max="8722" width="12.5703125" style="2" customWidth="1"/>
    <col min="8723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6" width="14.28515625" style="2" bestFit="1" customWidth="1"/>
    <col min="8977" max="8977" width="12.140625" style="2" customWidth="1"/>
    <col min="8978" max="8978" width="12.5703125" style="2" customWidth="1"/>
    <col min="8979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2" width="14.28515625" style="2" bestFit="1" customWidth="1"/>
    <col min="9233" max="9233" width="12.140625" style="2" customWidth="1"/>
    <col min="9234" max="9234" width="12.5703125" style="2" customWidth="1"/>
    <col min="9235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8" width="14.28515625" style="2" bestFit="1" customWidth="1"/>
    <col min="9489" max="9489" width="12.140625" style="2" customWidth="1"/>
    <col min="9490" max="9490" width="12.5703125" style="2" customWidth="1"/>
    <col min="9491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4" width="14.28515625" style="2" bestFit="1" customWidth="1"/>
    <col min="9745" max="9745" width="12.140625" style="2" customWidth="1"/>
    <col min="9746" max="9746" width="12.5703125" style="2" customWidth="1"/>
    <col min="9747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0" width="14.28515625" style="2" bestFit="1" customWidth="1"/>
    <col min="10001" max="10001" width="12.140625" style="2" customWidth="1"/>
    <col min="10002" max="10002" width="12.5703125" style="2" customWidth="1"/>
    <col min="10003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6" width="14.28515625" style="2" bestFit="1" customWidth="1"/>
    <col min="10257" max="10257" width="12.140625" style="2" customWidth="1"/>
    <col min="10258" max="10258" width="12.5703125" style="2" customWidth="1"/>
    <col min="10259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2" width="14.28515625" style="2" bestFit="1" customWidth="1"/>
    <col min="10513" max="10513" width="12.140625" style="2" customWidth="1"/>
    <col min="10514" max="10514" width="12.5703125" style="2" customWidth="1"/>
    <col min="10515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8" width="14.28515625" style="2" bestFit="1" customWidth="1"/>
    <col min="10769" max="10769" width="12.140625" style="2" customWidth="1"/>
    <col min="10770" max="10770" width="12.5703125" style="2" customWidth="1"/>
    <col min="10771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4" width="14.28515625" style="2" bestFit="1" customWidth="1"/>
    <col min="11025" max="11025" width="12.140625" style="2" customWidth="1"/>
    <col min="11026" max="11026" width="12.5703125" style="2" customWidth="1"/>
    <col min="11027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0" width="14.28515625" style="2" bestFit="1" customWidth="1"/>
    <col min="11281" max="11281" width="12.140625" style="2" customWidth="1"/>
    <col min="11282" max="11282" width="12.5703125" style="2" customWidth="1"/>
    <col min="11283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6" width="14.28515625" style="2" bestFit="1" customWidth="1"/>
    <col min="11537" max="11537" width="12.140625" style="2" customWidth="1"/>
    <col min="11538" max="11538" width="12.5703125" style="2" customWidth="1"/>
    <col min="11539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2" width="14.28515625" style="2" bestFit="1" customWidth="1"/>
    <col min="11793" max="11793" width="12.140625" style="2" customWidth="1"/>
    <col min="11794" max="11794" width="12.5703125" style="2" customWidth="1"/>
    <col min="11795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8" width="14.28515625" style="2" bestFit="1" customWidth="1"/>
    <col min="12049" max="12049" width="12.140625" style="2" customWidth="1"/>
    <col min="12050" max="12050" width="12.5703125" style="2" customWidth="1"/>
    <col min="12051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4" width="14.28515625" style="2" bestFit="1" customWidth="1"/>
    <col min="12305" max="12305" width="12.140625" style="2" customWidth="1"/>
    <col min="12306" max="12306" width="12.5703125" style="2" customWidth="1"/>
    <col min="12307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0" width="14.28515625" style="2" bestFit="1" customWidth="1"/>
    <col min="12561" max="12561" width="12.140625" style="2" customWidth="1"/>
    <col min="12562" max="12562" width="12.5703125" style="2" customWidth="1"/>
    <col min="12563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6" width="14.28515625" style="2" bestFit="1" customWidth="1"/>
    <col min="12817" max="12817" width="12.140625" style="2" customWidth="1"/>
    <col min="12818" max="12818" width="12.5703125" style="2" customWidth="1"/>
    <col min="12819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2" width="14.28515625" style="2" bestFit="1" customWidth="1"/>
    <col min="13073" max="13073" width="12.140625" style="2" customWidth="1"/>
    <col min="13074" max="13074" width="12.5703125" style="2" customWidth="1"/>
    <col min="13075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8" width="14.28515625" style="2" bestFit="1" customWidth="1"/>
    <col min="13329" max="13329" width="12.140625" style="2" customWidth="1"/>
    <col min="13330" max="13330" width="12.5703125" style="2" customWidth="1"/>
    <col min="13331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4" width="14.28515625" style="2" bestFit="1" customWidth="1"/>
    <col min="13585" max="13585" width="12.140625" style="2" customWidth="1"/>
    <col min="13586" max="13586" width="12.5703125" style="2" customWidth="1"/>
    <col min="13587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0" width="14.28515625" style="2" bestFit="1" customWidth="1"/>
    <col min="13841" max="13841" width="12.140625" style="2" customWidth="1"/>
    <col min="13842" max="13842" width="12.5703125" style="2" customWidth="1"/>
    <col min="13843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6" width="14.28515625" style="2" bestFit="1" customWidth="1"/>
    <col min="14097" max="14097" width="12.140625" style="2" customWidth="1"/>
    <col min="14098" max="14098" width="12.5703125" style="2" customWidth="1"/>
    <col min="14099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2" width="14.28515625" style="2" bestFit="1" customWidth="1"/>
    <col min="14353" max="14353" width="12.140625" style="2" customWidth="1"/>
    <col min="14354" max="14354" width="12.5703125" style="2" customWidth="1"/>
    <col min="14355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8" width="14.28515625" style="2" bestFit="1" customWidth="1"/>
    <col min="14609" max="14609" width="12.140625" style="2" customWidth="1"/>
    <col min="14610" max="14610" width="12.5703125" style="2" customWidth="1"/>
    <col min="14611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4" width="14.28515625" style="2" bestFit="1" customWidth="1"/>
    <col min="14865" max="14865" width="12.140625" style="2" customWidth="1"/>
    <col min="14866" max="14866" width="12.5703125" style="2" customWidth="1"/>
    <col min="14867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0" width="14.28515625" style="2" bestFit="1" customWidth="1"/>
    <col min="15121" max="15121" width="12.140625" style="2" customWidth="1"/>
    <col min="15122" max="15122" width="12.5703125" style="2" customWidth="1"/>
    <col min="15123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6" width="14.28515625" style="2" bestFit="1" customWidth="1"/>
    <col min="15377" max="15377" width="12.140625" style="2" customWidth="1"/>
    <col min="15378" max="15378" width="12.5703125" style="2" customWidth="1"/>
    <col min="15379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2" width="14.28515625" style="2" bestFit="1" customWidth="1"/>
    <col min="15633" max="15633" width="12.140625" style="2" customWidth="1"/>
    <col min="15634" max="15634" width="12.5703125" style="2" customWidth="1"/>
    <col min="15635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8" width="14.28515625" style="2" bestFit="1" customWidth="1"/>
    <col min="15889" max="15889" width="12.140625" style="2" customWidth="1"/>
    <col min="15890" max="15890" width="12.5703125" style="2" customWidth="1"/>
    <col min="15891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4" width="14.28515625" style="2" bestFit="1" customWidth="1"/>
    <col min="16145" max="16145" width="12.140625" style="2" customWidth="1"/>
    <col min="16146" max="16146" width="12.5703125" style="2" customWidth="1"/>
    <col min="16147" max="16384" width="6.85546875" style="2"/>
  </cols>
  <sheetData>
    <row r="1" spans="1:20" ht="30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0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20" ht="18" customHeight="1" x14ac:dyDescent="0.2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R3" s="6"/>
    </row>
    <row r="4" spans="1:20" ht="12" customHeight="1" x14ac:dyDescent="0.2">
      <c r="A4" s="7" t="s">
        <v>3</v>
      </c>
      <c r="B4" s="7"/>
      <c r="C4" s="7"/>
      <c r="D4" s="7"/>
      <c r="E4" s="7"/>
      <c r="F4" s="7"/>
      <c r="G4" s="7"/>
      <c r="H4" s="8"/>
      <c r="I4" s="7"/>
      <c r="J4" s="7"/>
      <c r="K4" s="7"/>
      <c r="L4" s="7"/>
      <c r="M4" s="7"/>
      <c r="N4" s="8"/>
      <c r="O4" s="9" t="s">
        <v>4</v>
      </c>
      <c r="R4" s="10"/>
      <c r="S4" s="10"/>
    </row>
    <row r="5" spans="1:20" ht="19.5" customHeight="1" x14ac:dyDescent="0.2">
      <c r="A5" s="11" t="s">
        <v>5</v>
      </c>
      <c r="B5" s="12"/>
      <c r="C5" s="12"/>
      <c r="D5" s="12"/>
      <c r="E5" s="12"/>
      <c r="F5" s="12"/>
      <c r="G5" s="12"/>
      <c r="H5" s="13"/>
      <c r="I5" s="11" t="s">
        <v>6</v>
      </c>
      <c r="J5" s="12"/>
      <c r="K5" s="12"/>
      <c r="L5" s="12"/>
      <c r="M5" s="12"/>
      <c r="N5" s="14"/>
      <c r="O5" s="15"/>
      <c r="P5" s="4"/>
    </row>
    <row r="6" spans="1:20" ht="16.5" customHeight="1" x14ac:dyDescent="0.2">
      <c r="A6" s="16" t="s">
        <v>7</v>
      </c>
      <c r="B6" s="17"/>
      <c r="C6" s="17"/>
      <c r="D6" s="17"/>
      <c r="E6" s="17"/>
      <c r="F6" s="18"/>
      <c r="G6" s="19" t="s">
        <v>8</v>
      </c>
      <c r="H6" s="20" t="s">
        <v>9</v>
      </c>
      <c r="I6" s="21" t="s">
        <v>7</v>
      </c>
      <c r="J6" s="22"/>
      <c r="K6" s="22"/>
      <c r="L6" s="22"/>
      <c r="M6" s="23"/>
      <c r="N6" s="19" t="s">
        <v>8</v>
      </c>
      <c r="O6" s="24" t="s">
        <v>9</v>
      </c>
      <c r="Q6" s="6"/>
      <c r="R6" s="6"/>
      <c r="S6" s="6"/>
      <c r="T6" s="6"/>
    </row>
    <row r="7" spans="1:20" ht="16.350000000000001" customHeight="1" x14ac:dyDescent="0.2">
      <c r="A7" s="25" t="s">
        <v>10</v>
      </c>
      <c r="B7" s="26"/>
      <c r="C7" s="26"/>
      <c r="D7" s="26"/>
      <c r="E7" s="26"/>
      <c r="F7" s="27"/>
      <c r="G7" s="28">
        <f>SUBTOTAL(9,G8:G19)</f>
        <v>1020653.85</v>
      </c>
      <c r="H7" s="29">
        <v>1578809.22</v>
      </c>
      <c r="I7" s="25" t="s">
        <v>11</v>
      </c>
      <c r="J7" s="26"/>
      <c r="K7" s="26"/>
      <c r="L7" s="26"/>
      <c r="M7" s="27"/>
      <c r="N7" s="28">
        <f>SUBTOTAL(9,N8:N19)</f>
        <v>10876477.07</v>
      </c>
      <c r="O7" s="29">
        <v>124545.48</v>
      </c>
      <c r="P7" s="30"/>
    </row>
    <row r="8" spans="1:20" ht="13.5" customHeight="1" x14ac:dyDescent="0.2">
      <c r="A8" s="31" t="s">
        <v>12</v>
      </c>
      <c r="B8" s="32"/>
      <c r="C8" s="32"/>
      <c r="D8" s="32"/>
      <c r="E8" s="32"/>
      <c r="F8" s="33"/>
      <c r="G8" s="28">
        <f>SUBTOTAL(9,G9:G11)</f>
        <v>0</v>
      </c>
      <c r="H8" s="28">
        <v>0</v>
      </c>
      <c r="I8" s="31" t="s">
        <v>12</v>
      </c>
      <c r="J8" s="32"/>
      <c r="K8" s="32"/>
      <c r="L8" s="32"/>
      <c r="M8" s="33"/>
      <c r="N8" s="28">
        <f>SUBTOTAL(9,N9:N11)</f>
        <v>0</v>
      </c>
      <c r="O8" s="28">
        <v>0</v>
      </c>
    </row>
    <row r="9" spans="1:20" ht="13.5" customHeight="1" x14ac:dyDescent="0.2">
      <c r="A9" s="34" t="s">
        <v>13</v>
      </c>
      <c r="B9" s="35"/>
      <c r="C9" s="35"/>
      <c r="D9" s="35"/>
      <c r="E9" s="35"/>
      <c r="F9" s="36"/>
      <c r="G9" s="37">
        <f>+'[1]B.F. 00 '!D8+'[1]B.F. 05 '!D10</f>
        <v>0</v>
      </c>
      <c r="H9" s="37">
        <v>0</v>
      </c>
      <c r="I9" s="34" t="s">
        <v>13</v>
      </c>
      <c r="J9" s="35"/>
      <c r="K9" s="35"/>
      <c r="L9" s="35"/>
      <c r="M9" s="36"/>
      <c r="N9" s="37">
        <f>+'[1]B.F. 00 '!K8+'[1]B.F. 05 '!K10</f>
        <v>0</v>
      </c>
      <c r="O9" s="37">
        <v>0</v>
      </c>
      <c r="P9" s="4"/>
    </row>
    <row r="10" spans="1:20" ht="13.5" customHeight="1" x14ac:dyDescent="0.2">
      <c r="A10" s="34" t="s">
        <v>14</v>
      </c>
      <c r="B10" s="35"/>
      <c r="C10" s="35"/>
      <c r="D10" s="35"/>
      <c r="E10" s="35"/>
      <c r="F10" s="36"/>
      <c r="G10" s="37">
        <f>+'[1]B.F. 00 '!D9+'[1]B.F. 05 '!D11</f>
        <v>0</v>
      </c>
      <c r="H10" s="37">
        <v>0</v>
      </c>
      <c r="I10" s="34" t="s">
        <v>14</v>
      </c>
      <c r="J10" s="35"/>
      <c r="K10" s="35"/>
      <c r="L10" s="35"/>
      <c r="M10" s="36"/>
      <c r="N10" s="37">
        <f>+'[1]B.F. 00 '!K9+'[1]B.F. 05 '!K11</f>
        <v>0</v>
      </c>
      <c r="O10" s="37">
        <v>0</v>
      </c>
      <c r="Q10" s="6"/>
      <c r="R10" s="6"/>
      <c r="S10" s="6"/>
      <c r="T10" s="6"/>
    </row>
    <row r="11" spans="1:20" ht="13.5" customHeight="1" x14ac:dyDescent="0.2">
      <c r="A11" s="34" t="s">
        <v>15</v>
      </c>
      <c r="B11" s="35"/>
      <c r="C11" s="35"/>
      <c r="D11" s="35"/>
      <c r="E11" s="35"/>
      <c r="F11" s="36"/>
      <c r="G11" s="37">
        <f>+'[1]B.F. 00 '!D10+'[1]B.F. 05 '!D12</f>
        <v>0</v>
      </c>
      <c r="H11" s="37">
        <v>0</v>
      </c>
      <c r="I11" s="34" t="s">
        <v>15</v>
      </c>
      <c r="J11" s="35"/>
      <c r="K11" s="35"/>
      <c r="L11" s="35"/>
      <c r="M11" s="36"/>
      <c r="N11" s="37">
        <f>+'[1]B.F. 00 '!K10+'[1]B.F. 05 '!K12</f>
        <v>0</v>
      </c>
      <c r="O11" s="37">
        <v>0</v>
      </c>
      <c r="P11" s="38"/>
    </row>
    <row r="12" spans="1:20" ht="13.5" customHeight="1" x14ac:dyDescent="0.2">
      <c r="A12" s="39" t="s">
        <v>16</v>
      </c>
      <c r="B12" s="40"/>
      <c r="C12" s="40"/>
      <c r="D12" s="40"/>
      <c r="E12" s="40"/>
      <c r="F12" s="41"/>
      <c r="G12" s="42">
        <f>SUBTOTAL(9,G13:G19)</f>
        <v>1020653.85</v>
      </c>
      <c r="H12" s="42">
        <v>1578809.22</v>
      </c>
      <c r="I12" s="39" t="s">
        <v>16</v>
      </c>
      <c r="J12" s="40"/>
      <c r="K12" s="40"/>
      <c r="L12" s="40"/>
      <c r="M12" s="41"/>
      <c r="N12" s="42">
        <f>SUBTOTAL(9,N13:N19)</f>
        <v>10876477.07</v>
      </c>
      <c r="O12" s="42">
        <v>124545.48</v>
      </c>
      <c r="P12" s="4"/>
    </row>
    <row r="13" spans="1:20" ht="13.5" customHeight="1" x14ac:dyDescent="0.2">
      <c r="A13" s="34" t="s">
        <v>17</v>
      </c>
      <c r="B13" s="35"/>
      <c r="C13" s="35"/>
      <c r="D13" s="35"/>
      <c r="E13" s="35"/>
      <c r="F13" s="36"/>
      <c r="G13" s="37">
        <f>+'[1]B.F. 00 '!D12+'[1]B.F. 05 '!D14</f>
        <v>0</v>
      </c>
      <c r="H13" s="37">
        <v>0</v>
      </c>
      <c r="I13" s="34" t="s">
        <v>17</v>
      </c>
      <c r="J13" s="35"/>
      <c r="K13" s="35"/>
      <c r="L13" s="35"/>
      <c r="M13" s="36"/>
      <c r="N13" s="37">
        <f>+'[1]B.F. 00 '!K12+'[1]B.F. 05 '!K14</f>
        <v>0</v>
      </c>
      <c r="O13" s="37">
        <v>0</v>
      </c>
    </row>
    <row r="14" spans="1:20" ht="13.5" customHeight="1" x14ac:dyDescent="0.2">
      <c r="A14" s="34" t="s">
        <v>18</v>
      </c>
      <c r="B14" s="35"/>
      <c r="C14" s="35"/>
      <c r="D14" s="35"/>
      <c r="E14" s="35"/>
      <c r="F14" s="36"/>
      <c r="G14" s="37">
        <f>+'[1]B.F. 00 '!D13+'[1]B.F. 05 '!D15</f>
        <v>0</v>
      </c>
      <c r="H14" s="37">
        <v>0</v>
      </c>
      <c r="I14" s="34" t="s">
        <v>18</v>
      </c>
      <c r="J14" s="35"/>
      <c r="K14" s="35"/>
      <c r="L14" s="35"/>
      <c r="M14" s="36"/>
      <c r="N14" s="37">
        <f>+'[1]B.F. 00 '!K13+'[1]B.F. 05 '!K15</f>
        <v>0</v>
      </c>
      <c r="O14" s="37">
        <v>0</v>
      </c>
    </row>
    <row r="15" spans="1:20" ht="13.5" customHeight="1" x14ac:dyDescent="0.2">
      <c r="A15" s="34" t="s">
        <v>19</v>
      </c>
      <c r="B15" s="35"/>
      <c r="C15" s="35"/>
      <c r="D15" s="35"/>
      <c r="E15" s="35"/>
      <c r="F15" s="36"/>
      <c r="G15" s="37">
        <f>+'[1]B.F. 00 '!D14+'[1]B.F. 05 '!D16</f>
        <v>0</v>
      </c>
      <c r="H15" s="37">
        <v>0</v>
      </c>
      <c r="I15" s="34" t="s">
        <v>19</v>
      </c>
      <c r="J15" s="35"/>
      <c r="K15" s="35"/>
      <c r="L15" s="35"/>
      <c r="M15" s="36"/>
      <c r="N15" s="37">
        <f>+'[1]B.F. 00 '!K14+'[1]B.F. 05 '!K16</f>
        <v>0</v>
      </c>
      <c r="O15" s="37">
        <v>0</v>
      </c>
    </row>
    <row r="16" spans="1:20" ht="13.5" customHeight="1" x14ac:dyDescent="0.2">
      <c r="A16" s="34" t="s">
        <v>20</v>
      </c>
      <c r="B16" s="35"/>
      <c r="C16" s="35"/>
      <c r="D16" s="35"/>
      <c r="E16" s="35"/>
      <c r="F16" s="36"/>
      <c r="G16" s="37">
        <f>+'[1]B.F. 00 '!D15+'[1]B.F. 05 '!D17</f>
        <v>0</v>
      </c>
      <c r="H16" s="37">
        <v>0</v>
      </c>
      <c r="I16" s="34" t="s">
        <v>20</v>
      </c>
      <c r="J16" s="35"/>
      <c r="K16" s="35"/>
      <c r="L16" s="35"/>
      <c r="M16" s="36"/>
      <c r="N16" s="37">
        <f>+'[1]B.F. 00 '!K15+'[1]B.F. 05 '!K17</f>
        <v>0</v>
      </c>
      <c r="O16" s="37">
        <v>0</v>
      </c>
    </row>
    <row r="17" spans="1:17" ht="13.5" customHeight="1" x14ac:dyDescent="0.2">
      <c r="A17" s="34" t="s">
        <v>21</v>
      </c>
      <c r="B17" s="35"/>
      <c r="C17" s="35"/>
      <c r="D17" s="35"/>
      <c r="E17" s="35"/>
      <c r="F17" s="36"/>
      <c r="G17" s="37">
        <f>-'[1]B.F. 00 '!D16+'[1]B.F. 05 '!D18</f>
        <v>1020653.85</v>
      </c>
      <c r="H17" s="37">
        <v>1578809.22</v>
      </c>
      <c r="I17" s="34" t="s">
        <v>21</v>
      </c>
      <c r="J17" s="35"/>
      <c r="K17" s="35"/>
      <c r="L17" s="35"/>
      <c r="M17" s="36"/>
      <c r="N17" s="37">
        <f>+'[1]B.F. 00 '!K16+'[1]B.F. 05 '!K18</f>
        <v>10876477.07</v>
      </c>
      <c r="O17" s="37">
        <v>124545.48</v>
      </c>
    </row>
    <row r="18" spans="1:17" ht="13.5" customHeight="1" x14ac:dyDescent="0.2">
      <c r="A18" s="34" t="s">
        <v>22</v>
      </c>
      <c r="B18" s="35"/>
      <c r="C18" s="35"/>
      <c r="D18" s="35"/>
      <c r="E18" s="35"/>
      <c r="F18" s="36"/>
      <c r="G18" s="37">
        <f>+'[1]B.F. 00 '!D17+'[1]B.F. 05 '!D19</f>
        <v>0</v>
      </c>
      <c r="H18" s="37">
        <v>0</v>
      </c>
      <c r="I18" s="34" t="s">
        <v>22</v>
      </c>
      <c r="J18" s="35"/>
      <c r="K18" s="35"/>
      <c r="L18" s="35"/>
      <c r="M18" s="36"/>
      <c r="N18" s="37">
        <f>+'[1]B.F. 00 '!K17+'[1]B.F. 05 '!K19</f>
        <v>0</v>
      </c>
      <c r="O18" s="37">
        <v>0</v>
      </c>
    </row>
    <row r="19" spans="1:17" ht="13.5" customHeight="1" x14ac:dyDescent="0.2">
      <c r="A19" s="43" t="s">
        <v>23</v>
      </c>
      <c r="B19" s="44"/>
      <c r="C19" s="44"/>
      <c r="D19" s="44"/>
      <c r="E19" s="44"/>
      <c r="F19" s="45"/>
      <c r="G19" s="46">
        <f>+'[1]B.F. 00 '!D18+'[1]B.F. 05 '!D20</f>
        <v>0</v>
      </c>
      <c r="H19" s="46">
        <v>0</v>
      </c>
      <c r="I19" s="43" t="s">
        <v>23</v>
      </c>
      <c r="J19" s="44"/>
      <c r="K19" s="44"/>
      <c r="L19" s="44"/>
      <c r="M19" s="45"/>
      <c r="N19" s="37">
        <f>+'[1]B.F. 00 '!K18+'[1]B.F. 05 '!K20</f>
        <v>0</v>
      </c>
      <c r="O19" s="46">
        <v>0</v>
      </c>
    </row>
    <row r="20" spans="1:17" ht="16.350000000000001" customHeight="1" x14ac:dyDescent="0.2">
      <c r="A20" s="25" t="s">
        <v>24</v>
      </c>
      <c r="B20" s="26"/>
      <c r="C20" s="26"/>
      <c r="D20" s="26"/>
      <c r="E20" s="26"/>
      <c r="F20" s="27"/>
      <c r="G20" s="47">
        <f>SUM(G21:G24)</f>
        <v>69565.47</v>
      </c>
      <c r="H20" s="48">
        <v>1543.73</v>
      </c>
      <c r="I20" s="25" t="s">
        <v>25</v>
      </c>
      <c r="J20" s="26"/>
      <c r="K20" s="26"/>
      <c r="L20" s="26"/>
      <c r="M20" s="27"/>
      <c r="N20" s="49">
        <f>SUM(N21:N24)</f>
        <v>54210.35</v>
      </c>
      <c r="O20" s="50">
        <v>100070.48</v>
      </c>
      <c r="P20" s="4"/>
    </row>
    <row r="21" spans="1:17" ht="13.5" customHeight="1" x14ac:dyDescent="0.2">
      <c r="A21" s="31" t="s">
        <v>26</v>
      </c>
      <c r="B21" s="32"/>
      <c r="C21" s="32"/>
      <c r="D21" s="32"/>
      <c r="E21" s="32"/>
      <c r="F21" s="33"/>
      <c r="G21" s="37">
        <f>'[1]B.F. 00 '!D20+'[1]B.F. 05 '!D22</f>
        <v>69565.47</v>
      </c>
      <c r="H21" s="37">
        <v>1543.73</v>
      </c>
      <c r="I21" s="31" t="s">
        <v>26</v>
      </c>
      <c r="J21" s="32"/>
      <c r="K21" s="32"/>
      <c r="L21" s="32"/>
      <c r="M21" s="33"/>
      <c r="N21" s="37">
        <f>+'[1]B.F. 00 '!K20+'[1]B.F. 05 '!K22</f>
        <v>54210.35</v>
      </c>
      <c r="O21" s="37">
        <v>100070.48</v>
      </c>
    </row>
    <row r="22" spans="1:17" ht="13.5" customHeight="1" x14ac:dyDescent="0.2">
      <c r="A22" s="39" t="s">
        <v>27</v>
      </c>
      <c r="B22" s="40"/>
      <c r="C22" s="40"/>
      <c r="D22" s="40"/>
      <c r="E22" s="40"/>
      <c r="F22" s="41"/>
      <c r="G22" s="37">
        <f>+'[1]B.F. 00 '!D21+'[1]B.F. 05 '!D23</f>
        <v>0</v>
      </c>
      <c r="H22" s="37">
        <v>0</v>
      </c>
      <c r="I22" s="39" t="s">
        <v>27</v>
      </c>
      <c r="J22" s="40"/>
      <c r="K22" s="40"/>
      <c r="L22" s="40"/>
      <c r="M22" s="41"/>
      <c r="N22" s="37">
        <f>+'[1]B.F. 00 '!K21+'[1]B.F. 05 '!K23</f>
        <v>0</v>
      </c>
      <c r="O22" s="37">
        <v>0</v>
      </c>
    </row>
    <row r="23" spans="1:17" ht="13.5" customHeight="1" x14ac:dyDescent="0.2">
      <c r="A23" s="39" t="s">
        <v>28</v>
      </c>
      <c r="B23" s="40"/>
      <c r="C23" s="40"/>
      <c r="D23" s="40"/>
      <c r="E23" s="40"/>
      <c r="F23" s="41"/>
      <c r="G23" s="37">
        <f>+'[1]B.F. 00 '!D22+'[1]B.F. 05 '!D24</f>
        <v>0</v>
      </c>
      <c r="H23" s="37">
        <v>0</v>
      </c>
      <c r="I23" s="39" t="s">
        <v>28</v>
      </c>
      <c r="J23" s="40"/>
      <c r="K23" s="40"/>
      <c r="L23" s="40"/>
      <c r="M23" s="41"/>
      <c r="N23" s="37">
        <f>+'[1]B.F. 00 '!K22+'[1]B.F. 05 '!K24</f>
        <v>0</v>
      </c>
      <c r="O23" s="37">
        <v>0</v>
      </c>
    </row>
    <row r="24" spans="1:17" ht="13.5" customHeight="1" x14ac:dyDescent="0.2">
      <c r="A24" s="51" t="s">
        <v>29</v>
      </c>
      <c r="B24" s="52"/>
      <c r="C24" s="52"/>
      <c r="D24" s="52"/>
      <c r="E24" s="52"/>
      <c r="F24" s="53"/>
      <c r="G24" s="37">
        <f>+'[1]B.F. 00 '!D23+'[1]B.F. 05 '!D25</f>
        <v>0</v>
      </c>
      <c r="H24" s="37">
        <v>0</v>
      </c>
      <c r="I24" s="51" t="s">
        <v>29</v>
      </c>
      <c r="J24" s="52"/>
      <c r="K24" s="52"/>
      <c r="L24" s="52"/>
      <c r="M24" s="53"/>
      <c r="N24" s="37">
        <f>+'[1]B.F. 00 '!K23+'[1]B.F. 05 '!K25</f>
        <v>0</v>
      </c>
      <c r="O24" s="37">
        <v>0</v>
      </c>
    </row>
    <row r="25" spans="1:17" ht="16.350000000000001" customHeight="1" x14ac:dyDescent="0.2">
      <c r="A25" s="25" t="s">
        <v>30</v>
      </c>
      <c r="B25" s="26"/>
      <c r="C25" s="26"/>
      <c r="D25" s="26"/>
      <c r="E25" s="26"/>
      <c r="F25" s="27"/>
      <c r="G25" s="49">
        <f>SUBTOTAL(9,G26:G29)</f>
        <v>12300200.4</v>
      </c>
      <c r="H25" s="49">
        <v>9181581.0600000005</v>
      </c>
      <c r="I25" s="25" t="s">
        <v>31</v>
      </c>
      <c r="J25" s="26"/>
      <c r="K25" s="26"/>
      <c r="L25" s="26"/>
      <c r="M25" s="27"/>
      <c r="N25" s="49">
        <f>SUBTOTAL(9,N26:N29)</f>
        <v>70615.47</v>
      </c>
      <c r="O25" s="49">
        <v>55643.16</v>
      </c>
    </row>
    <row r="26" spans="1:17" ht="13.5" customHeight="1" x14ac:dyDescent="0.2">
      <c r="A26" s="31" t="s">
        <v>32</v>
      </c>
      <c r="B26" s="32"/>
      <c r="C26" s="32"/>
      <c r="D26" s="32"/>
      <c r="E26" s="32"/>
      <c r="F26" s="33"/>
      <c r="G26" s="54">
        <f>+'[1]B.F. 00 '!D25+'[1]B.F. 05 '!D28</f>
        <v>10876477.07</v>
      </c>
      <c r="H26" s="55">
        <v>124545.48</v>
      </c>
      <c r="I26" s="31" t="s">
        <v>33</v>
      </c>
      <c r="J26" s="32"/>
      <c r="K26" s="32"/>
      <c r="L26" s="32"/>
      <c r="M26" s="33"/>
      <c r="N26" s="37">
        <f>+'[1]B.F. 00 '!K25+'[1]B.F. 05 '!K28</f>
        <v>60923.74</v>
      </c>
      <c r="O26" s="56">
        <v>51433.08</v>
      </c>
    </row>
    <row r="27" spans="1:17" ht="13.5" customHeight="1" x14ac:dyDescent="0.2">
      <c r="A27" s="39" t="s">
        <v>34</v>
      </c>
      <c r="B27" s="40"/>
      <c r="C27" s="40"/>
      <c r="D27" s="40"/>
      <c r="E27" s="40"/>
      <c r="F27" s="41"/>
      <c r="G27" s="37">
        <f>+'[1]B.F. 00 '!D27+'[1]B.F. 05 '!D30</f>
        <v>0</v>
      </c>
      <c r="H27" s="56">
        <v>0</v>
      </c>
      <c r="I27" s="39" t="s">
        <v>35</v>
      </c>
      <c r="J27" s="40"/>
      <c r="K27" s="40"/>
      <c r="L27" s="40"/>
      <c r="M27" s="41"/>
      <c r="N27" s="37">
        <f>+'[1]B.F. 00 '!K27+'[1]B.F. 05 '!K30</f>
        <v>8641.73</v>
      </c>
      <c r="O27" s="56">
        <v>0</v>
      </c>
    </row>
    <row r="28" spans="1:17" ht="13.5" customHeight="1" x14ac:dyDescent="0.2">
      <c r="A28" s="39" t="s">
        <v>36</v>
      </c>
      <c r="B28" s="40"/>
      <c r="C28" s="40"/>
      <c r="D28" s="40"/>
      <c r="E28" s="40"/>
      <c r="F28" s="41"/>
      <c r="G28" s="37">
        <f>+'[1]B.F. 00 '!D29+'[1]B.F. 05 '!D31</f>
        <v>0</v>
      </c>
      <c r="H28" s="37">
        <v>0</v>
      </c>
      <c r="I28" s="39" t="s">
        <v>36</v>
      </c>
      <c r="J28" s="40"/>
      <c r="K28" s="40"/>
      <c r="L28" s="40"/>
      <c r="M28" s="41"/>
      <c r="N28" s="37">
        <f>+'[1]B.F. 00 '!K29+'[1]B.F. 05 '!K31</f>
        <v>0</v>
      </c>
      <c r="O28" s="37">
        <v>0</v>
      </c>
    </row>
    <row r="29" spans="1:17" ht="13.5" customHeight="1" x14ac:dyDescent="0.2">
      <c r="A29" s="51" t="s">
        <v>37</v>
      </c>
      <c r="B29" s="52"/>
      <c r="C29" s="52"/>
      <c r="D29" s="52"/>
      <c r="E29" s="52"/>
      <c r="F29" s="53"/>
      <c r="G29" s="46">
        <f>+'[1]B.F. 00 '!D30+'[1]B.F. 05 '!D32</f>
        <v>1423723.33</v>
      </c>
      <c r="H29" s="57">
        <v>9057035.5800000001</v>
      </c>
      <c r="I29" s="51" t="s">
        <v>38</v>
      </c>
      <c r="J29" s="52"/>
      <c r="K29" s="52"/>
      <c r="L29" s="52"/>
      <c r="M29" s="53"/>
      <c r="N29" s="37">
        <f>+'[1]B.F. 00 '!K30+'[1]B.F. 05 '!K32</f>
        <v>1050</v>
      </c>
      <c r="O29" s="37">
        <v>4210.08</v>
      </c>
    </row>
    <row r="30" spans="1:17" ht="16.350000000000001" customHeight="1" x14ac:dyDescent="0.2">
      <c r="A30" s="25" t="s">
        <v>39</v>
      </c>
      <c r="B30" s="26"/>
      <c r="C30" s="26"/>
      <c r="D30" s="26"/>
      <c r="E30" s="26"/>
      <c r="F30" s="27"/>
      <c r="G30" s="49">
        <f>SUBTOTAL(9,G31:G32)</f>
        <v>217676440.76999998</v>
      </c>
      <c r="H30" s="49">
        <v>230058548.22</v>
      </c>
      <c r="I30" s="25" t="s">
        <v>40</v>
      </c>
      <c r="J30" s="26"/>
      <c r="K30" s="26"/>
      <c r="L30" s="26"/>
      <c r="M30" s="27"/>
      <c r="N30" s="49">
        <f>SUM(N31:N32)</f>
        <v>220065557.59999999</v>
      </c>
      <c r="O30" s="49">
        <v>240540223.11000001</v>
      </c>
      <c r="Q30" s="58"/>
    </row>
    <row r="31" spans="1:17" ht="13.5" customHeight="1" x14ac:dyDescent="0.2">
      <c r="A31" s="31" t="s">
        <v>41</v>
      </c>
      <c r="B31" s="32"/>
      <c r="C31" s="32"/>
      <c r="D31" s="32"/>
      <c r="E31" s="32"/>
      <c r="F31" s="33"/>
      <c r="G31" s="59">
        <f>+'[1]B.F. 05 '!D35</f>
        <v>217676440.76999998</v>
      </c>
      <c r="H31" s="60">
        <v>230058548.22</v>
      </c>
      <c r="I31" s="31" t="s">
        <v>41</v>
      </c>
      <c r="J31" s="32"/>
      <c r="K31" s="32"/>
      <c r="L31" s="32"/>
      <c r="M31" s="33"/>
      <c r="N31" s="59">
        <f>+'[1]B.F. 00 '!K33+'[1]B.F. 05 '!K35</f>
        <v>220065557.59999999</v>
      </c>
      <c r="O31" s="59">
        <v>240540223.11000001</v>
      </c>
    </row>
    <row r="32" spans="1:17" ht="13.5" customHeight="1" x14ac:dyDescent="0.2">
      <c r="A32" s="51" t="s">
        <v>36</v>
      </c>
      <c r="B32" s="52"/>
      <c r="C32" s="52"/>
      <c r="D32" s="52"/>
      <c r="E32" s="52"/>
      <c r="F32" s="53"/>
      <c r="G32" s="61">
        <v>0</v>
      </c>
      <c r="H32" s="61">
        <v>0</v>
      </c>
      <c r="I32" s="51" t="s">
        <v>36</v>
      </c>
      <c r="J32" s="52"/>
      <c r="K32" s="52"/>
      <c r="L32" s="52"/>
      <c r="M32" s="53"/>
      <c r="N32" s="62"/>
      <c r="O32" s="62"/>
      <c r="P32" s="63" t="s">
        <v>42</v>
      </c>
      <c r="Q32" s="64" t="s">
        <v>43</v>
      </c>
    </row>
    <row r="33" spans="1:255" ht="16.350000000000001" customHeight="1" x14ac:dyDescent="0.2">
      <c r="A33" s="25" t="s">
        <v>44</v>
      </c>
      <c r="B33" s="26"/>
      <c r="C33" s="26"/>
      <c r="D33" s="26"/>
      <c r="E33" s="26"/>
      <c r="F33" s="27"/>
      <c r="G33" s="65">
        <f>G7+G20+G25+G30</f>
        <v>231066860.48999998</v>
      </c>
      <c r="H33" s="65">
        <v>240820482.22999999</v>
      </c>
      <c r="I33" s="25" t="s">
        <v>45</v>
      </c>
      <c r="J33" s="26"/>
      <c r="K33" s="26"/>
      <c r="L33" s="26"/>
      <c r="M33" s="27"/>
      <c r="N33" s="65">
        <f>N7+N20+N25+N30</f>
        <v>231066860.49000001</v>
      </c>
      <c r="O33" s="65">
        <v>240820482.23000002</v>
      </c>
      <c r="P33" s="66">
        <f>G33-N33</f>
        <v>0</v>
      </c>
      <c r="Q33" s="67">
        <f>H33-O33</f>
        <v>0</v>
      </c>
    </row>
    <row r="34" spans="1:255" s="73" customFormat="1" ht="15.75" customHeight="1" x14ac:dyDescent="0.2">
      <c r="A34" s="68" t="s">
        <v>46</v>
      </c>
      <c r="B34" s="69"/>
      <c r="C34" s="69"/>
      <c r="D34" s="69"/>
      <c r="E34" s="70"/>
      <c r="F34" s="70"/>
      <c r="G34" s="70"/>
      <c r="H34" s="70"/>
      <c r="I34" s="69"/>
      <c r="J34" s="69"/>
      <c r="K34" s="69"/>
      <c r="L34" s="70"/>
      <c r="M34" s="70"/>
      <c r="N34" s="71"/>
      <c r="O34" s="72"/>
    </row>
    <row r="35" spans="1:255" s="73" customFormat="1" ht="12.75" customHeight="1" x14ac:dyDescent="0.2">
      <c r="A35" s="74" t="s">
        <v>47</v>
      </c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6"/>
      <c r="N35" s="76"/>
      <c r="O35" s="72"/>
    </row>
    <row r="36" spans="1:255" s="72" customFormat="1" ht="14.25" customHeight="1" x14ac:dyDescent="0.2">
      <c r="A36" s="77" t="s">
        <v>48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8"/>
    </row>
    <row r="37" spans="1:255" s="79" customFormat="1" ht="14.25" customHeight="1" x14ac:dyDescent="0.2">
      <c r="A37" s="77" t="s">
        <v>49</v>
      </c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8"/>
      <c r="O37" s="72"/>
    </row>
    <row r="38" spans="1:255" s="79" customFormat="1" ht="14.25" customHeight="1" x14ac:dyDescent="0.2">
      <c r="A38" s="77" t="s">
        <v>50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8"/>
      <c r="O38" s="72"/>
    </row>
    <row r="39" spans="1:255" s="79" customFormat="1" ht="14.25" customHeight="1" x14ac:dyDescent="0.2">
      <c r="A39" s="80" t="s">
        <v>51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72"/>
    </row>
    <row r="40" spans="1:255" s="79" customFormat="1" ht="14.25" customHeight="1" x14ac:dyDescent="0.2">
      <c r="A40" s="80" t="s">
        <v>52</v>
      </c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</row>
    <row r="41" spans="1:255" s="79" customFormat="1" ht="14.25" customHeight="1" x14ac:dyDescent="0.2">
      <c r="A41" s="81" t="s">
        <v>53</v>
      </c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2"/>
      <c r="O41" s="72"/>
      <c r="P41" s="83"/>
    </row>
    <row r="42" spans="1:255" s="79" customFormat="1" ht="14.25" customHeight="1" x14ac:dyDescent="0.2">
      <c r="A42" s="81" t="s">
        <v>54</v>
      </c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4"/>
      <c r="O42" s="82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  <c r="CU42" s="85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85"/>
      <c r="DU42" s="85"/>
      <c r="DV42" s="85"/>
      <c r="DW42" s="85"/>
      <c r="DX42" s="85"/>
      <c r="DY42" s="85"/>
      <c r="DZ42" s="85"/>
      <c r="EA42" s="85"/>
      <c r="EB42" s="85"/>
      <c r="EC42" s="85"/>
      <c r="ED42" s="85"/>
      <c r="EE42" s="85"/>
      <c r="EF42" s="85"/>
      <c r="EG42" s="85"/>
      <c r="EH42" s="85"/>
      <c r="EI42" s="85"/>
      <c r="EJ42" s="85"/>
      <c r="EK42" s="85"/>
      <c r="EL42" s="85"/>
      <c r="EM42" s="85"/>
      <c r="EN42" s="85"/>
      <c r="EO42" s="85"/>
      <c r="EP42" s="85"/>
      <c r="EQ42" s="85"/>
      <c r="ER42" s="85"/>
      <c r="ES42" s="85"/>
      <c r="ET42" s="85"/>
      <c r="EU42" s="85"/>
      <c r="EV42" s="85"/>
      <c r="EW42" s="85"/>
      <c r="EX42" s="85"/>
      <c r="EY42" s="85"/>
      <c r="EZ42" s="85"/>
      <c r="FA42" s="85"/>
      <c r="FB42" s="85"/>
      <c r="FC42" s="85"/>
      <c r="FD42" s="85"/>
      <c r="FE42" s="85"/>
      <c r="FF42" s="85"/>
      <c r="FG42" s="85"/>
      <c r="FH42" s="85"/>
      <c r="FI42" s="85"/>
      <c r="FJ42" s="85"/>
      <c r="FK42" s="85"/>
      <c r="FL42" s="85"/>
      <c r="FM42" s="85"/>
      <c r="FN42" s="85"/>
      <c r="FO42" s="85"/>
      <c r="FP42" s="85"/>
      <c r="FQ42" s="85"/>
      <c r="FR42" s="85"/>
      <c r="FS42" s="85"/>
      <c r="FT42" s="85"/>
      <c r="FU42" s="85"/>
      <c r="FV42" s="85"/>
      <c r="FW42" s="85"/>
      <c r="FX42" s="85"/>
      <c r="FY42" s="85"/>
      <c r="FZ42" s="85"/>
      <c r="GA42" s="85"/>
      <c r="GB42" s="85"/>
      <c r="GC42" s="85"/>
      <c r="GD42" s="85"/>
      <c r="GE42" s="85"/>
      <c r="GF42" s="85"/>
      <c r="GG42" s="85"/>
      <c r="GH42" s="85"/>
      <c r="GI42" s="85"/>
      <c r="GJ42" s="85"/>
      <c r="GK42" s="85"/>
      <c r="GL42" s="85"/>
      <c r="GM42" s="85"/>
      <c r="GN42" s="85"/>
      <c r="GO42" s="85"/>
      <c r="GP42" s="85"/>
      <c r="GQ42" s="85"/>
      <c r="GR42" s="85"/>
      <c r="GS42" s="85"/>
      <c r="GT42" s="85"/>
      <c r="GU42" s="85"/>
      <c r="GV42" s="85"/>
      <c r="GW42" s="85"/>
      <c r="GX42" s="85"/>
      <c r="GY42" s="85"/>
      <c r="GZ42" s="85"/>
      <c r="HA42" s="85"/>
      <c r="HB42" s="85"/>
      <c r="HC42" s="85"/>
      <c r="HD42" s="85"/>
      <c r="HE42" s="85"/>
      <c r="HF42" s="85"/>
      <c r="HG42" s="85"/>
      <c r="HH42" s="85"/>
      <c r="HI42" s="85"/>
      <c r="HJ42" s="85"/>
      <c r="HK42" s="85"/>
      <c r="HL42" s="85"/>
      <c r="HM42" s="85"/>
      <c r="HN42" s="85"/>
      <c r="HO42" s="85"/>
      <c r="HP42" s="85"/>
      <c r="HQ42" s="85"/>
      <c r="HR42" s="85"/>
      <c r="HS42" s="85"/>
      <c r="HT42" s="85"/>
      <c r="HU42" s="85"/>
      <c r="HV42" s="85"/>
      <c r="HW42" s="85"/>
      <c r="HX42" s="85"/>
      <c r="HY42" s="85"/>
      <c r="HZ42" s="85"/>
      <c r="IA42" s="85"/>
      <c r="IB42" s="85"/>
      <c r="IC42" s="85"/>
      <c r="ID42" s="85"/>
      <c r="IE42" s="85"/>
      <c r="IF42" s="85"/>
      <c r="IG42" s="85"/>
      <c r="IH42" s="85"/>
      <c r="II42" s="85"/>
      <c r="IJ42" s="85"/>
      <c r="IK42" s="85"/>
      <c r="IL42" s="85"/>
      <c r="IM42" s="85"/>
      <c r="IN42" s="85"/>
      <c r="IO42" s="85"/>
      <c r="IP42" s="85"/>
      <c r="IQ42" s="85"/>
      <c r="IR42" s="85"/>
      <c r="IS42" s="85"/>
      <c r="IT42" s="85"/>
      <c r="IU42" s="85"/>
    </row>
    <row r="43" spans="1:255" s="79" customFormat="1" ht="14.25" customHeight="1" x14ac:dyDescent="0.2">
      <c r="A43" s="80" t="s">
        <v>55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2"/>
      <c r="O43" s="72"/>
      <c r="P43" s="83"/>
    </row>
    <row r="44" spans="1:255" s="87" customFormat="1" ht="14.25" customHeight="1" x14ac:dyDescent="0.2">
      <c r="A44" s="81" t="s">
        <v>56</v>
      </c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4"/>
      <c r="O44" s="72"/>
      <c r="P44" s="86"/>
    </row>
    <row r="45" spans="1:255" s="87" customFormat="1" ht="14.25" customHeight="1" x14ac:dyDescent="0.2">
      <c r="A45" s="80" t="s">
        <v>57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6"/>
    </row>
    <row r="46" spans="1:255" s="87" customFormat="1" ht="14.25" customHeight="1" x14ac:dyDescent="0.2">
      <c r="A46" s="80" t="s">
        <v>58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</row>
    <row r="47" spans="1:255" s="79" customFormat="1" ht="14.25" customHeight="1" x14ac:dyDescent="0.2">
      <c r="A47" s="80" t="s">
        <v>59</v>
      </c>
      <c r="B47" s="80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4"/>
      <c r="N47" s="84"/>
      <c r="O47" s="72"/>
      <c r="P47" s="88"/>
    </row>
    <row r="48" spans="1:255" s="79" customFormat="1" ht="14.25" customHeight="1" x14ac:dyDescent="0.2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72"/>
      <c r="P48" s="88"/>
    </row>
    <row r="49" spans="1:255" s="79" customFormat="1" ht="14.25" customHeight="1" x14ac:dyDescent="0.2">
      <c r="A49" s="84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72"/>
      <c r="P49" s="88"/>
    </row>
    <row r="50" spans="1:255" s="73" customFormat="1" ht="11.25" customHeight="1" x14ac:dyDescent="0.2">
      <c r="A50" s="89"/>
      <c r="B50" s="89"/>
      <c r="C50" s="90"/>
      <c r="D50" s="90"/>
      <c r="E50" s="90"/>
      <c r="F50" s="89"/>
      <c r="G50" s="91"/>
      <c r="H50" s="90"/>
      <c r="I50" s="92"/>
      <c r="J50" s="92"/>
      <c r="K50" s="91"/>
      <c r="L50" s="91"/>
      <c r="M50" s="92"/>
      <c r="N50" s="90"/>
      <c r="O50" s="93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4"/>
      <c r="BQ50" s="94"/>
      <c r="BR50" s="94"/>
      <c r="BS50" s="94"/>
      <c r="BT50" s="94"/>
      <c r="BU50" s="94"/>
      <c r="BV50" s="94"/>
      <c r="BW50" s="94"/>
      <c r="BX50" s="94"/>
      <c r="BY50" s="94"/>
      <c r="BZ50" s="94"/>
      <c r="CA50" s="94"/>
      <c r="CB50" s="94"/>
      <c r="CC50" s="94"/>
      <c r="CD50" s="94"/>
      <c r="CE50" s="94"/>
      <c r="CF50" s="94"/>
      <c r="CG50" s="94"/>
      <c r="CH50" s="94"/>
      <c r="CI50" s="94"/>
      <c r="CJ50" s="94"/>
      <c r="CK50" s="94"/>
      <c r="CL50" s="94"/>
      <c r="CM50" s="94"/>
      <c r="CN50" s="94"/>
      <c r="CO50" s="94"/>
      <c r="CP50" s="94"/>
      <c r="CQ50" s="94"/>
      <c r="CR50" s="94"/>
      <c r="CS50" s="94"/>
      <c r="CT50" s="94"/>
      <c r="CU50" s="94"/>
      <c r="CV50" s="94"/>
      <c r="CW50" s="94"/>
      <c r="CX50" s="94"/>
      <c r="CY50" s="94"/>
      <c r="CZ50" s="94"/>
      <c r="DA50" s="94"/>
      <c r="DB50" s="94"/>
      <c r="DC50" s="94"/>
      <c r="DD50" s="94"/>
      <c r="DE50" s="94"/>
      <c r="DF50" s="94"/>
      <c r="DG50" s="94"/>
      <c r="DH50" s="94"/>
      <c r="DI50" s="94"/>
      <c r="DJ50" s="94"/>
      <c r="DK50" s="94"/>
      <c r="DL50" s="94"/>
      <c r="DM50" s="94"/>
      <c r="DN50" s="94"/>
      <c r="DO50" s="94"/>
      <c r="DP50" s="94"/>
      <c r="DQ50" s="94"/>
      <c r="DR50" s="94"/>
      <c r="DS50" s="94"/>
      <c r="DT50" s="94"/>
      <c r="DU50" s="94"/>
      <c r="DV50" s="94"/>
      <c r="DW50" s="94"/>
      <c r="DX50" s="94"/>
      <c r="DY50" s="94"/>
      <c r="DZ50" s="94"/>
      <c r="EA50" s="94"/>
      <c r="EB50" s="94"/>
      <c r="EC50" s="94"/>
      <c r="ED50" s="94"/>
      <c r="EE50" s="94"/>
      <c r="EF50" s="94"/>
      <c r="EG50" s="94"/>
      <c r="EH50" s="94"/>
      <c r="EI50" s="94"/>
      <c r="EJ50" s="94"/>
      <c r="EK50" s="94"/>
      <c r="EL50" s="94"/>
      <c r="EM50" s="94"/>
      <c r="EN50" s="94"/>
      <c r="EO50" s="94"/>
      <c r="EP50" s="94"/>
      <c r="EQ50" s="94"/>
      <c r="ER50" s="94"/>
      <c r="ES50" s="94"/>
      <c r="ET50" s="94"/>
      <c r="EU50" s="94"/>
      <c r="EV50" s="94"/>
      <c r="EW50" s="94"/>
      <c r="EX50" s="94"/>
      <c r="EY50" s="94"/>
      <c r="EZ50" s="94"/>
      <c r="FA50" s="94"/>
      <c r="FB50" s="94"/>
      <c r="FC50" s="94"/>
      <c r="FD50" s="94"/>
      <c r="FE50" s="94"/>
      <c r="FF50" s="94"/>
      <c r="FG50" s="94"/>
      <c r="FH50" s="94"/>
      <c r="FI50" s="94"/>
      <c r="FJ50" s="94"/>
      <c r="FK50" s="94"/>
      <c r="FL50" s="94"/>
      <c r="FM50" s="94"/>
      <c r="FN50" s="94"/>
      <c r="FO50" s="94"/>
      <c r="FP50" s="94"/>
      <c r="FQ50" s="94"/>
      <c r="FR50" s="94"/>
      <c r="FS50" s="94"/>
      <c r="FT50" s="94"/>
      <c r="FU50" s="94"/>
      <c r="FV50" s="94"/>
      <c r="FW50" s="94"/>
      <c r="FX50" s="94"/>
      <c r="FY50" s="94"/>
      <c r="FZ50" s="94"/>
      <c r="GA50" s="94"/>
      <c r="GB50" s="94"/>
      <c r="GC50" s="94"/>
      <c r="GD50" s="94"/>
      <c r="GE50" s="94"/>
      <c r="GF50" s="94"/>
      <c r="GG50" s="94"/>
      <c r="GH50" s="94"/>
      <c r="GI50" s="94"/>
      <c r="GJ50" s="94"/>
      <c r="GK50" s="94"/>
      <c r="GL50" s="94"/>
      <c r="GM50" s="94"/>
      <c r="GN50" s="94"/>
      <c r="GO50" s="94"/>
      <c r="GP50" s="94"/>
      <c r="GQ50" s="94"/>
      <c r="GR50" s="94"/>
      <c r="GS50" s="94"/>
      <c r="GT50" s="94"/>
      <c r="GU50" s="94"/>
      <c r="GV50" s="94"/>
      <c r="GW50" s="94"/>
      <c r="GX50" s="94"/>
      <c r="GY50" s="94"/>
      <c r="GZ50" s="94"/>
      <c r="HA50" s="94"/>
      <c r="HB50" s="94"/>
      <c r="HC50" s="94"/>
      <c r="HD50" s="94"/>
      <c r="HE50" s="94"/>
      <c r="HF50" s="94"/>
      <c r="HG50" s="94"/>
      <c r="HH50" s="94"/>
      <c r="HI50" s="94"/>
      <c r="HJ50" s="94"/>
      <c r="HK50" s="94"/>
      <c r="HL50" s="94"/>
      <c r="HM50" s="94"/>
      <c r="HN50" s="94"/>
      <c r="HO50" s="94"/>
      <c r="HP50" s="94"/>
      <c r="HQ50" s="94"/>
      <c r="HR50" s="94"/>
      <c r="HS50" s="94"/>
      <c r="HT50" s="94"/>
      <c r="HU50" s="94"/>
      <c r="HV50" s="94"/>
      <c r="HW50" s="94"/>
      <c r="HX50" s="94"/>
      <c r="HY50" s="94"/>
      <c r="HZ50" s="94"/>
      <c r="IA50" s="94"/>
      <c r="IB50" s="94"/>
      <c r="IC50" s="94"/>
      <c r="ID50" s="94"/>
      <c r="IE50" s="94"/>
      <c r="IF50" s="94"/>
      <c r="IG50" s="94"/>
      <c r="IH50" s="94"/>
      <c r="II50" s="94"/>
      <c r="IJ50" s="94"/>
      <c r="IK50" s="94"/>
      <c r="IL50" s="94"/>
      <c r="IM50" s="94"/>
      <c r="IN50" s="94"/>
      <c r="IO50" s="94"/>
      <c r="IP50" s="94"/>
      <c r="IQ50" s="94"/>
      <c r="IR50" s="94"/>
      <c r="IS50" s="94"/>
      <c r="IT50" s="94"/>
      <c r="IU50" s="94"/>
    </row>
    <row r="51" spans="1:255" s="97" customFormat="1" ht="13.5" customHeight="1" x14ac:dyDescent="0.2">
      <c r="A51" s="90"/>
      <c r="B51" s="90"/>
      <c r="C51" s="95"/>
      <c r="D51" s="95"/>
      <c r="E51" s="95"/>
      <c r="F51" s="90"/>
      <c r="G51" s="90"/>
      <c r="H51" s="92" t="s">
        <v>60</v>
      </c>
      <c r="I51" s="92"/>
      <c r="J51" s="95"/>
      <c r="K51" s="96"/>
      <c r="L51" s="96"/>
      <c r="M51" s="92"/>
      <c r="N51" s="90" t="s">
        <v>61</v>
      </c>
      <c r="O51" s="93"/>
    </row>
    <row r="52" spans="1:255" ht="13.5" customHeight="1" x14ac:dyDescent="0.2">
      <c r="A52" s="89"/>
      <c r="B52" s="89"/>
      <c r="C52" s="98"/>
      <c r="D52" s="98"/>
      <c r="E52" s="98"/>
      <c r="F52" s="89"/>
      <c r="G52" s="98"/>
      <c r="H52" s="95" t="s">
        <v>62</v>
      </c>
      <c r="I52" s="95"/>
      <c r="J52" s="98"/>
      <c r="K52" s="63"/>
      <c r="L52" s="63"/>
      <c r="M52" s="95"/>
      <c r="N52" s="95" t="s">
        <v>63</v>
      </c>
      <c r="O52" s="99"/>
    </row>
    <row r="53" spans="1:255" ht="13.5" customHeight="1" x14ac:dyDescent="0.2">
      <c r="A53" s="89"/>
      <c r="B53" s="89"/>
      <c r="C53" s="89"/>
      <c r="D53" s="89"/>
      <c r="E53" s="89"/>
      <c r="F53" s="89"/>
      <c r="H53" s="98" t="s">
        <v>64</v>
      </c>
      <c r="I53" s="98"/>
      <c r="J53" s="98"/>
      <c r="K53" s="63"/>
      <c r="L53" s="63"/>
      <c r="M53" s="98"/>
      <c r="N53" s="100" t="s">
        <v>65</v>
      </c>
      <c r="O53" s="101"/>
    </row>
    <row r="54" spans="1:255" ht="13.5" customHeight="1" x14ac:dyDescent="0.2">
      <c r="A54" s="63"/>
      <c r="B54" s="63"/>
      <c r="C54" s="63"/>
      <c r="D54" s="63"/>
      <c r="E54" s="63"/>
      <c r="F54" s="63"/>
      <c r="G54" s="89"/>
      <c r="H54" s="98" t="s">
        <v>66</v>
      </c>
      <c r="I54" s="98"/>
      <c r="J54" s="63"/>
      <c r="K54" s="63"/>
      <c r="L54" s="63"/>
      <c r="M54" s="98"/>
      <c r="N54" s="98" t="s">
        <v>66</v>
      </c>
      <c r="O54" s="102"/>
    </row>
    <row r="55" spans="1:255" ht="13.5" customHeight="1" x14ac:dyDescent="0.2">
      <c r="M55" s="63"/>
      <c r="N55" s="63"/>
      <c r="O55" s="102"/>
    </row>
    <row r="57" spans="1:255" ht="13.5" customHeight="1" x14ac:dyDescent="0.2">
      <c r="E57" s="103"/>
      <c r="F57" s="97"/>
      <c r="G57" s="97"/>
      <c r="H57" s="97"/>
      <c r="I57" s="97"/>
      <c r="J57" s="97"/>
      <c r="K57" s="97"/>
    </row>
    <row r="59" spans="1:255" ht="13.5" customHeight="1" x14ac:dyDescent="0.2">
      <c r="B59" s="4"/>
    </row>
    <row r="60" spans="1:255" ht="11.25" customHeight="1" x14ac:dyDescent="0.2">
      <c r="B60" s="105"/>
    </row>
    <row r="61" spans="1:255" ht="24" customHeight="1" x14ac:dyDescent="0.2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</row>
    <row r="62" spans="1:255" ht="34.5" customHeight="1" x14ac:dyDescent="0.2">
      <c r="A62" s="107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</row>
  </sheetData>
  <mergeCells count="75">
    <mergeCell ref="A61:N61"/>
    <mergeCell ref="A62:N62"/>
    <mergeCell ref="A42:M42"/>
    <mergeCell ref="A43:M43"/>
    <mergeCell ref="A44:M44"/>
    <mergeCell ref="A45:O45"/>
    <mergeCell ref="A46:O46"/>
    <mergeCell ref="A47:L47"/>
    <mergeCell ref="A36:M36"/>
    <mergeCell ref="A37:M37"/>
    <mergeCell ref="A38:M38"/>
    <mergeCell ref="A39:N39"/>
    <mergeCell ref="A40:O40"/>
    <mergeCell ref="A41:M41"/>
    <mergeCell ref="A31:F31"/>
    <mergeCell ref="I31:M31"/>
    <mergeCell ref="A32:F32"/>
    <mergeCell ref="I32:M32"/>
    <mergeCell ref="A33:F33"/>
    <mergeCell ref="I33:M33"/>
    <mergeCell ref="A28:F28"/>
    <mergeCell ref="I28:M28"/>
    <mergeCell ref="A29:F29"/>
    <mergeCell ref="I29:M29"/>
    <mergeCell ref="A30:F30"/>
    <mergeCell ref="I30:M30"/>
    <mergeCell ref="A25:F25"/>
    <mergeCell ref="I25:M25"/>
    <mergeCell ref="A26:F26"/>
    <mergeCell ref="I26:M26"/>
    <mergeCell ref="A27:F27"/>
    <mergeCell ref="I27:M27"/>
    <mergeCell ref="A22:F22"/>
    <mergeCell ref="I22:M22"/>
    <mergeCell ref="A23:F23"/>
    <mergeCell ref="I23:M23"/>
    <mergeCell ref="A24:F24"/>
    <mergeCell ref="I24:M24"/>
    <mergeCell ref="A19:F19"/>
    <mergeCell ref="I19:M19"/>
    <mergeCell ref="A20:F20"/>
    <mergeCell ref="I20:M20"/>
    <mergeCell ref="A21:F21"/>
    <mergeCell ref="I21:M21"/>
    <mergeCell ref="A16:F16"/>
    <mergeCell ref="I16:M16"/>
    <mergeCell ref="A17:F17"/>
    <mergeCell ref="I17:M17"/>
    <mergeCell ref="A18:F18"/>
    <mergeCell ref="I18:M18"/>
    <mergeCell ref="A13:F13"/>
    <mergeCell ref="I13:M13"/>
    <mergeCell ref="A14:F14"/>
    <mergeCell ref="I14:M14"/>
    <mergeCell ref="A15:F15"/>
    <mergeCell ref="I15:M15"/>
    <mergeCell ref="A10:F10"/>
    <mergeCell ref="I10:M10"/>
    <mergeCell ref="A11:F11"/>
    <mergeCell ref="I11:M11"/>
    <mergeCell ref="A12:F12"/>
    <mergeCell ref="I12:M12"/>
    <mergeCell ref="A7:F7"/>
    <mergeCell ref="I7:M7"/>
    <mergeCell ref="A8:F8"/>
    <mergeCell ref="I8:M8"/>
    <mergeCell ref="A9:F9"/>
    <mergeCell ref="I9:M9"/>
    <mergeCell ref="A1:O1"/>
    <mergeCell ref="A2:O2"/>
    <mergeCell ref="A3:O3"/>
    <mergeCell ref="A5:G5"/>
    <mergeCell ref="I5:N5"/>
    <mergeCell ref="A6:F6"/>
    <mergeCell ref="I6:M6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65" fitToWidth="0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7B77A-7969-427A-B541-C15FE92A0682}">
  <sheetPr codeName="Plan10">
    <tabColor indexed="42"/>
    <pageSetUpPr fitToPage="1"/>
  </sheetPr>
  <dimension ref="A1:P83"/>
  <sheetViews>
    <sheetView topLeftCell="B1" zoomScale="110" zoomScaleNormal="110" workbookViewId="0">
      <pane ySplit="8" topLeftCell="A9" activePane="bottomLeft" state="frozen"/>
      <selection activeCell="O23" sqref="O23"/>
      <selection pane="bottomLeft" activeCell="L18" sqref="L18"/>
    </sheetView>
  </sheetViews>
  <sheetFormatPr defaultRowHeight="15" x14ac:dyDescent="0.25"/>
  <cols>
    <col min="1" max="1" width="49.140625" style="109" bestFit="1" customWidth="1"/>
    <col min="2" max="5" width="18" style="109" customWidth="1"/>
    <col min="6" max="6" width="22.140625" style="109" bestFit="1" customWidth="1"/>
    <col min="7" max="7" width="25.7109375" style="109" customWidth="1"/>
    <col min="8" max="8" width="9.140625" style="109" hidden="1" customWidth="1"/>
    <col min="9" max="9" width="16.140625" style="111" hidden="1" customWidth="1"/>
    <col min="10" max="256" width="9.140625" style="109"/>
    <col min="257" max="257" width="49.140625" style="109" bestFit="1" customWidth="1"/>
    <col min="258" max="261" width="18" style="109" customWidth="1"/>
    <col min="262" max="262" width="22.140625" style="109" bestFit="1" customWidth="1"/>
    <col min="263" max="263" width="25.7109375" style="109" customWidth="1"/>
    <col min="264" max="264" width="9.140625" style="109"/>
    <col min="265" max="265" width="16.140625" style="109" bestFit="1" customWidth="1"/>
    <col min="266" max="512" width="9.140625" style="109"/>
    <col min="513" max="513" width="49.140625" style="109" bestFit="1" customWidth="1"/>
    <col min="514" max="517" width="18" style="109" customWidth="1"/>
    <col min="518" max="518" width="22.140625" style="109" bestFit="1" customWidth="1"/>
    <col min="519" max="519" width="25.7109375" style="109" customWidth="1"/>
    <col min="520" max="520" width="9.140625" style="109"/>
    <col min="521" max="521" width="16.140625" style="109" bestFit="1" customWidth="1"/>
    <col min="522" max="768" width="9.140625" style="109"/>
    <col min="769" max="769" width="49.140625" style="109" bestFit="1" customWidth="1"/>
    <col min="770" max="773" width="18" style="109" customWidth="1"/>
    <col min="774" max="774" width="22.140625" style="109" bestFit="1" customWidth="1"/>
    <col min="775" max="775" width="25.7109375" style="109" customWidth="1"/>
    <col min="776" max="776" width="9.140625" style="109"/>
    <col min="777" max="777" width="16.140625" style="109" bestFit="1" customWidth="1"/>
    <col min="778" max="1024" width="9.140625" style="109"/>
    <col min="1025" max="1025" width="49.140625" style="109" bestFit="1" customWidth="1"/>
    <col min="1026" max="1029" width="18" style="109" customWidth="1"/>
    <col min="1030" max="1030" width="22.140625" style="109" bestFit="1" customWidth="1"/>
    <col min="1031" max="1031" width="25.7109375" style="109" customWidth="1"/>
    <col min="1032" max="1032" width="9.140625" style="109"/>
    <col min="1033" max="1033" width="16.140625" style="109" bestFit="1" customWidth="1"/>
    <col min="1034" max="1280" width="9.140625" style="109"/>
    <col min="1281" max="1281" width="49.140625" style="109" bestFit="1" customWidth="1"/>
    <col min="1282" max="1285" width="18" style="109" customWidth="1"/>
    <col min="1286" max="1286" width="22.140625" style="109" bestFit="1" customWidth="1"/>
    <col min="1287" max="1287" width="25.7109375" style="109" customWidth="1"/>
    <col min="1288" max="1288" width="9.140625" style="109"/>
    <col min="1289" max="1289" width="16.140625" style="109" bestFit="1" customWidth="1"/>
    <col min="1290" max="1536" width="9.140625" style="109"/>
    <col min="1537" max="1537" width="49.140625" style="109" bestFit="1" customWidth="1"/>
    <col min="1538" max="1541" width="18" style="109" customWidth="1"/>
    <col min="1542" max="1542" width="22.140625" style="109" bestFit="1" customWidth="1"/>
    <col min="1543" max="1543" width="25.7109375" style="109" customWidth="1"/>
    <col min="1544" max="1544" width="9.140625" style="109"/>
    <col min="1545" max="1545" width="16.140625" style="109" bestFit="1" customWidth="1"/>
    <col min="1546" max="1792" width="9.140625" style="109"/>
    <col min="1793" max="1793" width="49.140625" style="109" bestFit="1" customWidth="1"/>
    <col min="1794" max="1797" width="18" style="109" customWidth="1"/>
    <col min="1798" max="1798" width="22.140625" style="109" bestFit="1" customWidth="1"/>
    <col min="1799" max="1799" width="25.7109375" style="109" customWidth="1"/>
    <col min="1800" max="1800" width="9.140625" style="109"/>
    <col min="1801" max="1801" width="16.140625" style="109" bestFit="1" customWidth="1"/>
    <col min="1802" max="2048" width="9.140625" style="109"/>
    <col min="2049" max="2049" width="49.140625" style="109" bestFit="1" customWidth="1"/>
    <col min="2050" max="2053" width="18" style="109" customWidth="1"/>
    <col min="2054" max="2054" width="22.140625" style="109" bestFit="1" customWidth="1"/>
    <col min="2055" max="2055" width="25.7109375" style="109" customWidth="1"/>
    <col min="2056" max="2056" width="9.140625" style="109"/>
    <col min="2057" max="2057" width="16.140625" style="109" bestFit="1" customWidth="1"/>
    <col min="2058" max="2304" width="9.140625" style="109"/>
    <col min="2305" max="2305" width="49.140625" style="109" bestFit="1" customWidth="1"/>
    <col min="2306" max="2309" width="18" style="109" customWidth="1"/>
    <col min="2310" max="2310" width="22.140625" style="109" bestFit="1" customWidth="1"/>
    <col min="2311" max="2311" width="25.7109375" style="109" customWidth="1"/>
    <col min="2312" max="2312" width="9.140625" style="109"/>
    <col min="2313" max="2313" width="16.140625" style="109" bestFit="1" customWidth="1"/>
    <col min="2314" max="2560" width="9.140625" style="109"/>
    <col min="2561" max="2561" width="49.140625" style="109" bestFit="1" customWidth="1"/>
    <col min="2562" max="2565" width="18" style="109" customWidth="1"/>
    <col min="2566" max="2566" width="22.140625" style="109" bestFit="1" customWidth="1"/>
    <col min="2567" max="2567" width="25.7109375" style="109" customWidth="1"/>
    <col min="2568" max="2568" width="9.140625" style="109"/>
    <col min="2569" max="2569" width="16.140625" style="109" bestFit="1" customWidth="1"/>
    <col min="2570" max="2816" width="9.140625" style="109"/>
    <col min="2817" max="2817" width="49.140625" style="109" bestFit="1" customWidth="1"/>
    <col min="2818" max="2821" width="18" style="109" customWidth="1"/>
    <col min="2822" max="2822" width="22.140625" style="109" bestFit="1" customWidth="1"/>
    <col min="2823" max="2823" width="25.7109375" style="109" customWidth="1"/>
    <col min="2824" max="2824" width="9.140625" style="109"/>
    <col min="2825" max="2825" width="16.140625" style="109" bestFit="1" customWidth="1"/>
    <col min="2826" max="3072" width="9.140625" style="109"/>
    <col min="3073" max="3073" width="49.140625" style="109" bestFit="1" customWidth="1"/>
    <col min="3074" max="3077" width="18" style="109" customWidth="1"/>
    <col min="3078" max="3078" width="22.140625" style="109" bestFit="1" customWidth="1"/>
    <col min="3079" max="3079" width="25.7109375" style="109" customWidth="1"/>
    <col min="3080" max="3080" width="9.140625" style="109"/>
    <col min="3081" max="3081" width="16.140625" style="109" bestFit="1" customWidth="1"/>
    <col min="3082" max="3328" width="9.140625" style="109"/>
    <col min="3329" max="3329" width="49.140625" style="109" bestFit="1" customWidth="1"/>
    <col min="3330" max="3333" width="18" style="109" customWidth="1"/>
    <col min="3334" max="3334" width="22.140625" style="109" bestFit="1" customWidth="1"/>
    <col min="3335" max="3335" width="25.7109375" style="109" customWidth="1"/>
    <col min="3336" max="3336" width="9.140625" style="109"/>
    <col min="3337" max="3337" width="16.140625" style="109" bestFit="1" customWidth="1"/>
    <col min="3338" max="3584" width="9.140625" style="109"/>
    <col min="3585" max="3585" width="49.140625" style="109" bestFit="1" customWidth="1"/>
    <col min="3586" max="3589" width="18" style="109" customWidth="1"/>
    <col min="3590" max="3590" width="22.140625" style="109" bestFit="1" customWidth="1"/>
    <col min="3591" max="3591" width="25.7109375" style="109" customWidth="1"/>
    <col min="3592" max="3592" width="9.140625" style="109"/>
    <col min="3593" max="3593" width="16.140625" style="109" bestFit="1" customWidth="1"/>
    <col min="3594" max="3840" width="9.140625" style="109"/>
    <col min="3841" max="3841" width="49.140625" style="109" bestFit="1" customWidth="1"/>
    <col min="3842" max="3845" width="18" style="109" customWidth="1"/>
    <col min="3846" max="3846" width="22.140625" style="109" bestFit="1" customWidth="1"/>
    <col min="3847" max="3847" width="25.7109375" style="109" customWidth="1"/>
    <col min="3848" max="3848" width="9.140625" style="109"/>
    <col min="3849" max="3849" width="16.140625" style="109" bestFit="1" customWidth="1"/>
    <col min="3850" max="4096" width="9.140625" style="109"/>
    <col min="4097" max="4097" width="49.140625" style="109" bestFit="1" customWidth="1"/>
    <col min="4098" max="4101" width="18" style="109" customWidth="1"/>
    <col min="4102" max="4102" width="22.140625" style="109" bestFit="1" customWidth="1"/>
    <col min="4103" max="4103" width="25.7109375" style="109" customWidth="1"/>
    <col min="4104" max="4104" width="9.140625" style="109"/>
    <col min="4105" max="4105" width="16.140625" style="109" bestFit="1" customWidth="1"/>
    <col min="4106" max="4352" width="9.140625" style="109"/>
    <col min="4353" max="4353" width="49.140625" style="109" bestFit="1" customWidth="1"/>
    <col min="4354" max="4357" width="18" style="109" customWidth="1"/>
    <col min="4358" max="4358" width="22.140625" style="109" bestFit="1" customWidth="1"/>
    <col min="4359" max="4359" width="25.7109375" style="109" customWidth="1"/>
    <col min="4360" max="4360" width="9.140625" style="109"/>
    <col min="4361" max="4361" width="16.140625" style="109" bestFit="1" customWidth="1"/>
    <col min="4362" max="4608" width="9.140625" style="109"/>
    <col min="4609" max="4609" width="49.140625" style="109" bestFit="1" customWidth="1"/>
    <col min="4610" max="4613" width="18" style="109" customWidth="1"/>
    <col min="4614" max="4614" width="22.140625" style="109" bestFit="1" customWidth="1"/>
    <col min="4615" max="4615" width="25.7109375" style="109" customWidth="1"/>
    <col min="4616" max="4616" width="9.140625" style="109"/>
    <col min="4617" max="4617" width="16.140625" style="109" bestFit="1" customWidth="1"/>
    <col min="4618" max="4864" width="9.140625" style="109"/>
    <col min="4865" max="4865" width="49.140625" style="109" bestFit="1" customWidth="1"/>
    <col min="4866" max="4869" width="18" style="109" customWidth="1"/>
    <col min="4870" max="4870" width="22.140625" style="109" bestFit="1" customWidth="1"/>
    <col min="4871" max="4871" width="25.7109375" style="109" customWidth="1"/>
    <col min="4872" max="4872" width="9.140625" style="109"/>
    <col min="4873" max="4873" width="16.140625" style="109" bestFit="1" customWidth="1"/>
    <col min="4874" max="5120" width="9.140625" style="109"/>
    <col min="5121" max="5121" width="49.140625" style="109" bestFit="1" customWidth="1"/>
    <col min="5122" max="5125" width="18" style="109" customWidth="1"/>
    <col min="5126" max="5126" width="22.140625" style="109" bestFit="1" customWidth="1"/>
    <col min="5127" max="5127" width="25.7109375" style="109" customWidth="1"/>
    <col min="5128" max="5128" width="9.140625" style="109"/>
    <col min="5129" max="5129" width="16.140625" style="109" bestFit="1" customWidth="1"/>
    <col min="5130" max="5376" width="9.140625" style="109"/>
    <col min="5377" max="5377" width="49.140625" style="109" bestFit="1" customWidth="1"/>
    <col min="5378" max="5381" width="18" style="109" customWidth="1"/>
    <col min="5382" max="5382" width="22.140625" style="109" bestFit="1" customWidth="1"/>
    <col min="5383" max="5383" width="25.7109375" style="109" customWidth="1"/>
    <col min="5384" max="5384" width="9.140625" style="109"/>
    <col min="5385" max="5385" width="16.140625" style="109" bestFit="1" customWidth="1"/>
    <col min="5386" max="5632" width="9.140625" style="109"/>
    <col min="5633" max="5633" width="49.140625" style="109" bestFit="1" customWidth="1"/>
    <col min="5634" max="5637" width="18" style="109" customWidth="1"/>
    <col min="5638" max="5638" width="22.140625" style="109" bestFit="1" customWidth="1"/>
    <col min="5639" max="5639" width="25.7109375" style="109" customWidth="1"/>
    <col min="5640" max="5640" width="9.140625" style="109"/>
    <col min="5641" max="5641" width="16.140625" style="109" bestFit="1" customWidth="1"/>
    <col min="5642" max="5888" width="9.140625" style="109"/>
    <col min="5889" max="5889" width="49.140625" style="109" bestFit="1" customWidth="1"/>
    <col min="5890" max="5893" width="18" style="109" customWidth="1"/>
    <col min="5894" max="5894" width="22.140625" style="109" bestFit="1" customWidth="1"/>
    <col min="5895" max="5895" width="25.7109375" style="109" customWidth="1"/>
    <col min="5896" max="5896" width="9.140625" style="109"/>
    <col min="5897" max="5897" width="16.140625" style="109" bestFit="1" customWidth="1"/>
    <col min="5898" max="6144" width="9.140625" style="109"/>
    <col min="6145" max="6145" width="49.140625" style="109" bestFit="1" customWidth="1"/>
    <col min="6146" max="6149" width="18" style="109" customWidth="1"/>
    <col min="6150" max="6150" width="22.140625" style="109" bestFit="1" customWidth="1"/>
    <col min="6151" max="6151" width="25.7109375" style="109" customWidth="1"/>
    <col min="6152" max="6152" width="9.140625" style="109"/>
    <col min="6153" max="6153" width="16.140625" style="109" bestFit="1" customWidth="1"/>
    <col min="6154" max="6400" width="9.140625" style="109"/>
    <col min="6401" max="6401" width="49.140625" style="109" bestFit="1" customWidth="1"/>
    <col min="6402" max="6405" width="18" style="109" customWidth="1"/>
    <col min="6406" max="6406" width="22.140625" style="109" bestFit="1" customWidth="1"/>
    <col min="6407" max="6407" width="25.7109375" style="109" customWidth="1"/>
    <col min="6408" max="6408" width="9.140625" style="109"/>
    <col min="6409" max="6409" width="16.140625" style="109" bestFit="1" customWidth="1"/>
    <col min="6410" max="6656" width="9.140625" style="109"/>
    <col min="6657" max="6657" width="49.140625" style="109" bestFit="1" customWidth="1"/>
    <col min="6658" max="6661" width="18" style="109" customWidth="1"/>
    <col min="6662" max="6662" width="22.140625" style="109" bestFit="1" customWidth="1"/>
    <col min="6663" max="6663" width="25.7109375" style="109" customWidth="1"/>
    <col min="6664" max="6664" width="9.140625" style="109"/>
    <col min="6665" max="6665" width="16.140625" style="109" bestFit="1" customWidth="1"/>
    <col min="6666" max="6912" width="9.140625" style="109"/>
    <col min="6913" max="6913" width="49.140625" style="109" bestFit="1" customWidth="1"/>
    <col min="6914" max="6917" width="18" style="109" customWidth="1"/>
    <col min="6918" max="6918" width="22.140625" style="109" bestFit="1" customWidth="1"/>
    <col min="6919" max="6919" width="25.7109375" style="109" customWidth="1"/>
    <col min="6920" max="6920" width="9.140625" style="109"/>
    <col min="6921" max="6921" width="16.140625" style="109" bestFit="1" customWidth="1"/>
    <col min="6922" max="7168" width="9.140625" style="109"/>
    <col min="7169" max="7169" width="49.140625" style="109" bestFit="1" customWidth="1"/>
    <col min="7170" max="7173" width="18" style="109" customWidth="1"/>
    <col min="7174" max="7174" width="22.140625" style="109" bestFit="1" customWidth="1"/>
    <col min="7175" max="7175" width="25.7109375" style="109" customWidth="1"/>
    <col min="7176" max="7176" width="9.140625" style="109"/>
    <col min="7177" max="7177" width="16.140625" style="109" bestFit="1" customWidth="1"/>
    <col min="7178" max="7424" width="9.140625" style="109"/>
    <col min="7425" max="7425" width="49.140625" style="109" bestFit="1" customWidth="1"/>
    <col min="7426" max="7429" width="18" style="109" customWidth="1"/>
    <col min="7430" max="7430" width="22.140625" style="109" bestFit="1" customWidth="1"/>
    <col min="7431" max="7431" width="25.7109375" style="109" customWidth="1"/>
    <col min="7432" max="7432" width="9.140625" style="109"/>
    <col min="7433" max="7433" width="16.140625" style="109" bestFit="1" customWidth="1"/>
    <col min="7434" max="7680" width="9.140625" style="109"/>
    <col min="7681" max="7681" width="49.140625" style="109" bestFit="1" customWidth="1"/>
    <col min="7682" max="7685" width="18" style="109" customWidth="1"/>
    <col min="7686" max="7686" width="22.140625" style="109" bestFit="1" customWidth="1"/>
    <col min="7687" max="7687" width="25.7109375" style="109" customWidth="1"/>
    <col min="7688" max="7688" width="9.140625" style="109"/>
    <col min="7689" max="7689" width="16.140625" style="109" bestFit="1" customWidth="1"/>
    <col min="7690" max="7936" width="9.140625" style="109"/>
    <col min="7937" max="7937" width="49.140625" style="109" bestFit="1" customWidth="1"/>
    <col min="7938" max="7941" width="18" style="109" customWidth="1"/>
    <col min="7942" max="7942" width="22.140625" style="109" bestFit="1" customWidth="1"/>
    <col min="7943" max="7943" width="25.7109375" style="109" customWidth="1"/>
    <col min="7944" max="7944" width="9.140625" style="109"/>
    <col min="7945" max="7945" width="16.140625" style="109" bestFit="1" customWidth="1"/>
    <col min="7946" max="8192" width="9.140625" style="109"/>
    <col min="8193" max="8193" width="49.140625" style="109" bestFit="1" customWidth="1"/>
    <col min="8194" max="8197" width="18" style="109" customWidth="1"/>
    <col min="8198" max="8198" width="22.140625" style="109" bestFit="1" customWidth="1"/>
    <col min="8199" max="8199" width="25.7109375" style="109" customWidth="1"/>
    <col min="8200" max="8200" width="9.140625" style="109"/>
    <col min="8201" max="8201" width="16.140625" style="109" bestFit="1" customWidth="1"/>
    <col min="8202" max="8448" width="9.140625" style="109"/>
    <col min="8449" max="8449" width="49.140625" style="109" bestFit="1" customWidth="1"/>
    <col min="8450" max="8453" width="18" style="109" customWidth="1"/>
    <col min="8454" max="8454" width="22.140625" style="109" bestFit="1" customWidth="1"/>
    <col min="8455" max="8455" width="25.7109375" style="109" customWidth="1"/>
    <col min="8456" max="8456" width="9.140625" style="109"/>
    <col min="8457" max="8457" width="16.140625" style="109" bestFit="1" customWidth="1"/>
    <col min="8458" max="8704" width="9.140625" style="109"/>
    <col min="8705" max="8705" width="49.140625" style="109" bestFit="1" customWidth="1"/>
    <col min="8706" max="8709" width="18" style="109" customWidth="1"/>
    <col min="8710" max="8710" width="22.140625" style="109" bestFit="1" customWidth="1"/>
    <col min="8711" max="8711" width="25.7109375" style="109" customWidth="1"/>
    <col min="8712" max="8712" width="9.140625" style="109"/>
    <col min="8713" max="8713" width="16.140625" style="109" bestFit="1" customWidth="1"/>
    <col min="8714" max="8960" width="9.140625" style="109"/>
    <col min="8961" max="8961" width="49.140625" style="109" bestFit="1" customWidth="1"/>
    <col min="8962" max="8965" width="18" style="109" customWidth="1"/>
    <col min="8966" max="8966" width="22.140625" style="109" bestFit="1" customWidth="1"/>
    <col min="8967" max="8967" width="25.7109375" style="109" customWidth="1"/>
    <col min="8968" max="8968" width="9.140625" style="109"/>
    <col min="8969" max="8969" width="16.140625" style="109" bestFit="1" customWidth="1"/>
    <col min="8970" max="9216" width="9.140625" style="109"/>
    <col min="9217" max="9217" width="49.140625" style="109" bestFit="1" customWidth="1"/>
    <col min="9218" max="9221" width="18" style="109" customWidth="1"/>
    <col min="9222" max="9222" width="22.140625" style="109" bestFit="1" customWidth="1"/>
    <col min="9223" max="9223" width="25.7109375" style="109" customWidth="1"/>
    <col min="9224" max="9224" width="9.140625" style="109"/>
    <col min="9225" max="9225" width="16.140625" style="109" bestFit="1" customWidth="1"/>
    <col min="9226" max="9472" width="9.140625" style="109"/>
    <col min="9473" max="9473" width="49.140625" style="109" bestFit="1" customWidth="1"/>
    <col min="9474" max="9477" width="18" style="109" customWidth="1"/>
    <col min="9478" max="9478" width="22.140625" style="109" bestFit="1" customWidth="1"/>
    <col min="9479" max="9479" width="25.7109375" style="109" customWidth="1"/>
    <col min="9480" max="9480" width="9.140625" style="109"/>
    <col min="9481" max="9481" width="16.140625" style="109" bestFit="1" customWidth="1"/>
    <col min="9482" max="9728" width="9.140625" style="109"/>
    <col min="9729" max="9729" width="49.140625" style="109" bestFit="1" customWidth="1"/>
    <col min="9730" max="9733" width="18" style="109" customWidth="1"/>
    <col min="9734" max="9734" width="22.140625" style="109" bestFit="1" customWidth="1"/>
    <col min="9735" max="9735" width="25.7109375" style="109" customWidth="1"/>
    <col min="9736" max="9736" width="9.140625" style="109"/>
    <col min="9737" max="9737" width="16.140625" style="109" bestFit="1" customWidth="1"/>
    <col min="9738" max="9984" width="9.140625" style="109"/>
    <col min="9985" max="9985" width="49.140625" style="109" bestFit="1" customWidth="1"/>
    <col min="9986" max="9989" width="18" style="109" customWidth="1"/>
    <col min="9990" max="9990" width="22.140625" style="109" bestFit="1" customWidth="1"/>
    <col min="9991" max="9991" width="25.7109375" style="109" customWidth="1"/>
    <col min="9992" max="9992" width="9.140625" style="109"/>
    <col min="9993" max="9993" width="16.140625" style="109" bestFit="1" customWidth="1"/>
    <col min="9994" max="10240" width="9.140625" style="109"/>
    <col min="10241" max="10241" width="49.140625" style="109" bestFit="1" customWidth="1"/>
    <col min="10242" max="10245" width="18" style="109" customWidth="1"/>
    <col min="10246" max="10246" width="22.140625" style="109" bestFit="1" customWidth="1"/>
    <col min="10247" max="10247" width="25.7109375" style="109" customWidth="1"/>
    <col min="10248" max="10248" width="9.140625" style="109"/>
    <col min="10249" max="10249" width="16.140625" style="109" bestFit="1" customWidth="1"/>
    <col min="10250" max="10496" width="9.140625" style="109"/>
    <col min="10497" max="10497" width="49.140625" style="109" bestFit="1" customWidth="1"/>
    <col min="10498" max="10501" width="18" style="109" customWidth="1"/>
    <col min="10502" max="10502" width="22.140625" style="109" bestFit="1" customWidth="1"/>
    <col min="10503" max="10503" width="25.7109375" style="109" customWidth="1"/>
    <col min="10504" max="10504" width="9.140625" style="109"/>
    <col min="10505" max="10505" width="16.140625" style="109" bestFit="1" customWidth="1"/>
    <col min="10506" max="10752" width="9.140625" style="109"/>
    <col min="10753" max="10753" width="49.140625" style="109" bestFit="1" customWidth="1"/>
    <col min="10754" max="10757" width="18" style="109" customWidth="1"/>
    <col min="10758" max="10758" width="22.140625" style="109" bestFit="1" customWidth="1"/>
    <col min="10759" max="10759" width="25.7109375" style="109" customWidth="1"/>
    <col min="10760" max="10760" width="9.140625" style="109"/>
    <col min="10761" max="10761" width="16.140625" style="109" bestFit="1" customWidth="1"/>
    <col min="10762" max="11008" width="9.140625" style="109"/>
    <col min="11009" max="11009" width="49.140625" style="109" bestFit="1" customWidth="1"/>
    <col min="11010" max="11013" width="18" style="109" customWidth="1"/>
    <col min="11014" max="11014" width="22.140625" style="109" bestFit="1" customWidth="1"/>
    <col min="11015" max="11015" width="25.7109375" style="109" customWidth="1"/>
    <col min="11016" max="11016" width="9.140625" style="109"/>
    <col min="11017" max="11017" width="16.140625" style="109" bestFit="1" customWidth="1"/>
    <col min="11018" max="11264" width="9.140625" style="109"/>
    <col min="11265" max="11265" width="49.140625" style="109" bestFit="1" customWidth="1"/>
    <col min="11266" max="11269" width="18" style="109" customWidth="1"/>
    <col min="11270" max="11270" width="22.140625" style="109" bestFit="1" customWidth="1"/>
    <col min="11271" max="11271" width="25.7109375" style="109" customWidth="1"/>
    <col min="11272" max="11272" width="9.140625" style="109"/>
    <col min="11273" max="11273" width="16.140625" style="109" bestFit="1" customWidth="1"/>
    <col min="11274" max="11520" width="9.140625" style="109"/>
    <col min="11521" max="11521" width="49.140625" style="109" bestFit="1" customWidth="1"/>
    <col min="11522" max="11525" width="18" style="109" customWidth="1"/>
    <col min="11526" max="11526" width="22.140625" style="109" bestFit="1" customWidth="1"/>
    <col min="11527" max="11527" width="25.7109375" style="109" customWidth="1"/>
    <col min="11528" max="11528" width="9.140625" style="109"/>
    <col min="11529" max="11529" width="16.140625" style="109" bestFit="1" customWidth="1"/>
    <col min="11530" max="11776" width="9.140625" style="109"/>
    <col min="11777" max="11777" width="49.140625" style="109" bestFit="1" customWidth="1"/>
    <col min="11778" max="11781" width="18" style="109" customWidth="1"/>
    <col min="11782" max="11782" width="22.140625" style="109" bestFit="1" customWidth="1"/>
    <col min="11783" max="11783" width="25.7109375" style="109" customWidth="1"/>
    <col min="11784" max="11784" width="9.140625" style="109"/>
    <col min="11785" max="11785" width="16.140625" style="109" bestFit="1" customWidth="1"/>
    <col min="11786" max="12032" width="9.140625" style="109"/>
    <col min="12033" max="12033" width="49.140625" style="109" bestFit="1" customWidth="1"/>
    <col min="12034" max="12037" width="18" style="109" customWidth="1"/>
    <col min="12038" max="12038" width="22.140625" style="109" bestFit="1" customWidth="1"/>
    <col min="12039" max="12039" width="25.7109375" style="109" customWidth="1"/>
    <col min="12040" max="12040" width="9.140625" style="109"/>
    <col min="12041" max="12041" width="16.140625" style="109" bestFit="1" customWidth="1"/>
    <col min="12042" max="12288" width="9.140625" style="109"/>
    <col min="12289" max="12289" width="49.140625" style="109" bestFit="1" customWidth="1"/>
    <col min="12290" max="12293" width="18" style="109" customWidth="1"/>
    <col min="12294" max="12294" width="22.140625" style="109" bestFit="1" customWidth="1"/>
    <col min="12295" max="12295" width="25.7109375" style="109" customWidth="1"/>
    <col min="12296" max="12296" width="9.140625" style="109"/>
    <col min="12297" max="12297" width="16.140625" style="109" bestFit="1" customWidth="1"/>
    <col min="12298" max="12544" width="9.140625" style="109"/>
    <col min="12545" max="12545" width="49.140625" style="109" bestFit="1" customWidth="1"/>
    <col min="12546" max="12549" width="18" style="109" customWidth="1"/>
    <col min="12550" max="12550" width="22.140625" style="109" bestFit="1" customWidth="1"/>
    <col min="12551" max="12551" width="25.7109375" style="109" customWidth="1"/>
    <col min="12552" max="12552" width="9.140625" style="109"/>
    <col min="12553" max="12553" width="16.140625" style="109" bestFit="1" customWidth="1"/>
    <col min="12554" max="12800" width="9.140625" style="109"/>
    <col min="12801" max="12801" width="49.140625" style="109" bestFit="1" customWidth="1"/>
    <col min="12802" max="12805" width="18" style="109" customWidth="1"/>
    <col min="12806" max="12806" width="22.140625" style="109" bestFit="1" customWidth="1"/>
    <col min="12807" max="12807" width="25.7109375" style="109" customWidth="1"/>
    <col min="12808" max="12808" width="9.140625" style="109"/>
    <col min="12809" max="12809" width="16.140625" style="109" bestFit="1" customWidth="1"/>
    <col min="12810" max="13056" width="9.140625" style="109"/>
    <col min="13057" max="13057" width="49.140625" style="109" bestFit="1" customWidth="1"/>
    <col min="13058" max="13061" width="18" style="109" customWidth="1"/>
    <col min="13062" max="13062" width="22.140625" style="109" bestFit="1" customWidth="1"/>
    <col min="13063" max="13063" width="25.7109375" style="109" customWidth="1"/>
    <col min="13064" max="13064" width="9.140625" style="109"/>
    <col min="13065" max="13065" width="16.140625" style="109" bestFit="1" customWidth="1"/>
    <col min="13066" max="13312" width="9.140625" style="109"/>
    <col min="13313" max="13313" width="49.140625" style="109" bestFit="1" customWidth="1"/>
    <col min="13314" max="13317" width="18" style="109" customWidth="1"/>
    <col min="13318" max="13318" width="22.140625" style="109" bestFit="1" customWidth="1"/>
    <col min="13319" max="13319" width="25.7109375" style="109" customWidth="1"/>
    <col min="13320" max="13320" width="9.140625" style="109"/>
    <col min="13321" max="13321" width="16.140625" style="109" bestFit="1" customWidth="1"/>
    <col min="13322" max="13568" width="9.140625" style="109"/>
    <col min="13569" max="13569" width="49.140625" style="109" bestFit="1" customWidth="1"/>
    <col min="13570" max="13573" width="18" style="109" customWidth="1"/>
    <col min="13574" max="13574" width="22.140625" style="109" bestFit="1" customWidth="1"/>
    <col min="13575" max="13575" width="25.7109375" style="109" customWidth="1"/>
    <col min="13576" max="13576" width="9.140625" style="109"/>
    <col min="13577" max="13577" width="16.140625" style="109" bestFit="1" customWidth="1"/>
    <col min="13578" max="13824" width="9.140625" style="109"/>
    <col min="13825" max="13825" width="49.140625" style="109" bestFit="1" customWidth="1"/>
    <col min="13826" max="13829" width="18" style="109" customWidth="1"/>
    <col min="13830" max="13830" width="22.140625" style="109" bestFit="1" customWidth="1"/>
    <col min="13831" max="13831" width="25.7109375" style="109" customWidth="1"/>
    <col min="13832" max="13832" width="9.140625" style="109"/>
    <col min="13833" max="13833" width="16.140625" style="109" bestFit="1" customWidth="1"/>
    <col min="13834" max="14080" width="9.140625" style="109"/>
    <col min="14081" max="14081" width="49.140625" style="109" bestFit="1" customWidth="1"/>
    <col min="14082" max="14085" width="18" style="109" customWidth="1"/>
    <col min="14086" max="14086" width="22.140625" style="109" bestFit="1" customWidth="1"/>
    <col min="14087" max="14087" width="25.7109375" style="109" customWidth="1"/>
    <col min="14088" max="14088" width="9.140625" style="109"/>
    <col min="14089" max="14089" width="16.140625" style="109" bestFit="1" customWidth="1"/>
    <col min="14090" max="14336" width="9.140625" style="109"/>
    <col min="14337" max="14337" width="49.140625" style="109" bestFit="1" customWidth="1"/>
    <col min="14338" max="14341" width="18" style="109" customWidth="1"/>
    <col min="14342" max="14342" width="22.140625" style="109" bestFit="1" customWidth="1"/>
    <col min="14343" max="14343" width="25.7109375" style="109" customWidth="1"/>
    <col min="14344" max="14344" width="9.140625" style="109"/>
    <col min="14345" max="14345" width="16.140625" style="109" bestFit="1" customWidth="1"/>
    <col min="14346" max="14592" width="9.140625" style="109"/>
    <col min="14593" max="14593" width="49.140625" style="109" bestFit="1" customWidth="1"/>
    <col min="14594" max="14597" width="18" style="109" customWidth="1"/>
    <col min="14598" max="14598" width="22.140625" style="109" bestFit="1" customWidth="1"/>
    <col min="14599" max="14599" width="25.7109375" style="109" customWidth="1"/>
    <col min="14600" max="14600" width="9.140625" style="109"/>
    <col min="14601" max="14601" width="16.140625" style="109" bestFit="1" customWidth="1"/>
    <col min="14602" max="14848" width="9.140625" style="109"/>
    <col min="14849" max="14849" width="49.140625" style="109" bestFit="1" customWidth="1"/>
    <col min="14850" max="14853" width="18" style="109" customWidth="1"/>
    <col min="14854" max="14854" width="22.140625" style="109" bestFit="1" customWidth="1"/>
    <col min="14855" max="14855" width="25.7109375" style="109" customWidth="1"/>
    <col min="14856" max="14856" width="9.140625" style="109"/>
    <col min="14857" max="14857" width="16.140625" style="109" bestFit="1" customWidth="1"/>
    <col min="14858" max="15104" width="9.140625" style="109"/>
    <col min="15105" max="15105" width="49.140625" style="109" bestFit="1" customWidth="1"/>
    <col min="15106" max="15109" width="18" style="109" customWidth="1"/>
    <col min="15110" max="15110" width="22.140625" style="109" bestFit="1" customWidth="1"/>
    <col min="15111" max="15111" width="25.7109375" style="109" customWidth="1"/>
    <col min="15112" max="15112" width="9.140625" style="109"/>
    <col min="15113" max="15113" width="16.140625" style="109" bestFit="1" customWidth="1"/>
    <col min="15114" max="15360" width="9.140625" style="109"/>
    <col min="15361" max="15361" width="49.140625" style="109" bestFit="1" customWidth="1"/>
    <col min="15362" max="15365" width="18" style="109" customWidth="1"/>
    <col min="15366" max="15366" width="22.140625" style="109" bestFit="1" customWidth="1"/>
    <col min="15367" max="15367" width="25.7109375" style="109" customWidth="1"/>
    <col min="15368" max="15368" width="9.140625" style="109"/>
    <col min="15369" max="15369" width="16.140625" style="109" bestFit="1" customWidth="1"/>
    <col min="15370" max="15616" width="9.140625" style="109"/>
    <col min="15617" max="15617" width="49.140625" style="109" bestFit="1" customWidth="1"/>
    <col min="15618" max="15621" width="18" style="109" customWidth="1"/>
    <col min="15622" max="15622" width="22.140625" style="109" bestFit="1" customWidth="1"/>
    <col min="15623" max="15623" width="25.7109375" style="109" customWidth="1"/>
    <col min="15624" max="15624" width="9.140625" style="109"/>
    <col min="15625" max="15625" width="16.140625" style="109" bestFit="1" customWidth="1"/>
    <col min="15626" max="15872" width="9.140625" style="109"/>
    <col min="15873" max="15873" width="49.140625" style="109" bestFit="1" customWidth="1"/>
    <col min="15874" max="15877" width="18" style="109" customWidth="1"/>
    <col min="15878" max="15878" width="22.140625" style="109" bestFit="1" customWidth="1"/>
    <col min="15879" max="15879" width="25.7109375" style="109" customWidth="1"/>
    <col min="15880" max="15880" width="9.140625" style="109"/>
    <col min="15881" max="15881" width="16.140625" style="109" bestFit="1" customWidth="1"/>
    <col min="15882" max="16128" width="9.140625" style="109"/>
    <col min="16129" max="16129" width="49.140625" style="109" bestFit="1" customWidth="1"/>
    <col min="16130" max="16133" width="18" style="109" customWidth="1"/>
    <col min="16134" max="16134" width="22.140625" style="109" bestFit="1" customWidth="1"/>
    <col min="16135" max="16135" width="25.7109375" style="109" customWidth="1"/>
    <col min="16136" max="16136" width="9.140625" style="109"/>
    <col min="16137" max="16137" width="16.140625" style="109" bestFit="1" customWidth="1"/>
    <col min="16138" max="16384" width="9.140625" style="109"/>
  </cols>
  <sheetData>
    <row r="1" spans="1:9" x14ac:dyDescent="0.25">
      <c r="A1" s="108">
        <f>'[1]B.F. 05 '!A5:K5</f>
        <v>43831</v>
      </c>
      <c r="D1" s="110"/>
      <c r="I1" s="111" t="s">
        <v>67</v>
      </c>
    </row>
    <row r="2" spans="1:9" ht="15.75" x14ac:dyDescent="0.25">
      <c r="A2" s="112" t="s">
        <v>0</v>
      </c>
      <c r="B2" s="112"/>
      <c r="C2" s="112"/>
      <c r="D2" s="112"/>
      <c r="E2" s="112"/>
      <c r="F2" s="112"/>
      <c r="G2" s="112"/>
      <c r="H2" s="109" t="s">
        <v>68</v>
      </c>
      <c r="I2" s="111">
        <f>'Balanço Financeiro '!G7</f>
        <v>1020653.85</v>
      </c>
    </row>
    <row r="3" spans="1:9" ht="15.75" x14ac:dyDescent="0.25">
      <c r="A3" s="112" t="s">
        <v>69</v>
      </c>
      <c r="B3" s="112"/>
      <c r="C3" s="112"/>
      <c r="D3" s="112"/>
      <c r="E3" s="112"/>
      <c r="F3" s="112"/>
      <c r="G3" s="112"/>
      <c r="H3" s="109" t="s">
        <v>70</v>
      </c>
      <c r="I3" s="111">
        <f>F8</f>
        <v>1020653.85</v>
      </c>
    </row>
    <row r="4" spans="1:9" ht="15.75" x14ac:dyDescent="0.25">
      <c r="A4" s="112" t="s">
        <v>71</v>
      </c>
      <c r="B4" s="112"/>
      <c r="C4" s="112"/>
      <c r="D4" s="112"/>
      <c r="E4" s="112"/>
      <c r="F4" s="112"/>
      <c r="G4" s="112"/>
      <c r="H4" s="109" t="s">
        <v>72</v>
      </c>
      <c r="I4" s="113">
        <f>I2-I3</f>
        <v>0</v>
      </c>
    </row>
    <row r="5" spans="1:9" ht="15.75" x14ac:dyDescent="0.25">
      <c r="A5" s="112" t="s">
        <v>73</v>
      </c>
      <c r="B5" s="112"/>
      <c r="C5" s="112"/>
      <c r="D5" s="112"/>
      <c r="E5" s="112"/>
      <c r="F5" s="112"/>
      <c r="G5" s="112"/>
    </row>
    <row r="6" spans="1:9" x14ac:dyDescent="0.25">
      <c r="A6" s="114"/>
      <c r="B6" s="114"/>
      <c r="C6" s="114"/>
      <c r="D6" s="114"/>
      <c r="E6" s="114"/>
    </row>
    <row r="7" spans="1:9" x14ac:dyDescent="0.25">
      <c r="A7" s="115" t="s">
        <v>74</v>
      </c>
      <c r="B7" s="116" t="s">
        <v>75</v>
      </c>
      <c r="C7" s="116"/>
      <c r="D7" s="116" t="s">
        <v>76</v>
      </c>
      <c r="E7" s="116"/>
      <c r="F7" s="117" t="s">
        <v>77</v>
      </c>
      <c r="G7" s="117" t="s">
        <v>78</v>
      </c>
    </row>
    <row r="8" spans="1:9" ht="15.75" x14ac:dyDescent="0.25">
      <c r="A8" s="118" t="s">
        <v>79</v>
      </c>
      <c r="B8" s="119">
        <f>SUM(B9:B16)</f>
        <v>86517256</v>
      </c>
      <c r="C8" s="119"/>
      <c r="D8" s="119">
        <f>SUM(D9:D16)</f>
        <v>86517256</v>
      </c>
      <c r="E8" s="119"/>
      <c r="F8" s="120">
        <f>SUM(F9:F16)</f>
        <v>1020653.85</v>
      </c>
      <c r="G8" s="120">
        <f>F8-D8</f>
        <v>-85496602.150000006</v>
      </c>
    </row>
    <row r="9" spans="1:9" ht="15.75" x14ac:dyDescent="0.25">
      <c r="A9" s="121" t="s">
        <v>80</v>
      </c>
      <c r="B9" s="122"/>
      <c r="C9" s="123"/>
      <c r="D9" s="122"/>
      <c r="E9" s="123"/>
      <c r="F9" s="124"/>
      <c r="G9" s="124">
        <f t="shared" ref="G9:G22" si="0">F9-D9</f>
        <v>0</v>
      </c>
    </row>
    <row r="10" spans="1:9" ht="15.75" x14ac:dyDescent="0.25">
      <c r="A10" s="121" t="s">
        <v>81</v>
      </c>
      <c r="B10" s="125"/>
      <c r="C10" s="126"/>
      <c r="D10" s="122"/>
      <c r="E10" s="123"/>
      <c r="F10" s="124"/>
      <c r="G10" s="124">
        <f t="shared" si="0"/>
        <v>0</v>
      </c>
    </row>
    <row r="11" spans="1:9" ht="15.75" x14ac:dyDescent="0.25">
      <c r="A11" s="121" t="s">
        <v>82</v>
      </c>
      <c r="B11" s="125">
        <f>HLOOKUP($A$1,[1]DADOS!$A1:$IV174,4,0)</f>
        <v>16517256</v>
      </c>
      <c r="C11" s="126"/>
      <c r="D11" s="122">
        <f>$B$11</f>
        <v>16517256</v>
      </c>
      <c r="E11" s="123"/>
      <c r="F11" s="127">
        <f>HLOOKUP($A$1,[1]DADOS!$A1:$IV174,8,0)</f>
        <v>905293.08</v>
      </c>
      <c r="G11" s="124">
        <f>F11-D11</f>
        <v>-15611962.92</v>
      </c>
    </row>
    <row r="12" spans="1:9" ht="15.75" x14ac:dyDescent="0.25">
      <c r="A12" s="121" t="s">
        <v>83</v>
      </c>
      <c r="B12" s="125"/>
      <c r="C12" s="126"/>
      <c r="D12" s="122">
        <f>B12</f>
        <v>0</v>
      </c>
      <c r="E12" s="123"/>
      <c r="F12" s="124"/>
      <c r="G12" s="124">
        <f t="shared" si="0"/>
        <v>0</v>
      </c>
    </row>
    <row r="13" spans="1:9" ht="15.75" x14ac:dyDescent="0.25">
      <c r="A13" s="121" t="s">
        <v>84</v>
      </c>
      <c r="B13" s="122"/>
      <c r="C13" s="123"/>
      <c r="D13" s="122">
        <f>B13</f>
        <v>0</v>
      </c>
      <c r="E13" s="123"/>
      <c r="F13" s="124"/>
      <c r="G13" s="124">
        <f t="shared" si="0"/>
        <v>0</v>
      </c>
    </row>
    <row r="14" spans="1:9" ht="15.75" x14ac:dyDescent="0.25">
      <c r="A14" s="121" t="s">
        <v>85</v>
      </c>
      <c r="B14" s="122"/>
      <c r="C14" s="123"/>
      <c r="D14" s="122">
        <f>B14</f>
        <v>0</v>
      </c>
      <c r="E14" s="123"/>
      <c r="F14" s="124"/>
      <c r="G14" s="124">
        <f t="shared" si="0"/>
        <v>0</v>
      </c>
    </row>
    <row r="15" spans="1:9" ht="15.75" x14ac:dyDescent="0.25">
      <c r="A15" s="121" t="s">
        <v>86</v>
      </c>
      <c r="B15" s="122"/>
      <c r="C15" s="123"/>
      <c r="D15" s="122">
        <f>B15</f>
        <v>0</v>
      </c>
      <c r="E15" s="123"/>
      <c r="F15" s="124">
        <f>HLOOKUP($A$1,[1]DADOS!$A1:$IV174,53,0)+HLOOKUP($A$1,[1]DADOS!$A1:$IV174,59,0)</f>
        <v>0</v>
      </c>
      <c r="G15" s="124">
        <f>F15-D15</f>
        <v>0</v>
      </c>
    </row>
    <row r="16" spans="1:9" ht="15.75" x14ac:dyDescent="0.25">
      <c r="A16" s="121" t="s">
        <v>87</v>
      </c>
      <c r="B16" s="125">
        <f>HLOOKUP($A$1,[1]DADOS!$A1:$IV174,12,0)</f>
        <v>70000000</v>
      </c>
      <c r="C16" s="126"/>
      <c r="D16" s="122">
        <f>$B$16</f>
        <v>70000000</v>
      </c>
      <c r="E16" s="123"/>
      <c r="F16" s="127">
        <f>HLOOKUP($A$1,[1]DADOS!$A1:$IV174,16,0)+HLOOKUP($A$1,[1]DADOS!$A1:$IV174,26,0)+HLOOKUP($A$1,[1]DADOS!$A1:$IV174,34,0)+HLOOKUP($A$1,[1]DADOS!$A1:$IV174,44,0)</f>
        <v>115360.76999999999</v>
      </c>
      <c r="G16" s="124">
        <f>F16-D16</f>
        <v>-69884639.230000004</v>
      </c>
    </row>
    <row r="17" spans="1:9" ht="15.75" x14ac:dyDescent="0.25">
      <c r="A17" s="128" t="s">
        <v>88</v>
      </c>
      <c r="B17" s="129">
        <f>SUM(B18:B22)</f>
        <v>0</v>
      </c>
      <c r="C17" s="129"/>
      <c r="D17" s="129">
        <f>SUM(D18:D22)</f>
        <v>0</v>
      </c>
      <c r="E17" s="129"/>
      <c r="F17" s="130">
        <f>SUM(F18:F22)</f>
        <v>0</v>
      </c>
      <c r="G17" s="130">
        <f t="shared" si="0"/>
        <v>0</v>
      </c>
    </row>
    <row r="18" spans="1:9" ht="15.75" x14ac:dyDescent="0.25">
      <c r="A18" s="121" t="s">
        <v>89</v>
      </c>
      <c r="B18" s="131"/>
      <c r="C18" s="132"/>
      <c r="D18" s="131"/>
      <c r="E18" s="132"/>
      <c r="F18" s="133"/>
      <c r="G18" s="134">
        <f t="shared" si="0"/>
        <v>0</v>
      </c>
    </row>
    <row r="19" spans="1:9" ht="15.75" x14ac:dyDescent="0.25">
      <c r="A19" s="121" t="s">
        <v>90</v>
      </c>
      <c r="B19" s="131"/>
      <c r="C19" s="132"/>
      <c r="D19" s="131"/>
      <c r="E19" s="132"/>
      <c r="F19" s="133"/>
      <c r="G19" s="134">
        <f t="shared" si="0"/>
        <v>0</v>
      </c>
    </row>
    <row r="20" spans="1:9" ht="15.75" x14ac:dyDescent="0.25">
      <c r="A20" s="121" t="s">
        <v>91</v>
      </c>
      <c r="B20" s="131"/>
      <c r="C20" s="132"/>
      <c r="D20" s="131"/>
      <c r="E20" s="132"/>
      <c r="F20" s="133"/>
      <c r="G20" s="134">
        <f t="shared" si="0"/>
        <v>0</v>
      </c>
    </row>
    <row r="21" spans="1:9" ht="15.75" x14ac:dyDescent="0.25">
      <c r="A21" s="121" t="s">
        <v>92</v>
      </c>
      <c r="B21" s="131"/>
      <c r="C21" s="132"/>
      <c r="D21" s="131"/>
      <c r="E21" s="132"/>
      <c r="F21" s="133"/>
      <c r="G21" s="134">
        <f t="shared" si="0"/>
        <v>0</v>
      </c>
    </row>
    <row r="22" spans="1:9" ht="15.75" x14ac:dyDescent="0.25">
      <c r="A22" s="121" t="s">
        <v>93</v>
      </c>
      <c r="B22" s="131"/>
      <c r="C22" s="132"/>
      <c r="D22" s="131"/>
      <c r="E22" s="132"/>
      <c r="F22" s="133"/>
      <c r="G22" s="134">
        <f t="shared" si="0"/>
        <v>0</v>
      </c>
    </row>
    <row r="23" spans="1:9" ht="15.75" hidden="1" x14ac:dyDescent="0.25">
      <c r="A23" s="135"/>
      <c r="B23" s="136"/>
      <c r="C23" s="137"/>
      <c r="D23" s="136"/>
      <c r="E23" s="137"/>
      <c r="F23" s="138"/>
      <c r="G23" s="138"/>
    </row>
    <row r="24" spans="1:9" s="141" customFormat="1" ht="15.75" x14ac:dyDescent="0.25">
      <c r="A24" s="128" t="s">
        <v>94</v>
      </c>
      <c r="B24" s="139">
        <f>B8+B17+B23</f>
        <v>86517256</v>
      </c>
      <c r="C24" s="139"/>
      <c r="D24" s="139">
        <f>D8+D17+D23</f>
        <v>86517256</v>
      </c>
      <c r="E24" s="139"/>
      <c r="F24" s="140">
        <f>F8+F17+F23</f>
        <v>1020653.85</v>
      </c>
      <c r="G24" s="140">
        <f>F24-D24</f>
        <v>-85496602.150000006</v>
      </c>
      <c r="I24" s="142"/>
    </row>
    <row r="25" spans="1:9" ht="15.75" x14ac:dyDescent="0.25">
      <c r="A25" s="118" t="s">
        <v>95</v>
      </c>
      <c r="B25" s="143">
        <f>SUM(B26:B31)</f>
        <v>0</v>
      </c>
      <c r="C25" s="143"/>
      <c r="D25" s="143">
        <f>SUM(D26:D31)</f>
        <v>0</v>
      </c>
      <c r="E25" s="143"/>
      <c r="F25" s="144">
        <f>SUM(F26:F31)</f>
        <v>0</v>
      </c>
      <c r="G25" s="144">
        <f>F25-D25</f>
        <v>0</v>
      </c>
    </row>
    <row r="26" spans="1:9" ht="15.75" x14ac:dyDescent="0.25">
      <c r="A26" s="121" t="s">
        <v>96</v>
      </c>
      <c r="B26" s="145"/>
      <c r="C26" s="146"/>
      <c r="D26" s="131"/>
      <c r="E26" s="132"/>
      <c r="F26" s="133"/>
      <c r="G26" s="133"/>
    </row>
    <row r="27" spans="1:9" ht="15.75" x14ac:dyDescent="0.25">
      <c r="A27" s="121" t="s">
        <v>97</v>
      </c>
      <c r="B27" s="131"/>
      <c r="C27" s="132"/>
      <c r="D27" s="131"/>
      <c r="E27" s="132"/>
      <c r="F27" s="133"/>
      <c r="G27" s="133"/>
    </row>
    <row r="28" spans="1:9" ht="15.75" x14ac:dyDescent="0.25">
      <c r="A28" s="121" t="s">
        <v>98</v>
      </c>
      <c r="B28" s="131"/>
      <c r="C28" s="132"/>
      <c r="D28" s="131"/>
      <c r="E28" s="132"/>
      <c r="F28" s="133"/>
      <c r="G28" s="133"/>
    </row>
    <row r="29" spans="1:9" ht="15.75" x14ac:dyDescent="0.25">
      <c r="A29" s="121" t="s">
        <v>99</v>
      </c>
      <c r="B29" s="131"/>
      <c r="C29" s="132"/>
      <c r="D29" s="131"/>
      <c r="E29" s="132"/>
      <c r="F29" s="133"/>
      <c r="G29" s="133"/>
    </row>
    <row r="30" spans="1:9" ht="15.75" x14ac:dyDescent="0.25">
      <c r="A30" s="121" t="s">
        <v>97</v>
      </c>
      <c r="B30" s="131"/>
      <c r="C30" s="132"/>
      <c r="D30" s="131"/>
      <c r="E30" s="132"/>
      <c r="F30" s="133"/>
      <c r="G30" s="133"/>
    </row>
    <row r="31" spans="1:9" ht="15.75" x14ac:dyDescent="0.25">
      <c r="A31" s="121" t="s">
        <v>98</v>
      </c>
      <c r="B31" s="131"/>
      <c r="C31" s="132"/>
      <c r="D31" s="131"/>
      <c r="E31" s="132"/>
      <c r="F31" s="133"/>
      <c r="G31" s="133"/>
    </row>
    <row r="32" spans="1:9" ht="15.75" x14ac:dyDescent="0.25">
      <c r="A32" s="128" t="s">
        <v>100</v>
      </c>
      <c r="B32" s="139">
        <f>B25+B24</f>
        <v>86517256</v>
      </c>
      <c r="C32" s="139"/>
      <c r="D32" s="139">
        <f>D25+D24</f>
        <v>86517256</v>
      </c>
      <c r="E32" s="139"/>
      <c r="F32" s="140">
        <f>F25+F24</f>
        <v>1020653.85</v>
      </c>
      <c r="G32" s="140">
        <f>F32-D32</f>
        <v>-85496602.150000006</v>
      </c>
    </row>
    <row r="33" spans="1:9" ht="15.75" x14ac:dyDescent="0.25">
      <c r="A33" s="135" t="s">
        <v>101</v>
      </c>
      <c r="B33" s="147">
        <f>IF(B32&gt;B59,0,B59-B32)</f>
        <v>0</v>
      </c>
      <c r="C33" s="147"/>
      <c r="D33" s="147">
        <f>IF(D32&gt;C59,0,C59-D32)</f>
        <v>0</v>
      </c>
      <c r="E33" s="147"/>
      <c r="F33" s="148">
        <f>IF(F32&gt;D59,0,D59-F32)</f>
        <v>9855823.2200000007</v>
      </c>
      <c r="G33" s="148">
        <f>+F33-D33</f>
        <v>9855823.2200000007</v>
      </c>
      <c r="H33" s="149"/>
    </row>
    <row r="34" spans="1:9" s="141" customFormat="1" ht="15.75" x14ac:dyDescent="0.25">
      <c r="A34" s="128" t="s">
        <v>102</v>
      </c>
      <c r="B34" s="139">
        <f>B32+B33</f>
        <v>86517256</v>
      </c>
      <c r="C34" s="139"/>
      <c r="D34" s="139">
        <f>D32+D33</f>
        <v>86517256</v>
      </c>
      <c r="E34" s="139"/>
      <c r="F34" s="140">
        <f>F32+F33</f>
        <v>10876477.07</v>
      </c>
      <c r="G34" s="140">
        <f>F34-D34</f>
        <v>-75640778.930000007</v>
      </c>
      <c r="I34" s="142"/>
    </row>
    <row r="35" spans="1:9" ht="15.75" x14ac:dyDescent="0.25">
      <c r="A35" s="150" t="s">
        <v>103</v>
      </c>
      <c r="B35" s="151">
        <f>SUM(B36:C38)</f>
        <v>0</v>
      </c>
      <c r="C35" s="152"/>
      <c r="D35" s="151">
        <f>SUM(D36:E38)</f>
        <v>0</v>
      </c>
      <c r="E35" s="152"/>
      <c r="F35" s="153">
        <f>SUM(F36:F38)</f>
        <v>0</v>
      </c>
      <c r="G35" s="153">
        <f>SUM(G36:G38)</f>
        <v>0</v>
      </c>
    </row>
    <row r="36" spans="1:9" x14ac:dyDescent="0.25">
      <c r="A36" s="154" t="s">
        <v>104</v>
      </c>
      <c r="B36" s="155"/>
      <c r="C36" s="156"/>
      <c r="D36" s="157"/>
      <c r="E36" s="157"/>
      <c r="F36" s="158"/>
      <c r="G36" s="158"/>
    </row>
    <row r="37" spans="1:9" ht="15.75" x14ac:dyDescent="0.25">
      <c r="A37" s="159" t="s">
        <v>105</v>
      </c>
      <c r="B37" s="145"/>
      <c r="C37" s="160"/>
      <c r="D37" s="145"/>
      <c r="E37" s="160"/>
      <c r="F37" s="161"/>
      <c r="G37" s="162"/>
      <c r="H37" s="161"/>
    </row>
    <row r="38" spans="1:9" ht="15.75" x14ac:dyDescent="0.25">
      <c r="A38" s="163" t="s">
        <v>106</v>
      </c>
      <c r="B38" s="164"/>
      <c r="C38" s="165"/>
      <c r="D38" s="164"/>
      <c r="E38" s="165"/>
      <c r="F38" s="164"/>
      <c r="G38" s="166"/>
      <c r="H38" s="161"/>
    </row>
    <row r="40" spans="1:9" s="169" customFormat="1" ht="30" x14ac:dyDescent="0.2">
      <c r="A40" s="167" t="s">
        <v>107</v>
      </c>
      <c r="B40" s="168" t="s">
        <v>108</v>
      </c>
      <c r="C40" s="168" t="s">
        <v>109</v>
      </c>
      <c r="D40" s="168" t="s">
        <v>110</v>
      </c>
      <c r="E40" s="168" t="s">
        <v>111</v>
      </c>
      <c r="F40" s="168" t="s">
        <v>112</v>
      </c>
      <c r="G40" s="168" t="s">
        <v>113</v>
      </c>
      <c r="I40" s="170"/>
    </row>
    <row r="41" spans="1:9" ht="15.75" x14ac:dyDescent="0.25">
      <c r="A41" s="118" t="s">
        <v>114</v>
      </c>
      <c r="B41" s="171">
        <f>SUM(B42:B44)</f>
        <v>65513385</v>
      </c>
      <c r="C41" s="171">
        <f>SUM(C42:C44)</f>
        <v>65513385</v>
      </c>
      <c r="D41" s="171">
        <f>SUM(D42:D44)</f>
        <v>10876477.07</v>
      </c>
      <c r="E41" s="171">
        <f>SUM(E42:E44)</f>
        <v>0</v>
      </c>
      <c r="F41" s="171">
        <f>SUM(F42:F44)</f>
        <v>0</v>
      </c>
      <c r="G41" s="171">
        <f>C41-D41</f>
        <v>54636907.93</v>
      </c>
    </row>
    <row r="42" spans="1:9" ht="15.75" x14ac:dyDescent="0.25">
      <c r="A42" s="121" t="s">
        <v>115</v>
      </c>
      <c r="B42" s="121"/>
      <c r="C42" s="121"/>
      <c r="D42" s="121"/>
      <c r="E42" s="121"/>
      <c r="F42" s="121"/>
      <c r="G42" s="121"/>
    </row>
    <row r="43" spans="1:9" ht="15.75" x14ac:dyDescent="0.25">
      <c r="A43" s="121" t="s">
        <v>116</v>
      </c>
      <c r="B43" s="121"/>
      <c r="C43" s="121"/>
      <c r="D43" s="121"/>
      <c r="E43" s="121"/>
      <c r="F43" s="121"/>
      <c r="G43" s="121"/>
    </row>
    <row r="44" spans="1:9" ht="15.75" x14ac:dyDescent="0.25">
      <c r="A44" s="121" t="s">
        <v>117</v>
      </c>
      <c r="B44" s="172">
        <f>HLOOKUP($A$1,[1]DADOS!$A1:$IV174,100,0)</f>
        <v>65513385</v>
      </c>
      <c r="C44" s="173">
        <f>HLOOKUP($A$1,[1]DADOS!$A1:$IV174,101,0)</f>
        <v>65513385</v>
      </c>
      <c r="D44" s="172">
        <f>HLOOKUP($A$1,[1]DADOS!$A1:$IV174,102,0)</f>
        <v>10876477.07</v>
      </c>
      <c r="E44" s="172">
        <f>HLOOKUP($A$1,[1]DADOS!$A1:$IV174,103,0)</f>
        <v>0</v>
      </c>
      <c r="F44" s="172">
        <f>HLOOKUP($A$1,[1]DADOS!$A1:$IV174,104,0)</f>
        <v>0</v>
      </c>
      <c r="G44" s="173">
        <f>C44-D44</f>
        <v>54636907.93</v>
      </c>
    </row>
    <row r="45" spans="1:9" ht="15.75" x14ac:dyDescent="0.25">
      <c r="A45" s="128" t="s">
        <v>118</v>
      </c>
      <c r="B45" s="174">
        <f>SUM(B46:B48)</f>
        <v>43000</v>
      </c>
      <c r="C45" s="174">
        <f>SUM(C46:C48)</f>
        <v>43000</v>
      </c>
      <c r="D45" s="174">
        <f>SUM(D46:D48)</f>
        <v>0</v>
      </c>
      <c r="E45" s="174">
        <f>SUM(E46:E48)</f>
        <v>0</v>
      </c>
      <c r="F45" s="174">
        <f>SUM(F46:F48)</f>
        <v>0</v>
      </c>
      <c r="G45" s="175">
        <f>C45-D45</f>
        <v>43000</v>
      </c>
    </row>
    <row r="46" spans="1:9" ht="15.75" x14ac:dyDescent="0.25">
      <c r="A46" s="121" t="s">
        <v>119</v>
      </c>
      <c r="B46" s="172">
        <f>HLOOKUP($A$1,[1]DADOS!$A1:$IV174,106,0)</f>
        <v>43000</v>
      </c>
      <c r="C46" s="173">
        <f>HLOOKUP($A$1,[1]DADOS!$A1:$IV174,107,0)</f>
        <v>43000</v>
      </c>
      <c r="D46" s="172">
        <f>HLOOKUP($A$1,[1]DADOS!$A1:$IV174,108,0)</f>
        <v>0</v>
      </c>
      <c r="E46" s="172">
        <f>HLOOKUP($A$1,[1]DADOS!$A1:$IV174,109,0)</f>
        <v>0</v>
      </c>
      <c r="F46" s="172">
        <f>HLOOKUP($A$1,[1]DADOS!$A1:$IV174,110,0)</f>
        <v>0</v>
      </c>
      <c r="G46" s="173">
        <f>C46-D46</f>
        <v>43000</v>
      </c>
    </row>
    <row r="47" spans="1:9" ht="15.75" x14ac:dyDescent="0.25">
      <c r="A47" s="121" t="s">
        <v>120</v>
      </c>
      <c r="B47" s="121"/>
      <c r="C47" s="121"/>
      <c r="D47" s="121"/>
      <c r="E47" s="121"/>
      <c r="F47" s="121"/>
      <c r="G47" s="121"/>
    </row>
    <row r="48" spans="1:9" ht="15.75" x14ac:dyDescent="0.25">
      <c r="A48" s="121" t="s">
        <v>121</v>
      </c>
      <c r="B48" s="121"/>
      <c r="C48" s="121"/>
      <c r="D48" s="121"/>
      <c r="E48" s="121"/>
      <c r="F48" s="121"/>
      <c r="G48" s="121"/>
    </row>
    <row r="49" spans="1:16" ht="15.75" x14ac:dyDescent="0.25">
      <c r="A49" s="176" t="s">
        <v>122</v>
      </c>
      <c r="B49" s="176"/>
      <c r="C49" s="176"/>
      <c r="D49" s="176"/>
      <c r="E49" s="176"/>
      <c r="F49" s="176"/>
      <c r="G49" s="176"/>
    </row>
    <row r="50" spans="1:16" ht="15.75" hidden="1" x14ac:dyDescent="0.25">
      <c r="A50" s="176" t="s">
        <v>123</v>
      </c>
      <c r="B50" s="176"/>
      <c r="C50" s="176"/>
      <c r="D50" s="176"/>
      <c r="E50" s="176"/>
      <c r="F50" s="176"/>
      <c r="G50" s="176"/>
    </row>
    <row r="51" spans="1:16" ht="15.75" x14ac:dyDescent="0.25">
      <c r="A51" s="128" t="s">
        <v>124</v>
      </c>
      <c r="B51" s="175">
        <f>B41+B45+B49+B50</f>
        <v>65556385</v>
      </c>
      <c r="C51" s="175">
        <f>C41+C45+C49+C50</f>
        <v>65556385</v>
      </c>
      <c r="D51" s="175">
        <f>D41+D45+D49+D50</f>
        <v>10876477.07</v>
      </c>
      <c r="E51" s="175">
        <f>E41+E45+E49+E50</f>
        <v>0</v>
      </c>
      <c r="F51" s="175">
        <f>F41+F45+F49+F50</f>
        <v>0</v>
      </c>
      <c r="G51" s="175">
        <f>C51-D51</f>
        <v>54679907.93</v>
      </c>
    </row>
    <row r="52" spans="1:16" ht="15.75" x14ac:dyDescent="0.25">
      <c r="A52" s="118" t="s">
        <v>125</v>
      </c>
      <c r="B52" s="153">
        <f>SUM(B53:B58)</f>
        <v>0</v>
      </c>
      <c r="C52" s="153">
        <f>SUM(C53:C58)</f>
        <v>0</v>
      </c>
      <c r="D52" s="153">
        <f>SUM(D53:D58)</f>
        <v>0</v>
      </c>
      <c r="E52" s="153">
        <f>SUM(E53:E58)</f>
        <v>0</v>
      </c>
      <c r="F52" s="153">
        <f>SUM(F53:F58)</f>
        <v>0</v>
      </c>
      <c r="G52" s="153">
        <f>(C52-D52)</f>
        <v>0</v>
      </c>
    </row>
    <row r="53" spans="1:16" ht="15.75" x14ac:dyDescent="0.25">
      <c r="A53" s="121" t="s">
        <v>126</v>
      </c>
      <c r="B53" s="121"/>
      <c r="C53" s="121"/>
      <c r="D53" s="121"/>
      <c r="E53" s="121"/>
      <c r="F53" s="121"/>
      <c r="G53" s="121"/>
    </row>
    <row r="54" spans="1:16" ht="15.75" x14ac:dyDescent="0.25">
      <c r="A54" s="121" t="s">
        <v>127</v>
      </c>
      <c r="B54" s="121"/>
      <c r="C54" s="121"/>
      <c r="D54" s="121"/>
      <c r="E54" s="121"/>
      <c r="F54" s="121"/>
      <c r="G54" s="121"/>
    </row>
    <row r="55" spans="1:16" ht="15.75" x14ac:dyDescent="0.25">
      <c r="A55" s="121" t="s">
        <v>128</v>
      </c>
      <c r="B55" s="121"/>
      <c r="C55" s="121"/>
      <c r="D55" s="121"/>
      <c r="E55" s="121"/>
      <c r="F55" s="121"/>
      <c r="G55" s="121"/>
    </row>
    <row r="56" spans="1:16" ht="15.75" x14ac:dyDescent="0.25">
      <c r="A56" s="121" t="s">
        <v>129</v>
      </c>
      <c r="B56" s="121"/>
      <c r="C56" s="121"/>
      <c r="D56" s="121"/>
      <c r="E56" s="121"/>
      <c r="F56" s="121"/>
      <c r="G56" s="121"/>
    </row>
    <row r="57" spans="1:16" ht="15.75" x14ac:dyDescent="0.25">
      <c r="A57" s="121" t="s">
        <v>130</v>
      </c>
      <c r="B57" s="121"/>
      <c r="C57" s="121"/>
      <c r="D57" s="121"/>
      <c r="E57" s="121"/>
      <c r="F57" s="121"/>
      <c r="G57" s="121"/>
    </row>
    <row r="58" spans="1:16" ht="15.75" x14ac:dyDescent="0.25">
      <c r="A58" s="121" t="s">
        <v>128</v>
      </c>
      <c r="B58" s="121"/>
      <c r="C58" s="121"/>
      <c r="D58" s="121"/>
      <c r="E58" s="121"/>
      <c r="F58" s="121"/>
      <c r="G58" s="121"/>
    </row>
    <row r="59" spans="1:16" ht="15.75" x14ac:dyDescent="0.25">
      <c r="A59" s="128" t="s">
        <v>131</v>
      </c>
      <c r="B59" s="175">
        <f>(B51+B52)</f>
        <v>65556385</v>
      </c>
      <c r="C59" s="175">
        <f>(C51+C52)</f>
        <v>65556385</v>
      </c>
      <c r="D59" s="175">
        <f>(D51+D52)</f>
        <v>10876477.07</v>
      </c>
      <c r="E59" s="175">
        <f>(E51+E52)</f>
        <v>0</v>
      </c>
      <c r="F59" s="175">
        <f>(F51+F52)</f>
        <v>0</v>
      </c>
      <c r="G59" s="174">
        <f>(C59-D59)</f>
        <v>54679907.93</v>
      </c>
    </row>
    <row r="60" spans="1:16" ht="15.75" x14ac:dyDescent="0.25">
      <c r="A60" s="128" t="s">
        <v>132</v>
      </c>
      <c r="B60" s="174">
        <f>IF(B32&gt;B59,B32-B59,0)</f>
        <v>20960871</v>
      </c>
      <c r="C60" s="174">
        <f>IF(D32&gt;C59,D32-C59,0)</f>
        <v>20960871</v>
      </c>
      <c r="D60" s="174">
        <f>IF(F32&gt;D59,F32-D59,0)</f>
        <v>0</v>
      </c>
      <c r="E60" s="174">
        <f>IF(E32&gt;E59,E32-E59,0)</f>
        <v>0</v>
      </c>
      <c r="F60" s="174">
        <v>0</v>
      </c>
      <c r="G60" s="140">
        <f>+C60-D60</f>
        <v>20960871</v>
      </c>
    </row>
    <row r="61" spans="1:16" ht="15.75" x14ac:dyDescent="0.25">
      <c r="A61" s="128" t="s">
        <v>133</v>
      </c>
      <c r="B61" s="175">
        <f>B59+B60</f>
        <v>86517256</v>
      </c>
      <c r="C61" s="175">
        <f>C59+C60</f>
        <v>86517256</v>
      </c>
      <c r="D61" s="175">
        <f>D59+D60</f>
        <v>10876477.07</v>
      </c>
      <c r="E61" s="175">
        <f>E59+E60</f>
        <v>0</v>
      </c>
      <c r="F61" s="175">
        <f>F59+F60</f>
        <v>0</v>
      </c>
      <c r="G61" s="174">
        <f>(C61-D61)</f>
        <v>75640778.930000007</v>
      </c>
    </row>
    <row r="62" spans="1:16" ht="15.75" x14ac:dyDescent="0.25">
      <c r="A62" s="177" t="s">
        <v>134</v>
      </c>
      <c r="B62" s="175"/>
      <c r="C62" s="175"/>
      <c r="D62" s="175"/>
      <c r="E62" s="175"/>
      <c r="F62" s="175"/>
      <c r="G62" s="174"/>
    </row>
    <row r="63" spans="1:16" s="73" customFormat="1" ht="13.5" customHeight="1" x14ac:dyDescent="0.2">
      <c r="A63" s="178" t="s">
        <v>46</v>
      </c>
      <c r="B63" s="69"/>
      <c r="C63" s="69"/>
      <c r="D63" s="69"/>
      <c r="E63" s="70"/>
      <c r="F63" s="70"/>
      <c r="G63" s="70"/>
      <c r="H63" s="69"/>
      <c r="I63" s="179" t="s">
        <v>135</v>
      </c>
      <c r="J63" s="69"/>
      <c r="K63" s="70"/>
      <c r="L63" s="70"/>
      <c r="M63" s="70"/>
      <c r="N63" s="71"/>
    </row>
    <row r="64" spans="1:16" s="73" customFormat="1" ht="15" customHeight="1" x14ac:dyDescent="0.2">
      <c r="A64" s="178" t="s">
        <v>47</v>
      </c>
      <c r="B64" s="75"/>
      <c r="C64" s="75"/>
      <c r="D64" s="75"/>
      <c r="E64" s="75"/>
      <c r="F64" s="75"/>
      <c r="G64" s="75"/>
      <c r="H64" s="75"/>
      <c r="I64" s="180">
        <f>G34</f>
        <v>-75640778.930000007</v>
      </c>
      <c r="J64" s="181" t="s">
        <v>136</v>
      </c>
      <c r="K64" s="75"/>
      <c r="L64" s="75"/>
      <c r="M64" s="75"/>
      <c r="N64" s="182"/>
      <c r="P64" s="183"/>
    </row>
    <row r="65" spans="1:14" s="73" customFormat="1" ht="14.85" customHeight="1" x14ac:dyDescent="0.2">
      <c r="A65" s="184" t="s">
        <v>48</v>
      </c>
      <c r="B65" s="184"/>
      <c r="C65" s="184"/>
      <c r="D65" s="184"/>
      <c r="E65" s="184"/>
      <c r="F65" s="184"/>
      <c r="G65" s="184"/>
      <c r="H65" s="185"/>
      <c r="I65" s="186">
        <f>G61</f>
        <v>75640778.930000007</v>
      </c>
      <c r="J65" s="185" t="s">
        <v>137</v>
      </c>
      <c r="K65" s="185"/>
      <c r="L65" s="185"/>
      <c r="M65" s="187"/>
      <c r="N65" s="76"/>
    </row>
    <row r="66" spans="1:14" s="73" customFormat="1" ht="14.85" customHeight="1" x14ac:dyDescent="0.2">
      <c r="A66" s="188" t="s">
        <v>49</v>
      </c>
      <c r="B66" s="188"/>
      <c r="C66" s="188"/>
      <c r="D66" s="188"/>
      <c r="E66" s="188"/>
      <c r="F66" s="188"/>
      <c r="G66" s="188"/>
      <c r="H66" s="188"/>
      <c r="I66" s="189">
        <f>SUM(I64:I65)</f>
        <v>0</v>
      </c>
      <c r="J66" s="188"/>
      <c r="K66" s="188"/>
      <c r="L66" s="188"/>
      <c r="M66" s="190"/>
      <c r="N66" s="191"/>
    </row>
    <row r="67" spans="1:14" s="73" customFormat="1" ht="14.85" customHeight="1" x14ac:dyDescent="0.2">
      <c r="A67" s="184" t="s">
        <v>138</v>
      </c>
      <c r="B67" s="184"/>
      <c r="C67" s="184"/>
      <c r="D67" s="184"/>
      <c r="E67" s="184"/>
      <c r="F67" s="184"/>
      <c r="G67" s="184"/>
      <c r="H67" s="185"/>
      <c r="I67" s="185"/>
      <c r="J67" s="185"/>
      <c r="K67" s="185"/>
      <c r="L67" s="185"/>
      <c r="M67" s="187"/>
      <c r="N67" s="191"/>
    </row>
    <row r="68" spans="1:14" s="73" customFormat="1" ht="14.85" customHeight="1" x14ac:dyDescent="0.2">
      <c r="A68" s="192" t="s">
        <v>139</v>
      </c>
      <c r="B68" s="192"/>
      <c r="C68" s="192"/>
      <c r="D68" s="192"/>
      <c r="E68" s="192"/>
      <c r="F68" s="192"/>
      <c r="G68" s="192"/>
      <c r="H68" s="185"/>
      <c r="I68" s="185"/>
      <c r="J68" s="185"/>
      <c r="K68" s="185"/>
      <c r="L68" s="185"/>
      <c r="M68" s="187"/>
      <c r="N68" s="191"/>
    </row>
    <row r="69" spans="1:14" s="73" customFormat="1" ht="14.85" customHeight="1" x14ac:dyDescent="0.2">
      <c r="A69" s="193" t="s">
        <v>140</v>
      </c>
      <c r="B69" s="193"/>
      <c r="C69" s="193"/>
      <c r="D69" s="193"/>
      <c r="E69" s="193"/>
      <c r="F69" s="193"/>
      <c r="G69" s="193"/>
      <c r="H69" s="193"/>
      <c r="I69" s="193"/>
      <c r="J69" s="193"/>
      <c r="K69" s="193"/>
      <c r="L69" s="193"/>
      <c r="N69" s="191"/>
    </row>
    <row r="70" spans="1:14" ht="12.75" customHeight="1" x14ac:dyDescent="0.25">
      <c r="A70" s="194"/>
    </row>
    <row r="71" spans="1:14" ht="12.75" customHeight="1" x14ac:dyDescent="0.25">
      <c r="A71" s="194"/>
    </row>
    <row r="72" spans="1:14" ht="12" customHeight="1" x14ac:dyDescent="0.25">
      <c r="A72" s="194"/>
    </row>
    <row r="76" spans="1:14" s="97" customFormat="1" ht="13.5" customHeight="1" x14ac:dyDescent="0.2">
      <c r="A76" s="90"/>
      <c r="B76" s="195"/>
      <c r="C76" s="195"/>
      <c r="D76" s="195"/>
      <c r="E76" s="196"/>
      <c r="F76" s="196"/>
      <c r="G76" s="196"/>
      <c r="H76" s="196"/>
      <c r="I76" s="197"/>
    </row>
    <row r="77" spans="1:14" s="2" customFormat="1" ht="13.5" customHeight="1" x14ac:dyDescent="0.2">
      <c r="A77" s="95"/>
      <c r="B77" s="91"/>
      <c r="C77" s="90"/>
      <c r="D77" s="92"/>
      <c r="E77" s="91"/>
      <c r="F77" s="92"/>
      <c r="G77" s="90"/>
      <c r="H77" s="93"/>
      <c r="I77" s="4"/>
    </row>
    <row r="78" spans="1:14" s="2" customFormat="1" ht="13.5" customHeight="1" x14ac:dyDescent="0.2">
      <c r="A78" s="90"/>
      <c r="B78" s="92" t="s">
        <v>60</v>
      </c>
      <c r="C78" s="92"/>
      <c r="D78" s="92"/>
      <c r="E78" s="92"/>
      <c r="F78" s="90" t="s">
        <v>61</v>
      </c>
      <c r="G78" s="90"/>
      <c r="H78" s="93"/>
      <c r="I78" s="4"/>
    </row>
    <row r="79" spans="1:14" s="2" customFormat="1" ht="13.5" customHeight="1" x14ac:dyDescent="0.2">
      <c r="A79" s="98"/>
      <c r="B79" s="95" t="s">
        <v>62</v>
      </c>
      <c r="C79" s="95"/>
      <c r="D79" s="95"/>
      <c r="E79" s="95"/>
      <c r="F79" s="95" t="s">
        <v>63</v>
      </c>
      <c r="G79" s="95"/>
      <c r="H79" s="99"/>
      <c r="I79" s="4"/>
    </row>
    <row r="80" spans="1:14" x14ac:dyDescent="0.25">
      <c r="A80" s="2"/>
      <c r="B80" s="98" t="s">
        <v>64</v>
      </c>
      <c r="C80" s="98"/>
      <c r="D80" s="98"/>
      <c r="E80" s="98"/>
      <c r="F80" s="100" t="s">
        <v>65</v>
      </c>
      <c r="G80" s="100"/>
      <c r="H80" s="101"/>
    </row>
    <row r="81" spans="1:8" x14ac:dyDescent="0.25">
      <c r="A81" s="89"/>
      <c r="B81" s="98" t="s">
        <v>66</v>
      </c>
      <c r="C81" s="98"/>
      <c r="D81" s="98"/>
      <c r="E81" s="98"/>
      <c r="F81" s="98" t="s">
        <v>66</v>
      </c>
      <c r="G81" s="98"/>
      <c r="H81" s="102"/>
    </row>
    <row r="82" spans="1:8" x14ac:dyDescent="0.25">
      <c r="A82" s="2"/>
      <c r="B82" s="2"/>
      <c r="C82" s="2"/>
      <c r="D82" s="2"/>
      <c r="E82" s="2"/>
      <c r="F82" s="63"/>
      <c r="G82" s="63"/>
      <c r="H82" s="102"/>
    </row>
    <row r="83" spans="1:8" x14ac:dyDescent="0.25">
      <c r="E83" s="2"/>
      <c r="F83" s="2"/>
      <c r="G83" s="104"/>
      <c r="H83" s="72"/>
    </row>
  </sheetData>
  <mergeCells count="69">
    <mergeCell ref="A68:G68"/>
    <mergeCell ref="A69:L69"/>
    <mergeCell ref="B76:D76"/>
    <mergeCell ref="B35:C35"/>
    <mergeCell ref="D35:E35"/>
    <mergeCell ref="B36:C36"/>
    <mergeCell ref="D36:E36"/>
    <mergeCell ref="B37:C37"/>
    <mergeCell ref="D37:E37"/>
    <mergeCell ref="B32:C32"/>
    <mergeCell ref="D32:E32"/>
    <mergeCell ref="B33:C33"/>
    <mergeCell ref="D33:E33"/>
    <mergeCell ref="B34:C34"/>
    <mergeCell ref="D34:E34"/>
    <mergeCell ref="B29:C29"/>
    <mergeCell ref="D29:E29"/>
    <mergeCell ref="B30:C30"/>
    <mergeCell ref="D30:E30"/>
    <mergeCell ref="B31:C31"/>
    <mergeCell ref="D31:E31"/>
    <mergeCell ref="B26:C26"/>
    <mergeCell ref="D26:E26"/>
    <mergeCell ref="B27:C27"/>
    <mergeCell ref="D27:E27"/>
    <mergeCell ref="B28:C28"/>
    <mergeCell ref="D28:E28"/>
    <mergeCell ref="B23:C23"/>
    <mergeCell ref="D23:E23"/>
    <mergeCell ref="B24:C24"/>
    <mergeCell ref="D24:E24"/>
    <mergeCell ref="B25:C25"/>
    <mergeCell ref="D25:E25"/>
    <mergeCell ref="B20:C20"/>
    <mergeCell ref="D20:E20"/>
    <mergeCell ref="B21:C21"/>
    <mergeCell ref="D21:E21"/>
    <mergeCell ref="B22:C22"/>
    <mergeCell ref="D22:E22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G2"/>
    <mergeCell ref="A3:G3"/>
    <mergeCell ref="A4:G4"/>
    <mergeCell ref="A5:G5"/>
    <mergeCell ref="B7:C7"/>
    <mergeCell ref="D7:E7"/>
  </mergeCells>
  <pageMargins left="0.19685039370078741" right="0.11811023622047245" top="0.74803149606299213" bottom="0.78740157480314965" header="0.31496062992125984" footer="0.31496062992125984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A7DDB-6193-498C-A595-3AA2B434BD02}">
  <sheetPr codeName="Plan11">
    <tabColor indexed="42"/>
    <pageSetUpPr fitToPage="1"/>
  </sheetPr>
  <dimension ref="A1:O44"/>
  <sheetViews>
    <sheetView tabSelected="1" zoomScaleNormal="100" workbookViewId="0">
      <selection activeCell="F48" sqref="F48"/>
    </sheetView>
  </sheetViews>
  <sheetFormatPr defaultRowHeight="15" x14ac:dyDescent="0.25"/>
  <cols>
    <col min="1" max="1" width="47.7109375" style="109" bestFit="1" customWidth="1"/>
    <col min="2" max="2" width="21.42578125" style="109" customWidth="1"/>
    <col min="3" max="3" width="22.85546875" style="109" customWidth="1"/>
    <col min="4" max="4" width="16.42578125" style="109" bestFit="1" customWidth="1"/>
    <col min="5" max="5" width="15.140625" style="109" bestFit="1" customWidth="1"/>
    <col min="6" max="6" width="19.42578125" style="109" customWidth="1"/>
    <col min="7" max="7" width="19.140625" style="109" hidden="1" customWidth="1"/>
    <col min="8" max="8" width="9.140625" style="109" hidden="1" customWidth="1"/>
    <col min="9" max="9" width="15.28515625" style="109" hidden="1" customWidth="1"/>
    <col min="10" max="10" width="14.140625" style="109" hidden="1" customWidth="1"/>
    <col min="11" max="11" width="18" style="109" hidden="1" customWidth="1"/>
    <col min="12" max="16" width="0" style="109" hidden="1" customWidth="1"/>
    <col min="17" max="256" width="9.140625" style="109"/>
    <col min="257" max="257" width="47.7109375" style="109" bestFit="1" customWidth="1"/>
    <col min="258" max="258" width="21.42578125" style="109" customWidth="1"/>
    <col min="259" max="259" width="22.85546875" style="109" customWidth="1"/>
    <col min="260" max="260" width="16.42578125" style="109" bestFit="1" customWidth="1"/>
    <col min="261" max="261" width="15.140625" style="109" bestFit="1" customWidth="1"/>
    <col min="262" max="262" width="19.42578125" style="109" customWidth="1"/>
    <col min="263" max="263" width="19.140625" style="109" bestFit="1" customWidth="1"/>
    <col min="264" max="264" width="9.140625" style="109"/>
    <col min="265" max="265" width="15.28515625" style="109" customWidth="1"/>
    <col min="266" max="266" width="14.140625" style="109" customWidth="1"/>
    <col min="267" max="267" width="18" style="109" customWidth="1"/>
    <col min="268" max="512" width="9.140625" style="109"/>
    <col min="513" max="513" width="47.7109375" style="109" bestFit="1" customWidth="1"/>
    <col min="514" max="514" width="21.42578125" style="109" customWidth="1"/>
    <col min="515" max="515" width="22.85546875" style="109" customWidth="1"/>
    <col min="516" max="516" width="16.42578125" style="109" bestFit="1" customWidth="1"/>
    <col min="517" max="517" width="15.140625" style="109" bestFit="1" customWidth="1"/>
    <col min="518" max="518" width="19.42578125" style="109" customWidth="1"/>
    <col min="519" max="519" width="19.140625" style="109" bestFit="1" customWidth="1"/>
    <col min="520" max="520" width="9.140625" style="109"/>
    <col min="521" max="521" width="15.28515625" style="109" customWidth="1"/>
    <col min="522" max="522" width="14.140625" style="109" customWidth="1"/>
    <col min="523" max="523" width="18" style="109" customWidth="1"/>
    <col min="524" max="768" width="9.140625" style="109"/>
    <col min="769" max="769" width="47.7109375" style="109" bestFit="1" customWidth="1"/>
    <col min="770" max="770" width="21.42578125" style="109" customWidth="1"/>
    <col min="771" max="771" width="22.85546875" style="109" customWidth="1"/>
    <col min="772" max="772" width="16.42578125" style="109" bestFit="1" customWidth="1"/>
    <col min="773" max="773" width="15.140625" style="109" bestFit="1" customWidth="1"/>
    <col min="774" max="774" width="19.42578125" style="109" customWidth="1"/>
    <col min="775" max="775" width="19.140625" style="109" bestFit="1" customWidth="1"/>
    <col min="776" max="776" width="9.140625" style="109"/>
    <col min="777" max="777" width="15.28515625" style="109" customWidth="1"/>
    <col min="778" max="778" width="14.140625" style="109" customWidth="1"/>
    <col min="779" max="779" width="18" style="109" customWidth="1"/>
    <col min="780" max="1024" width="9.140625" style="109"/>
    <col min="1025" max="1025" width="47.7109375" style="109" bestFit="1" customWidth="1"/>
    <col min="1026" max="1026" width="21.42578125" style="109" customWidth="1"/>
    <col min="1027" max="1027" width="22.85546875" style="109" customWidth="1"/>
    <col min="1028" max="1028" width="16.42578125" style="109" bestFit="1" customWidth="1"/>
    <col min="1029" max="1029" width="15.140625" style="109" bestFit="1" customWidth="1"/>
    <col min="1030" max="1030" width="19.42578125" style="109" customWidth="1"/>
    <col min="1031" max="1031" width="19.140625" style="109" bestFit="1" customWidth="1"/>
    <col min="1032" max="1032" width="9.140625" style="109"/>
    <col min="1033" max="1033" width="15.28515625" style="109" customWidth="1"/>
    <col min="1034" max="1034" width="14.140625" style="109" customWidth="1"/>
    <col min="1035" max="1035" width="18" style="109" customWidth="1"/>
    <col min="1036" max="1280" width="9.140625" style="109"/>
    <col min="1281" max="1281" width="47.7109375" style="109" bestFit="1" customWidth="1"/>
    <col min="1282" max="1282" width="21.42578125" style="109" customWidth="1"/>
    <col min="1283" max="1283" width="22.85546875" style="109" customWidth="1"/>
    <col min="1284" max="1284" width="16.42578125" style="109" bestFit="1" customWidth="1"/>
    <col min="1285" max="1285" width="15.140625" style="109" bestFit="1" customWidth="1"/>
    <col min="1286" max="1286" width="19.42578125" style="109" customWidth="1"/>
    <col min="1287" max="1287" width="19.140625" style="109" bestFit="1" customWidth="1"/>
    <col min="1288" max="1288" width="9.140625" style="109"/>
    <col min="1289" max="1289" width="15.28515625" style="109" customWidth="1"/>
    <col min="1290" max="1290" width="14.140625" style="109" customWidth="1"/>
    <col min="1291" max="1291" width="18" style="109" customWidth="1"/>
    <col min="1292" max="1536" width="9.140625" style="109"/>
    <col min="1537" max="1537" width="47.7109375" style="109" bestFit="1" customWidth="1"/>
    <col min="1538" max="1538" width="21.42578125" style="109" customWidth="1"/>
    <col min="1539" max="1539" width="22.85546875" style="109" customWidth="1"/>
    <col min="1540" max="1540" width="16.42578125" style="109" bestFit="1" customWidth="1"/>
    <col min="1541" max="1541" width="15.140625" style="109" bestFit="1" customWidth="1"/>
    <col min="1542" max="1542" width="19.42578125" style="109" customWidth="1"/>
    <col min="1543" max="1543" width="19.140625" style="109" bestFit="1" customWidth="1"/>
    <col min="1544" max="1544" width="9.140625" style="109"/>
    <col min="1545" max="1545" width="15.28515625" style="109" customWidth="1"/>
    <col min="1546" max="1546" width="14.140625" style="109" customWidth="1"/>
    <col min="1547" max="1547" width="18" style="109" customWidth="1"/>
    <col min="1548" max="1792" width="9.140625" style="109"/>
    <col min="1793" max="1793" width="47.7109375" style="109" bestFit="1" customWidth="1"/>
    <col min="1794" max="1794" width="21.42578125" style="109" customWidth="1"/>
    <col min="1795" max="1795" width="22.85546875" style="109" customWidth="1"/>
    <col min="1796" max="1796" width="16.42578125" style="109" bestFit="1" customWidth="1"/>
    <col min="1797" max="1797" width="15.140625" style="109" bestFit="1" customWidth="1"/>
    <col min="1798" max="1798" width="19.42578125" style="109" customWidth="1"/>
    <col min="1799" max="1799" width="19.140625" style="109" bestFit="1" customWidth="1"/>
    <col min="1800" max="1800" width="9.140625" style="109"/>
    <col min="1801" max="1801" width="15.28515625" style="109" customWidth="1"/>
    <col min="1802" max="1802" width="14.140625" style="109" customWidth="1"/>
    <col min="1803" max="1803" width="18" style="109" customWidth="1"/>
    <col min="1804" max="2048" width="9.140625" style="109"/>
    <col min="2049" max="2049" width="47.7109375" style="109" bestFit="1" customWidth="1"/>
    <col min="2050" max="2050" width="21.42578125" style="109" customWidth="1"/>
    <col min="2051" max="2051" width="22.85546875" style="109" customWidth="1"/>
    <col min="2052" max="2052" width="16.42578125" style="109" bestFit="1" customWidth="1"/>
    <col min="2053" max="2053" width="15.140625" style="109" bestFit="1" customWidth="1"/>
    <col min="2054" max="2054" width="19.42578125" style="109" customWidth="1"/>
    <col min="2055" max="2055" width="19.140625" style="109" bestFit="1" customWidth="1"/>
    <col min="2056" max="2056" width="9.140625" style="109"/>
    <col min="2057" max="2057" width="15.28515625" style="109" customWidth="1"/>
    <col min="2058" max="2058" width="14.140625" style="109" customWidth="1"/>
    <col min="2059" max="2059" width="18" style="109" customWidth="1"/>
    <col min="2060" max="2304" width="9.140625" style="109"/>
    <col min="2305" max="2305" width="47.7109375" style="109" bestFit="1" customWidth="1"/>
    <col min="2306" max="2306" width="21.42578125" style="109" customWidth="1"/>
    <col min="2307" max="2307" width="22.85546875" style="109" customWidth="1"/>
    <col min="2308" max="2308" width="16.42578125" style="109" bestFit="1" customWidth="1"/>
    <col min="2309" max="2309" width="15.140625" style="109" bestFit="1" customWidth="1"/>
    <col min="2310" max="2310" width="19.42578125" style="109" customWidth="1"/>
    <col min="2311" max="2311" width="19.140625" style="109" bestFit="1" customWidth="1"/>
    <col min="2312" max="2312" width="9.140625" style="109"/>
    <col min="2313" max="2313" width="15.28515625" style="109" customWidth="1"/>
    <col min="2314" max="2314" width="14.140625" style="109" customWidth="1"/>
    <col min="2315" max="2315" width="18" style="109" customWidth="1"/>
    <col min="2316" max="2560" width="9.140625" style="109"/>
    <col min="2561" max="2561" width="47.7109375" style="109" bestFit="1" customWidth="1"/>
    <col min="2562" max="2562" width="21.42578125" style="109" customWidth="1"/>
    <col min="2563" max="2563" width="22.85546875" style="109" customWidth="1"/>
    <col min="2564" max="2564" width="16.42578125" style="109" bestFit="1" customWidth="1"/>
    <col min="2565" max="2565" width="15.140625" style="109" bestFit="1" customWidth="1"/>
    <col min="2566" max="2566" width="19.42578125" style="109" customWidth="1"/>
    <col min="2567" max="2567" width="19.140625" style="109" bestFit="1" customWidth="1"/>
    <col min="2568" max="2568" width="9.140625" style="109"/>
    <col min="2569" max="2569" width="15.28515625" style="109" customWidth="1"/>
    <col min="2570" max="2570" width="14.140625" style="109" customWidth="1"/>
    <col min="2571" max="2571" width="18" style="109" customWidth="1"/>
    <col min="2572" max="2816" width="9.140625" style="109"/>
    <col min="2817" max="2817" width="47.7109375" style="109" bestFit="1" customWidth="1"/>
    <col min="2818" max="2818" width="21.42578125" style="109" customWidth="1"/>
    <col min="2819" max="2819" width="22.85546875" style="109" customWidth="1"/>
    <col min="2820" max="2820" width="16.42578125" style="109" bestFit="1" customWidth="1"/>
    <col min="2821" max="2821" width="15.140625" style="109" bestFit="1" customWidth="1"/>
    <col min="2822" max="2822" width="19.42578125" style="109" customWidth="1"/>
    <col min="2823" max="2823" width="19.140625" style="109" bestFit="1" customWidth="1"/>
    <col min="2824" max="2824" width="9.140625" style="109"/>
    <col min="2825" max="2825" width="15.28515625" style="109" customWidth="1"/>
    <col min="2826" max="2826" width="14.140625" style="109" customWidth="1"/>
    <col min="2827" max="2827" width="18" style="109" customWidth="1"/>
    <col min="2828" max="3072" width="9.140625" style="109"/>
    <col min="3073" max="3073" width="47.7109375" style="109" bestFit="1" customWidth="1"/>
    <col min="3074" max="3074" width="21.42578125" style="109" customWidth="1"/>
    <col min="3075" max="3075" width="22.85546875" style="109" customWidth="1"/>
    <col min="3076" max="3076" width="16.42578125" style="109" bestFit="1" customWidth="1"/>
    <col min="3077" max="3077" width="15.140625" style="109" bestFit="1" customWidth="1"/>
    <col min="3078" max="3078" width="19.42578125" style="109" customWidth="1"/>
    <col min="3079" max="3079" width="19.140625" style="109" bestFit="1" customWidth="1"/>
    <col min="3080" max="3080" width="9.140625" style="109"/>
    <col min="3081" max="3081" width="15.28515625" style="109" customWidth="1"/>
    <col min="3082" max="3082" width="14.140625" style="109" customWidth="1"/>
    <col min="3083" max="3083" width="18" style="109" customWidth="1"/>
    <col min="3084" max="3328" width="9.140625" style="109"/>
    <col min="3329" max="3329" width="47.7109375" style="109" bestFit="1" customWidth="1"/>
    <col min="3330" max="3330" width="21.42578125" style="109" customWidth="1"/>
    <col min="3331" max="3331" width="22.85546875" style="109" customWidth="1"/>
    <col min="3332" max="3332" width="16.42578125" style="109" bestFit="1" customWidth="1"/>
    <col min="3333" max="3333" width="15.140625" style="109" bestFit="1" customWidth="1"/>
    <col min="3334" max="3334" width="19.42578125" style="109" customWidth="1"/>
    <col min="3335" max="3335" width="19.140625" style="109" bestFit="1" customWidth="1"/>
    <col min="3336" max="3336" width="9.140625" style="109"/>
    <col min="3337" max="3337" width="15.28515625" style="109" customWidth="1"/>
    <col min="3338" max="3338" width="14.140625" style="109" customWidth="1"/>
    <col min="3339" max="3339" width="18" style="109" customWidth="1"/>
    <col min="3340" max="3584" width="9.140625" style="109"/>
    <col min="3585" max="3585" width="47.7109375" style="109" bestFit="1" customWidth="1"/>
    <col min="3586" max="3586" width="21.42578125" style="109" customWidth="1"/>
    <col min="3587" max="3587" width="22.85546875" style="109" customWidth="1"/>
    <col min="3588" max="3588" width="16.42578125" style="109" bestFit="1" customWidth="1"/>
    <col min="3589" max="3589" width="15.140625" style="109" bestFit="1" customWidth="1"/>
    <col min="3590" max="3590" width="19.42578125" style="109" customWidth="1"/>
    <col min="3591" max="3591" width="19.140625" style="109" bestFit="1" customWidth="1"/>
    <col min="3592" max="3592" width="9.140625" style="109"/>
    <col min="3593" max="3593" width="15.28515625" style="109" customWidth="1"/>
    <col min="3594" max="3594" width="14.140625" style="109" customWidth="1"/>
    <col min="3595" max="3595" width="18" style="109" customWidth="1"/>
    <col min="3596" max="3840" width="9.140625" style="109"/>
    <col min="3841" max="3841" width="47.7109375" style="109" bestFit="1" customWidth="1"/>
    <col min="3842" max="3842" width="21.42578125" style="109" customWidth="1"/>
    <col min="3843" max="3843" width="22.85546875" style="109" customWidth="1"/>
    <col min="3844" max="3844" width="16.42578125" style="109" bestFit="1" customWidth="1"/>
    <col min="3845" max="3845" width="15.140625" style="109" bestFit="1" customWidth="1"/>
    <col min="3846" max="3846" width="19.42578125" style="109" customWidth="1"/>
    <col min="3847" max="3847" width="19.140625" style="109" bestFit="1" customWidth="1"/>
    <col min="3848" max="3848" width="9.140625" style="109"/>
    <col min="3849" max="3849" width="15.28515625" style="109" customWidth="1"/>
    <col min="3850" max="3850" width="14.140625" style="109" customWidth="1"/>
    <col min="3851" max="3851" width="18" style="109" customWidth="1"/>
    <col min="3852" max="4096" width="9.140625" style="109"/>
    <col min="4097" max="4097" width="47.7109375" style="109" bestFit="1" customWidth="1"/>
    <col min="4098" max="4098" width="21.42578125" style="109" customWidth="1"/>
    <col min="4099" max="4099" width="22.85546875" style="109" customWidth="1"/>
    <col min="4100" max="4100" width="16.42578125" style="109" bestFit="1" customWidth="1"/>
    <col min="4101" max="4101" width="15.140625" style="109" bestFit="1" customWidth="1"/>
    <col min="4102" max="4102" width="19.42578125" style="109" customWidth="1"/>
    <col min="4103" max="4103" width="19.140625" style="109" bestFit="1" customWidth="1"/>
    <col min="4104" max="4104" width="9.140625" style="109"/>
    <col min="4105" max="4105" width="15.28515625" style="109" customWidth="1"/>
    <col min="4106" max="4106" width="14.140625" style="109" customWidth="1"/>
    <col min="4107" max="4107" width="18" style="109" customWidth="1"/>
    <col min="4108" max="4352" width="9.140625" style="109"/>
    <col min="4353" max="4353" width="47.7109375" style="109" bestFit="1" customWidth="1"/>
    <col min="4354" max="4354" width="21.42578125" style="109" customWidth="1"/>
    <col min="4355" max="4355" width="22.85546875" style="109" customWidth="1"/>
    <col min="4356" max="4356" width="16.42578125" style="109" bestFit="1" customWidth="1"/>
    <col min="4357" max="4357" width="15.140625" style="109" bestFit="1" customWidth="1"/>
    <col min="4358" max="4358" width="19.42578125" style="109" customWidth="1"/>
    <col min="4359" max="4359" width="19.140625" style="109" bestFit="1" customWidth="1"/>
    <col min="4360" max="4360" width="9.140625" style="109"/>
    <col min="4361" max="4361" width="15.28515625" style="109" customWidth="1"/>
    <col min="4362" max="4362" width="14.140625" style="109" customWidth="1"/>
    <col min="4363" max="4363" width="18" style="109" customWidth="1"/>
    <col min="4364" max="4608" width="9.140625" style="109"/>
    <col min="4609" max="4609" width="47.7109375" style="109" bestFit="1" customWidth="1"/>
    <col min="4610" max="4610" width="21.42578125" style="109" customWidth="1"/>
    <col min="4611" max="4611" width="22.85546875" style="109" customWidth="1"/>
    <col min="4612" max="4612" width="16.42578125" style="109" bestFit="1" customWidth="1"/>
    <col min="4613" max="4613" width="15.140625" style="109" bestFit="1" customWidth="1"/>
    <col min="4614" max="4614" width="19.42578125" style="109" customWidth="1"/>
    <col min="4615" max="4615" width="19.140625" style="109" bestFit="1" customWidth="1"/>
    <col min="4616" max="4616" width="9.140625" style="109"/>
    <col min="4617" max="4617" width="15.28515625" style="109" customWidth="1"/>
    <col min="4618" max="4618" width="14.140625" style="109" customWidth="1"/>
    <col min="4619" max="4619" width="18" style="109" customWidth="1"/>
    <col min="4620" max="4864" width="9.140625" style="109"/>
    <col min="4865" max="4865" width="47.7109375" style="109" bestFit="1" customWidth="1"/>
    <col min="4866" max="4866" width="21.42578125" style="109" customWidth="1"/>
    <col min="4867" max="4867" width="22.85546875" style="109" customWidth="1"/>
    <col min="4868" max="4868" width="16.42578125" style="109" bestFit="1" customWidth="1"/>
    <col min="4869" max="4869" width="15.140625" style="109" bestFit="1" customWidth="1"/>
    <col min="4870" max="4870" width="19.42578125" style="109" customWidth="1"/>
    <col min="4871" max="4871" width="19.140625" style="109" bestFit="1" customWidth="1"/>
    <col min="4872" max="4872" width="9.140625" style="109"/>
    <col min="4873" max="4873" width="15.28515625" style="109" customWidth="1"/>
    <col min="4874" max="4874" width="14.140625" style="109" customWidth="1"/>
    <col min="4875" max="4875" width="18" style="109" customWidth="1"/>
    <col min="4876" max="5120" width="9.140625" style="109"/>
    <col min="5121" max="5121" width="47.7109375" style="109" bestFit="1" customWidth="1"/>
    <col min="5122" max="5122" width="21.42578125" style="109" customWidth="1"/>
    <col min="5123" max="5123" width="22.85546875" style="109" customWidth="1"/>
    <col min="5124" max="5124" width="16.42578125" style="109" bestFit="1" customWidth="1"/>
    <col min="5125" max="5125" width="15.140625" style="109" bestFit="1" customWidth="1"/>
    <col min="5126" max="5126" width="19.42578125" style="109" customWidth="1"/>
    <col min="5127" max="5127" width="19.140625" style="109" bestFit="1" customWidth="1"/>
    <col min="5128" max="5128" width="9.140625" style="109"/>
    <col min="5129" max="5129" width="15.28515625" style="109" customWidth="1"/>
    <col min="5130" max="5130" width="14.140625" style="109" customWidth="1"/>
    <col min="5131" max="5131" width="18" style="109" customWidth="1"/>
    <col min="5132" max="5376" width="9.140625" style="109"/>
    <col min="5377" max="5377" width="47.7109375" style="109" bestFit="1" customWidth="1"/>
    <col min="5378" max="5378" width="21.42578125" style="109" customWidth="1"/>
    <col min="5379" max="5379" width="22.85546875" style="109" customWidth="1"/>
    <col min="5380" max="5380" width="16.42578125" style="109" bestFit="1" customWidth="1"/>
    <col min="5381" max="5381" width="15.140625" style="109" bestFit="1" customWidth="1"/>
    <col min="5382" max="5382" width="19.42578125" style="109" customWidth="1"/>
    <col min="5383" max="5383" width="19.140625" style="109" bestFit="1" customWidth="1"/>
    <col min="5384" max="5384" width="9.140625" style="109"/>
    <col min="5385" max="5385" width="15.28515625" style="109" customWidth="1"/>
    <col min="5386" max="5386" width="14.140625" style="109" customWidth="1"/>
    <col min="5387" max="5387" width="18" style="109" customWidth="1"/>
    <col min="5388" max="5632" width="9.140625" style="109"/>
    <col min="5633" max="5633" width="47.7109375" style="109" bestFit="1" customWidth="1"/>
    <col min="5634" max="5634" width="21.42578125" style="109" customWidth="1"/>
    <col min="5635" max="5635" width="22.85546875" style="109" customWidth="1"/>
    <col min="5636" max="5636" width="16.42578125" style="109" bestFit="1" customWidth="1"/>
    <col min="5637" max="5637" width="15.140625" style="109" bestFit="1" customWidth="1"/>
    <col min="5638" max="5638" width="19.42578125" style="109" customWidth="1"/>
    <col min="5639" max="5639" width="19.140625" style="109" bestFit="1" customWidth="1"/>
    <col min="5640" max="5640" width="9.140625" style="109"/>
    <col min="5641" max="5641" width="15.28515625" style="109" customWidth="1"/>
    <col min="5642" max="5642" width="14.140625" style="109" customWidth="1"/>
    <col min="5643" max="5643" width="18" style="109" customWidth="1"/>
    <col min="5644" max="5888" width="9.140625" style="109"/>
    <col min="5889" max="5889" width="47.7109375" style="109" bestFit="1" customWidth="1"/>
    <col min="5890" max="5890" width="21.42578125" style="109" customWidth="1"/>
    <col min="5891" max="5891" width="22.85546875" style="109" customWidth="1"/>
    <col min="5892" max="5892" width="16.42578125" style="109" bestFit="1" customWidth="1"/>
    <col min="5893" max="5893" width="15.140625" style="109" bestFit="1" customWidth="1"/>
    <col min="5894" max="5894" width="19.42578125" style="109" customWidth="1"/>
    <col min="5895" max="5895" width="19.140625" style="109" bestFit="1" customWidth="1"/>
    <col min="5896" max="5896" width="9.140625" style="109"/>
    <col min="5897" max="5897" width="15.28515625" style="109" customWidth="1"/>
    <col min="5898" max="5898" width="14.140625" style="109" customWidth="1"/>
    <col min="5899" max="5899" width="18" style="109" customWidth="1"/>
    <col min="5900" max="6144" width="9.140625" style="109"/>
    <col min="6145" max="6145" width="47.7109375" style="109" bestFit="1" customWidth="1"/>
    <col min="6146" max="6146" width="21.42578125" style="109" customWidth="1"/>
    <col min="6147" max="6147" width="22.85546875" style="109" customWidth="1"/>
    <col min="6148" max="6148" width="16.42578125" style="109" bestFit="1" customWidth="1"/>
    <col min="6149" max="6149" width="15.140625" style="109" bestFit="1" customWidth="1"/>
    <col min="6150" max="6150" width="19.42578125" style="109" customWidth="1"/>
    <col min="6151" max="6151" width="19.140625" style="109" bestFit="1" customWidth="1"/>
    <col min="6152" max="6152" width="9.140625" style="109"/>
    <col min="6153" max="6153" width="15.28515625" style="109" customWidth="1"/>
    <col min="6154" max="6154" width="14.140625" style="109" customWidth="1"/>
    <col min="6155" max="6155" width="18" style="109" customWidth="1"/>
    <col min="6156" max="6400" width="9.140625" style="109"/>
    <col min="6401" max="6401" width="47.7109375" style="109" bestFit="1" customWidth="1"/>
    <col min="6402" max="6402" width="21.42578125" style="109" customWidth="1"/>
    <col min="6403" max="6403" width="22.85546875" style="109" customWidth="1"/>
    <col min="6404" max="6404" width="16.42578125" style="109" bestFit="1" customWidth="1"/>
    <col min="6405" max="6405" width="15.140625" style="109" bestFit="1" customWidth="1"/>
    <col min="6406" max="6406" width="19.42578125" style="109" customWidth="1"/>
    <col min="6407" max="6407" width="19.140625" style="109" bestFit="1" customWidth="1"/>
    <col min="6408" max="6408" width="9.140625" style="109"/>
    <col min="6409" max="6409" width="15.28515625" style="109" customWidth="1"/>
    <col min="6410" max="6410" width="14.140625" style="109" customWidth="1"/>
    <col min="6411" max="6411" width="18" style="109" customWidth="1"/>
    <col min="6412" max="6656" width="9.140625" style="109"/>
    <col min="6657" max="6657" width="47.7109375" style="109" bestFit="1" customWidth="1"/>
    <col min="6658" max="6658" width="21.42578125" style="109" customWidth="1"/>
    <col min="6659" max="6659" width="22.85546875" style="109" customWidth="1"/>
    <col min="6660" max="6660" width="16.42578125" style="109" bestFit="1" customWidth="1"/>
    <col min="6661" max="6661" width="15.140625" style="109" bestFit="1" customWidth="1"/>
    <col min="6662" max="6662" width="19.42578125" style="109" customWidth="1"/>
    <col min="6663" max="6663" width="19.140625" style="109" bestFit="1" customWidth="1"/>
    <col min="6664" max="6664" width="9.140625" style="109"/>
    <col min="6665" max="6665" width="15.28515625" style="109" customWidth="1"/>
    <col min="6666" max="6666" width="14.140625" style="109" customWidth="1"/>
    <col min="6667" max="6667" width="18" style="109" customWidth="1"/>
    <col min="6668" max="6912" width="9.140625" style="109"/>
    <col min="6913" max="6913" width="47.7109375" style="109" bestFit="1" customWidth="1"/>
    <col min="6914" max="6914" width="21.42578125" style="109" customWidth="1"/>
    <col min="6915" max="6915" width="22.85546875" style="109" customWidth="1"/>
    <col min="6916" max="6916" width="16.42578125" style="109" bestFit="1" customWidth="1"/>
    <col min="6917" max="6917" width="15.140625" style="109" bestFit="1" customWidth="1"/>
    <col min="6918" max="6918" width="19.42578125" style="109" customWidth="1"/>
    <col min="6919" max="6919" width="19.140625" style="109" bestFit="1" customWidth="1"/>
    <col min="6920" max="6920" width="9.140625" style="109"/>
    <col min="6921" max="6921" width="15.28515625" style="109" customWidth="1"/>
    <col min="6922" max="6922" width="14.140625" style="109" customWidth="1"/>
    <col min="6923" max="6923" width="18" style="109" customWidth="1"/>
    <col min="6924" max="7168" width="9.140625" style="109"/>
    <col min="7169" max="7169" width="47.7109375" style="109" bestFit="1" customWidth="1"/>
    <col min="7170" max="7170" width="21.42578125" style="109" customWidth="1"/>
    <col min="7171" max="7171" width="22.85546875" style="109" customWidth="1"/>
    <col min="7172" max="7172" width="16.42578125" style="109" bestFit="1" customWidth="1"/>
    <col min="7173" max="7173" width="15.140625" style="109" bestFit="1" customWidth="1"/>
    <col min="7174" max="7174" width="19.42578125" style="109" customWidth="1"/>
    <col min="7175" max="7175" width="19.140625" style="109" bestFit="1" customWidth="1"/>
    <col min="7176" max="7176" width="9.140625" style="109"/>
    <col min="7177" max="7177" width="15.28515625" style="109" customWidth="1"/>
    <col min="7178" max="7178" width="14.140625" style="109" customWidth="1"/>
    <col min="7179" max="7179" width="18" style="109" customWidth="1"/>
    <col min="7180" max="7424" width="9.140625" style="109"/>
    <col min="7425" max="7425" width="47.7109375" style="109" bestFit="1" customWidth="1"/>
    <col min="7426" max="7426" width="21.42578125" style="109" customWidth="1"/>
    <col min="7427" max="7427" width="22.85546875" style="109" customWidth="1"/>
    <col min="7428" max="7428" width="16.42578125" style="109" bestFit="1" customWidth="1"/>
    <col min="7429" max="7429" width="15.140625" style="109" bestFit="1" customWidth="1"/>
    <col min="7430" max="7430" width="19.42578125" style="109" customWidth="1"/>
    <col min="7431" max="7431" width="19.140625" style="109" bestFit="1" customWidth="1"/>
    <col min="7432" max="7432" width="9.140625" style="109"/>
    <col min="7433" max="7433" width="15.28515625" style="109" customWidth="1"/>
    <col min="7434" max="7434" width="14.140625" style="109" customWidth="1"/>
    <col min="7435" max="7435" width="18" style="109" customWidth="1"/>
    <col min="7436" max="7680" width="9.140625" style="109"/>
    <col min="7681" max="7681" width="47.7109375" style="109" bestFit="1" customWidth="1"/>
    <col min="7682" max="7682" width="21.42578125" style="109" customWidth="1"/>
    <col min="7683" max="7683" width="22.85546875" style="109" customWidth="1"/>
    <col min="7684" max="7684" width="16.42578125" style="109" bestFit="1" customWidth="1"/>
    <col min="7685" max="7685" width="15.140625" style="109" bestFit="1" customWidth="1"/>
    <col min="7686" max="7686" width="19.42578125" style="109" customWidth="1"/>
    <col min="7687" max="7687" width="19.140625" style="109" bestFit="1" customWidth="1"/>
    <col min="7688" max="7688" width="9.140625" style="109"/>
    <col min="7689" max="7689" width="15.28515625" style="109" customWidth="1"/>
    <col min="7690" max="7690" width="14.140625" style="109" customWidth="1"/>
    <col min="7691" max="7691" width="18" style="109" customWidth="1"/>
    <col min="7692" max="7936" width="9.140625" style="109"/>
    <col min="7937" max="7937" width="47.7109375" style="109" bestFit="1" customWidth="1"/>
    <col min="7938" max="7938" width="21.42578125" style="109" customWidth="1"/>
    <col min="7939" max="7939" width="22.85546875" style="109" customWidth="1"/>
    <col min="7940" max="7940" width="16.42578125" style="109" bestFit="1" customWidth="1"/>
    <col min="7941" max="7941" width="15.140625" style="109" bestFit="1" customWidth="1"/>
    <col min="7942" max="7942" width="19.42578125" style="109" customWidth="1"/>
    <col min="7943" max="7943" width="19.140625" style="109" bestFit="1" customWidth="1"/>
    <col min="7944" max="7944" width="9.140625" style="109"/>
    <col min="7945" max="7945" width="15.28515625" style="109" customWidth="1"/>
    <col min="7946" max="7946" width="14.140625" style="109" customWidth="1"/>
    <col min="7947" max="7947" width="18" style="109" customWidth="1"/>
    <col min="7948" max="8192" width="9.140625" style="109"/>
    <col min="8193" max="8193" width="47.7109375" style="109" bestFit="1" customWidth="1"/>
    <col min="8194" max="8194" width="21.42578125" style="109" customWidth="1"/>
    <col min="8195" max="8195" width="22.85546875" style="109" customWidth="1"/>
    <col min="8196" max="8196" width="16.42578125" style="109" bestFit="1" customWidth="1"/>
    <col min="8197" max="8197" width="15.140625" style="109" bestFit="1" customWidth="1"/>
    <col min="8198" max="8198" width="19.42578125" style="109" customWidth="1"/>
    <col min="8199" max="8199" width="19.140625" style="109" bestFit="1" customWidth="1"/>
    <col min="8200" max="8200" width="9.140625" style="109"/>
    <col min="8201" max="8201" width="15.28515625" style="109" customWidth="1"/>
    <col min="8202" max="8202" width="14.140625" style="109" customWidth="1"/>
    <col min="8203" max="8203" width="18" style="109" customWidth="1"/>
    <col min="8204" max="8448" width="9.140625" style="109"/>
    <col min="8449" max="8449" width="47.7109375" style="109" bestFit="1" customWidth="1"/>
    <col min="8450" max="8450" width="21.42578125" style="109" customWidth="1"/>
    <col min="8451" max="8451" width="22.85546875" style="109" customWidth="1"/>
    <col min="8452" max="8452" width="16.42578125" style="109" bestFit="1" customWidth="1"/>
    <col min="8453" max="8453" width="15.140625" style="109" bestFit="1" customWidth="1"/>
    <col min="8454" max="8454" width="19.42578125" style="109" customWidth="1"/>
    <col min="8455" max="8455" width="19.140625" style="109" bestFit="1" customWidth="1"/>
    <col min="8456" max="8456" width="9.140625" style="109"/>
    <col min="8457" max="8457" width="15.28515625" style="109" customWidth="1"/>
    <col min="8458" max="8458" width="14.140625" style="109" customWidth="1"/>
    <col min="8459" max="8459" width="18" style="109" customWidth="1"/>
    <col min="8460" max="8704" width="9.140625" style="109"/>
    <col min="8705" max="8705" width="47.7109375" style="109" bestFit="1" customWidth="1"/>
    <col min="8706" max="8706" width="21.42578125" style="109" customWidth="1"/>
    <col min="8707" max="8707" width="22.85546875" style="109" customWidth="1"/>
    <col min="8708" max="8708" width="16.42578125" style="109" bestFit="1" customWidth="1"/>
    <col min="8709" max="8709" width="15.140625" style="109" bestFit="1" customWidth="1"/>
    <col min="8710" max="8710" width="19.42578125" style="109" customWidth="1"/>
    <col min="8711" max="8711" width="19.140625" style="109" bestFit="1" customWidth="1"/>
    <col min="8712" max="8712" width="9.140625" style="109"/>
    <col min="8713" max="8713" width="15.28515625" style="109" customWidth="1"/>
    <col min="8714" max="8714" width="14.140625" style="109" customWidth="1"/>
    <col min="8715" max="8715" width="18" style="109" customWidth="1"/>
    <col min="8716" max="8960" width="9.140625" style="109"/>
    <col min="8961" max="8961" width="47.7109375" style="109" bestFit="1" customWidth="1"/>
    <col min="8962" max="8962" width="21.42578125" style="109" customWidth="1"/>
    <col min="8963" max="8963" width="22.85546875" style="109" customWidth="1"/>
    <col min="8964" max="8964" width="16.42578125" style="109" bestFit="1" customWidth="1"/>
    <col min="8965" max="8965" width="15.140625" style="109" bestFit="1" customWidth="1"/>
    <col min="8966" max="8966" width="19.42578125" style="109" customWidth="1"/>
    <col min="8967" max="8967" width="19.140625" style="109" bestFit="1" customWidth="1"/>
    <col min="8968" max="8968" width="9.140625" style="109"/>
    <col min="8969" max="8969" width="15.28515625" style="109" customWidth="1"/>
    <col min="8970" max="8970" width="14.140625" style="109" customWidth="1"/>
    <col min="8971" max="8971" width="18" style="109" customWidth="1"/>
    <col min="8972" max="9216" width="9.140625" style="109"/>
    <col min="9217" max="9217" width="47.7109375" style="109" bestFit="1" customWidth="1"/>
    <col min="9218" max="9218" width="21.42578125" style="109" customWidth="1"/>
    <col min="9219" max="9219" width="22.85546875" style="109" customWidth="1"/>
    <col min="9220" max="9220" width="16.42578125" style="109" bestFit="1" customWidth="1"/>
    <col min="9221" max="9221" width="15.140625" style="109" bestFit="1" customWidth="1"/>
    <col min="9222" max="9222" width="19.42578125" style="109" customWidth="1"/>
    <col min="9223" max="9223" width="19.140625" style="109" bestFit="1" customWidth="1"/>
    <col min="9224" max="9224" width="9.140625" style="109"/>
    <col min="9225" max="9225" width="15.28515625" style="109" customWidth="1"/>
    <col min="9226" max="9226" width="14.140625" style="109" customWidth="1"/>
    <col min="9227" max="9227" width="18" style="109" customWidth="1"/>
    <col min="9228" max="9472" width="9.140625" style="109"/>
    <col min="9473" max="9473" width="47.7109375" style="109" bestFit="1" customWidth="1"/>
    <col min="9474" max="9474" width="21.42578125" style="109" customWidth="1"/>
    <col min="9475" max="9475" width="22.85546875" style="109" customWidth="1"/>
    <col min="9476" max="9476" width="16.42578125" style="109" bestFit="1" customWidth="1"/>
    <col min="9477" max="9477" width="15.140625" style="109" bestFit="1" customWidth="1"/>
    <col min="9478" max="9478" width="19.42578125" style="109" customWidth="1"/>
    <col min="9479" max="9479" width="19.140625" style="109" bestFit="1" customWidth="1"/>
    <col min="9480" max="9480" width="9.140625" style="109"/>
    <col min="9481" max="9481" width="15.28515625" style="109" customWidth="1"/>
    <col min="9482" max="9482" width="14.140625" style="109" customWidth="1"/>
    <col min="9483" max="9483" width="18" style="109" customWidth="1"/>
    <col min="9484" max="9728" width="9.140625" style="109"/>
    <col min="9729" max="9729" width="47.7109375" style="109" bestFit="1" customWidth="1"/>
    <col min="9730" max="9730" width="21.42578125" style="109" customWidth="1"/>
    <col min="9731" max="9731" width="22.85546875" style="109" customWidth="1"/>
    <col min="9732" max="9732" width="16.42578125" style="109" bestFit="1" customWidth="1"/>
    <col min="9733" max="9733" width="15.140625" style="109" bestFit="1" customWidth="1"/>
    <col min="9734" max="9734" width="19.42578125" style="109" customWidth="1"/>
    <col min="9735" max="9735" width="19.140625" style="109" bestFit="1" customWidth="1"/>
    <col min="9736" max="9736" width="9.140625" style="109"/>
    <col min="9737" max="9737" width="15.28515625" style="109" customWidth="1"/>
    <col min="9738" max="9738" width="14.140625" style="109" customWidth="1"/>
    <col min="9739" max="9739" width="18" style="109" customWidth="1"/>
    <col min="9740" max="9984" width="9.140625" style="109"/>
    <col min="9985" max="9985" width="47.7109375" style="109" bestFit="1" customWidth="1"/>
    <col min="9986" max="9986" width="21.42578125" style="109" customWidth="1"/>
    <col min="9987" max="9987" width="22.85546875" style="109" customWidth="1"/>
    <col min="9988" max="9988" width="16.42578125" style="109" bestFit="1" customWidth="1"/>
    <col min="9989" max="9989" width="15.140625" style="109" bestFit="1" customWidth="1"/>
    <col min="9990" max="9990" width="19.42578125" style="109" customWidth="1"/>
    <col min="9991" max="9991" width="19.140625" style="109" bestFit="1" customWidth="1"/>
    <col min="9992" max="9992" width="9.140625" style="109"/>
    <col min="9993" max="9993" width="15.28515625" style="109" customWidth="1"/>
    <col min="9994" max="9994" width="14.140625" style="109" customWidth="1"/>
    <col min="9995" max="9995" width="18" style="109" customWidth="1"/>
    <col min="9996" max="10240" width="9.140625" style="109"/>
    <col min="10241" max="10241" width="47.7109375" style="109" bestFit="1" customWidth="1"/>
    <col min="10242" max="10242" width="21.42578125" style="109" customWidth="1"/>
    <col min="10243" max="10243" width="22.85546875" style="109" customWidth="1"/>
    <col min="10244" max="10244" width="16.42578125" style="109" bestFit="1" customWidth="1"/>
    <col min="10245" max="10245" width="15.140625" style="109" bestFit="1" customWidth="1"/>
    <col min="10246" max="10246" width="19.42578125" style="109" customWidth="1"/>
    <col min="10247" max="10247" width="19.140625" style="109" bestFit="1" customWidth="1"/>
    <col min="10248" max="10248" width="9.140625" style="109"/>
    <col min="10249" max="10249" width="15.28515625" style="109" customWidth="1"/>
    <col min="10250" max="10250" width="14.140625" style="109" customWidth="1"/>
    <col min="10251" max="10251" width="18" style="109" customWidth="1"/>
    <col min="10252" max="10496" width="9.140625" style="109"/>
    <col min="10497" max="10497" width="47.7109375" style="109" bestFit="1" customWidth="1"/>
    <col min="10498" max="10498" width="21.42578125" style="109" customWidth="1"/>
    <col min="10499" max="10499" width="22.85546875" style="109" customWidth="1"/>
    <col min="10500" max="10500" width="16.42578125" style="109" bestFit="1" customWidth="1"/>
    <col min="10501" max="10501" width="15.140625" style="109" bestFit="1" customWidth="1"/>
    <col min="10502" max="10502" width="19.42578125" style="109" customWidth="1"/>
    <col min="10503" max="10503" width="19.140625" style="109" bestFit="1" customWidth="1"/>
    <col min="10504" max="10504" width="9.140625" style="109"/>
    <col min="10505" max="10505" width="15.28515625" style="109" customWidth="1"/>
    <col min="10506" max="10506" width="14.140625" style="109" customWidth="1"/>
    <col min="10507" max="10507" width="18" style="109" customWidth="1"/>
    <col min="10508" max="10752" width="9.140625" style="109"/>
    <col min="10753" max="10753" width="47.7109375" style="109" bestFit="1" customWidth="1"/>
    <col min="10754" max="10754" width="21.42578125" style="109" customWidth="1"/>
    <col min="10755" max="10755" width="22.85546875" style="109" customWidth="1"/>
    <col min="10756" max="10756" width="16.42578125" style="109" bestFit="1" customWidth="1"/>
    <col min="10757" max="10757" width="15.140625" style="109" bestFit="1" customWidth="1"/>
    <col min="10758" max="10758" width="19.42578125" style="109" customWidth="1"/>
    <col min="10759" max="10759" width="19.140625" style="109" bestFit="1" customWidth="1"/>
    <col min="10760" max="10760" width="9.140625" style="109"/>
    <col min="10761" max="10761" width="15.28515625" style="109" customWidth="1"/>
    <col min="10762" max="10762" width="14.140625" style="109" customWidth="1"/>
    <col min="10763" max="10763" width="18" style="109" customWidth="1"/>
    <col min="10764" max="11008" width="9.140625" style="109"/>
    <col min="11009" max="11009" width="47.7109375" style="109" bestFit="1" customWidth="1"/>
    <col min="11010" max="11010" width="21.42578125" style="109" customWidth="1"/>
    <col min="11011" max="11011" width="22.85546875" style="109" customWidth="1"/>
    <col min="11012" max="11012" width="16.42578125" style="109" bestFit="1" customWidth="1"/>
    <col min="11013" max="11013" width="15.140625" style="109" bestFit="1" customWidth="1"/>
    <col min="11014" max="11014" width="19.42578125" style="109" customWidth="1"/>
    <col min="11015" max="11015" width="19.140625" style="109" bestFit="1" customWidth="1"/>
    <col min="11016" max="11016" width="9.140625" style="109"/>
    <col min="11017" max="11017" width="15.28515625" style="109" customWidth="1"/>
    <col min="11018" max="11018" width="14.140625" style="109" customWidth="1"/>
    <col min="11019" max="11019" width="18" style="109" customWidth="1"/>
    <col min="11020" max="11264" width="9.140625" style="109"/>
    <col min="11265" max="11265" width="47.7109375" style="109" bestFit="1" customWidth="1"/>
    <col min="11266" max="11266" width="21.42578125" style="109" customWidth="1"/>
    <col min="11267" max="11267" width="22.85546875" style="109" customWidth="1"/>
    <col min="11268" max="11268" width="16.42578125" style="109" bestFit="1" customWidth="1"/>
    <col min="11269" max="11269" width="15.140625" style="109" bestFit="1" customWidth="1"/>
    <col min="11270" max="11270" width="19.42578125" style="109" customWidth="1"/>
    <col min="11271" max="11271" width="19.140625" style="109" bestFit="1" customWidth="1"/>
    <col min="11272" max="11272" width="9.140625" style="109"/>
    <col min="11273" max="11273" width="15.28515625" style="109" customWidth="1"/>
    <col min="11274" max="11274" width="14.140625" style="109" customWidth="1"/>
    <col min="11275" max="11275" width="18" style="109" customWidth="1"/>
    <col min="11276" max="11520" width="9.140625" style="109"/>
    <col min="11521" max="11521" width="47.7109375" style="109" bestFit="1" customWidth="1"/>
    <col min="11522" max="11522" width="21.42578125" style="109" customWidth="1"/>
    <col min="11523" max="11523" width="22.85546875" style="109" customWidth="1"/>
    <col min="11524" max="11524" width="16.42578125" style="109" bestFit="1" customWidth="1"/>
    <col min="11525" max="11525" width="15.140625" style="109" bestFit="1" customWidth="1"/>
    <col min="11526" max="11526" width="19.42578125" style="109" customWidth="1"/>
    <col min="11527" max="11527" width="19.140625" style="109" bestFit="1" customWidth="1"/>
    <col min="11528" max="11528" width="9.140625" style="109"/>
    <col min="11529" max="11529" width="15.28515625" style="109" customWidth="1"/>
    <col min="11530" max="11530" width="14.140625" style="109" customWidth="1"/>
    <col min="11531" max="11531" width="18" style="109" customWidth="1"/>
    <col min="11532" max="11776" width="9.140625" style="109"/>
    <col min="11777" max="11777" width="47.7109375" style="109" bestFit="1" customWidth="1"/>
    <col min="11778" max="11778" width="21.42578125" style="109" customWidth="1"/>
    <col min="11779" max="11779" width="22.85546875" style="109" customWidth="1"/>
    <col min="11780" max="11780" width="16.42578125" style="109" bestFit="1" customWidth="1"/>
    <col min="11781" max="11781" width="15.140625" style="109" bestFit="1" customWidth="1"/>
    <col min="11782" max="11782" width="19.42578125" style="109" customWidth="1"/>
    <col min="11783" max="11783" width="19.140625" style="109" bestFit="1" customWidth="1"/>
    <col min="11784" max="11784" width="9.140625" style="109"/>
    <col min="11785" max="11785" width="15.28515625" style="109" customWidth="1"/>
    <col min="11786" max="11786" width="14.140625" style="109" customWidth="1"/>
    <col min="11787" max="11787" width="18" style="109" customWidth="1"/>
    <col min="11788" max="12032" width="9.140625" style="109"/>
    <col min="12033" max="12033" width="47.7109375" style="109" bestFit="1" customWidth="1"/>
    <col min="12034" max="12034" width="21.42578125" style="109" customWidth="1"/>
    <col min="12035" max="12035" width="22.85546875" style="109" customWidth="1"/>
    <col min="12036" max="12036" width="16.42578125" style="109" bestFit="1" customWidth="1"/>
    <col min="12037" max="12037" width="15.140625" style="109" bestFit="1" customWidth="1"/>
    <col min="12038" max="12038" width="19.42578125" style="109" customWidth="1"/>
    <col min="12039" max="12039" width="19.140625" style="109" bestFit="1" customWidth="1"/>
    <col min="12040" max="12040" width="9.140625" style="109"/>
    <col min="12041" max="12041" width="15.28515625" style="109" customWidth="1"/>
    <col min="12042" max="12042" width="14.140625" style="109" customWidth="1"/>
    <col min="12043" max="12043" width="18" style="109" customWidth="1"/>
    <col min="12044" max="12288" width="9.140625" style="109"/>
    <col min="12289" max="12289" width="47.7109375" style="109" bestFit="1" customWidth="1"/>
    <col min="12290" max="12290" width="21.42578125" style="109" customWidth="1"/>
    <col min="12291" max="12291" width="22.85546875" style="109" customWidth="1"/>
    <col min="12292" max="12292" width="16.42578125" style="109" bestFit="1" customWidth="1"/>
    <col min="12293" max="12293" width="15.140625" style="109" bestFit="1" customWidth="1"/>
    <col min="12294" max="12294" width="19.42578125" style="109" customWidth="1"/>
    <col min="12295" max="12295" width="19.140625" style="109" bestFit="1" customWidth="1"/>
    <col min="12296" max="12296" width="9.140625" style="109"/>
    <col min="12297" max="12297" width="15.28515625" style="109" customWidth="1"/>
    <col min="12298" max="12298" width="14.140625" style="109" customWidth="1"/>
    <col min="12299" max="12299" width="18" style="109" customWidth="1"/>
    <col min="12300" max="12544" width="9.140625" style="109"/>
    <col min="12545" max="12545" width="47.7109375" style="109" bestFit="1" customWidth="1"/>
    <col min="12546" max="12546" width="21.42578125" style="109" customWidth="1"/>
    <col min="12547" max="12547" width="22.85546875" style="109" customWidth="1"/>
    <col min="12548" max="12548" width="16.42578125" style="109" bestFit="1" customWidth="1"/>
    <col min="12549" max="12549" width="15.140625" style="109" bestFit="1" customWidth="1"/>
    <col min="12550" max="12550" width="19.42578125" style="109" customWidth="1"/>
    <col min="12551" max="12551" width="19.140625" style="109" bestFit="1" customWidth="1"/>
    <col min="12552" max="12552" width="9.140625" style="109"/>
    <col min="12553" max="12553" width="15.28515625" style="109" customWidth="1"/>
    <col min="12554" max="12554" width="14.140625" style="109" customWidth="1"/>
    <col min="12555" max="12555" width="18" style="109" customWidth="1"/>
    <col min="12556" max="12800" width="9.140625" style="109"/>
    <col min="12801" max="12801" width="47.7109375" style="109" bestFit="1" customWidth="1"/>
    <col min="12802" max="12802" width="21.42578125" style="109" customWidth="1"/>
    <col min="12803" max="12803" width="22.85546875" style="109" customWidth="1"/>
    <col min="12804" max="12804" width="16.42578125" style="109" bestFit="1" customWidth="1"/>
    <col min="12805" max="12805" width="15.140625" style="109" bestFit="1" customWidth="1"/>
    <col min="12806" max="12806" width="19.42578125" style="109" customWidth="1"/>
    <col min="12807" max="12807" width="19.140625" style="109" bestFit="1" customWidth="1"/>
    <col min="12808" max="12808" width="9.140625" style="109"/>
    <col min="12809" max="12809" width="15.28515625" style="109" customWidth="1"/>
    <col min="12810" max="12810" width="14.140625" style="109" customWidth="1"/>
    <col min="12811" max="12811" width="18" style="109" customWidth="1"/>
    <col min="12812" max="13056" width="9.140625" style="109"/>
    <col min="13057" max="13057" width="47.7109375" style="109" bestFit="1" customWidth="1"/>
    <col min="13058" max="13058" width="21.42578125" style="109" customWidth="1"/>
    <col min="13059" max="13059" width="22.85546875" style="109" customWidth="1"/>
    <col min="13060" max="13060" width="16.42578125" style="109" bestFit="1" customWidth="1"/>
    <col min="13061" max="13061" width="15.140625" style="109" bestFit="1" customWidth="1"/>
    <col min="13062" max="13062" width="19.42578125" style="109" customWidth="1"/>
    <col min="13063" max="13063" width="19.140625" style="109" bestFit="1" customWidth="1"/>
    <col min="13064" max="13064" width="9.140625" style="109"/>
    <col min="13065" max="13065" width="15.28515625" style="109" customWidth="1"/>
    <col min="13066" max="13066" width="14.140625" style="109" customWidth="1"/>
    <col min="13067" max="13067" width="18" style="109" customWidth="1"/>
    <col min="13068" max="13312" width="9.140625" style="109"/>
    <col min="13313" max="13313" width="47.7109375" style="109" bestFit="1" customWidth="1"/>
    <col min="13314" max="13314" width="21.42578125" style="109" customWidth="1"/>
    <col min="13315" max="13315" width="22.85546875" style="109" customWidth="1"/>
    <col min="13316" max="13316" width="16.42578125" style="109" bestFit="1" customWidth="1"/>
    <col min="13317" max="13317" width="15.140625" style="109" bestFit="1" customWidth="1"/>
    <col min="13318" max="13318" width="19.42578125" style="109" customWidth="1"/>
    <col min="13319" max="13319" width="19.140625" style="109" bestFit="1" customWidth="1"/>
    <col min="13320" max="13320" width="9.140625" style="109"/>
    <col min="13321" max="13321" width="15.28515625" style="109" customWidth="1"/>
    <col min="13322" max="13322" width="14.140625" style="109" customWidth="1"/>
    <col min="13323" max="13323" width="18" style="109" customWidth="1"/>
    <col min="13324" max="13568" width="9.140625" style="109"/>
    <col min="13569" max="13569" width="47.7109375" style="109" bestFit="1" customWidth="1"/>
    <col min="13570" max="13570" width="21.42578125" style="109" customWidth="1"/>
    <col min="13571" max="13571" width="22.85546875" style="109" customWidth="1"/>
    <col min="13572" max="13572" width="16.42578125" style="109" bestFit="1" customWidth="1"/>
    <col min="13573" max="13573" width="15.140625" style="109" bestFit="1" customWidth="1"/>
    <col min="13574" max="13574" width="19.42578125" style="109" customWidth="1"/>
    <col min="13575" max="13575" width="19.140625" style="109" bestFit="1" customWidth="1"/>
    <col min="13576" max="13576" width="9.140625" style="109"/>
    <col min="13577" max="13577" width="15.28515625" style="109" customWidth="1"/>
    <col min="13578" max="13578" width="14.140625" style="109" customWidth="1"/>
    <col min="13579" max="13579" width="18" style="109" customWidth="1"/>
    <col min="13580" max="13824" width="9.140625" style="109"/>
    <col min="13825" max="13825" width="47.7109375" style="109" bestFit="1" customWidth="1"/>
    <col min="13826" max="13826" width="21.42578125" style="109" customWidth="1"/>
    <col min="13827" max="13827" width="22.85546875" style="109" customWidth="1"/>
    <col min="13828" max="13828" width="16.42578125" style="109" bestFit="1" customWidth="1"/>
    <col min="13829" max="13829" width="15.140625" style="109" bestFit="1" customWidth="1"/>
    <col min="13830" max="13830" width="19.42578125" style="109" customWidth="1"/>
    <col min="13831" max="13831" width="19.140625" style="109" bestFit="1" customWidth="1"/>
    <col min="13832" max="13832" width="9.140625" style="109"/>
    <col min="13833" max="13833" width="15.28515625" style="109" customWidth="1"/>
    <col min="13834" max="13834" width="14.140625" style="109" customWidth="1"/>
    <col min="13835" max="13835" width="18" style="109" customWidth="1"/>
    <col min="13836" max="14080" width="9.140625" style="109"/>
    <col min="14081" max="14081" width="47.7109375" style="109" bestFit="1" customWidth="1"/>
    <col min="14082" max="14082" width="21.42578125" style="109" customWidth="1"/>
    <col min="14083" max="14083" width="22.85546875" style="109" customWidth="1"/>
    <col min="14084" max="14084" width="16.42578125" style="109" bestFit="1" customWidth="1"/>
    <col min="14085" max="14085" width="15.140625" style="109" bestFit="1" customWidth="1"/>
    <col min="14086" max="14086" width="19.42578125" style="109" customWidth="1"/>
    <col min="14087" max="14087" width="19.140625" style="109" bestFit="1" customWidth="1"/>
    <col min="14088" max="14088" width="9.140625" style="109"/>
    <col min="14089" max="14089" width="15.28515625" style="109" customWidth="1"/>
    <col min="14090" max="14090" width="14.140625" style="109" customWidth="1"/>
    <col min="14091" max="14091" width="18" style="109" customWidth="1"/>
    <col min="14092" max="14336" width="9.140625" style="109"/>
    <col min="14337" max="14337" width="47.7109375" style="109" bestFit="1" customWidth="1"/>
    <col min="14338" max="14338" width="21.42578125" style="109" customWidth="1"/>
    <col min="14339" max="14339" width="22.85546875" style="109" customWidth="1"/>
    <col min="14340" max="14340" width="16.42578125" style="109" bestFit="1" customWidth="1"/>
    <col min="14341" max="14341" width="15.140625" style="109" bestFit="1" customWidth="1"/>
    <col min="14342" max="14342" width="19.42578125" style="109" customWidth="1"/>
    <col min="14343" max="14343" width="19.140625" style="109" bestFit="1" customWidth="1"/>
    <col min="14344" max="14344" width="9.140625" style="109"/>
    <col min="14345" max="14345" width="15.28515625" style="109" customWidth="1"/>
    <col min="14346" max="14346" width="14.140625" style="109" customWidth="1"/>
    <col min="14347" max="14347" width="18" style="109" customWidth="1"/>
    <col min="14348" max="14592" width="9.140625" style="109"/>
    <col min="14593" max="14593" width="47.7109375" style="109" bestFit="1" customWidth="1"/>
    <col min="14594" max="14594" width="21.42578125" style="109" customWidth="1"/>
    <col min="14595" max="14595" width="22.85546875" style="109" customWidth="1"/>
    <col min="14596" max="14596" width="16.42578125" style="109" bestFit="1" customWidth="1"/>
    <col min="14597" max="14597" width="15.140625" style="109" bestFit="1" customWidth="1"/>
    <col min="14598" max="14598" width="19.42578125" style="109" customWidth="1"/>
    <col min="14599" max="14599" width="19.140625" style="109" bestFit="1" customWidth="1"/>
    <col min="14600" max="14600" width="9.140625" style="109"/>
    <col min="14601" max="14601" width="15.28515625" style="109" customWidth="1"/>
    <col min="14602" max="14602" width="14.140625" style="109" customWidth="1"/>
    <col min="14603" max="14603" width="18" style="109" customWidth="1"/>
    <col min="14604" max="14848" width="9.140625" style="109"/>
    <col min="14849" max="14849" width="47.7109375" style="109" bestFit="1" customWidth="1"/>
    <col min="14850" max="14850" width="21.42578125" style="109" customWidth="1"/>
    <col min="14851" max="14851" width="22.85546875" style="109" customWidth="1"/>
    <col min="14852" max="14852" width="16.42578125" style="109" bestFit="1" customWidth="1"/>
    <col min="14853" max="14853" width="15.140625" style="109" bestFit="1" customWidth="1"/>
    <col min="14854" max="14854" width="19.42578125" style="109" customWidth="1"/>
    <col min="14855" max="14855" width="19.140625" style="109" bestFit="1" customWidth="1"/>
    <col min="14856" max="14856" width="9.140625" style="109"/>
    <col min="14857" max="14857" width="15.28515625" style="109" customWidth="1"/>
    <col min="14858" max="14858" width="14.140625" style="109" customWidth="1"/>
    <col min="14859" max="14859" width="18" style="109" customWidth="1"/>
    <col min="14860" max="15104" width="9.140625" style="109"/>
    <col min="15105" max="15105" width="47.7109375" style="109" bestFit="1" customWidth="1"/>
    <col min="15106" max="15106" width="21.42578125" style="109" customWidth="1"/>
    <col min="15107" max="15107" width="22.85546875" style="109" customWidth="1"/>
    <col min="15108" max="15108" width="16.42578125" style="109" bestFit="1" customWidth="1"/>
    <col min="15109" max="15109" width="15.140625" style="109" bestFit="1" customWidth="1"/>
    <col min="15110" max="15110" width="19.42578125" style="109" customWidth="1"/>
    <col min="15111" max="15111" width="19.140625" style="109" bestFit="1" customWidth="1"/>
    <col min="15112" max="15112" width="9.140625" style="109"/>
    <col min="15113" max="15113" width="15.28515625" style="109" customWidth="1"/>
    <col min="15114" max="15114" width="14.140625" style="109" customWidth="1"/>
    <col min="15115" max="15115" width="18" style="109" customWidth="1"/>
    <col min="15116" max="15360" width="9.140625" style="109"/>
    <col min="15361" max="15361" width="47.7109375" style="109" bestFit="1" customWidth="1"/>
    <col min="15362" max="15362" width="21.42578125" style="109" customWidth="1"/>
    <col min="15363" max="15363" width="22.85546875" style="109" customWidth="1"/>
    <col min="15364" max="15364" width="16.42578125" style="109" bestFit="1" customWidth="1"/>
    <col min="15365" max="15365" width="15.140625" style="109" bestFit="1" customWidth="1"/>
    <col min="15366" max="15366" width="19.42578125" style="109" customWidth="1"/>
    <col min="15367" max="15367" width="19.140625" style="109" bestFit="1" customWidth="1"/>
    <col min="15368" max="15368" width="9.140625" style="109"/>
    <col min="15369" max="15369" width="15.28515625" style="109" customWidth="1"/>
    <col min="15370" max="15370" width="14.140625" style="109" customWidth="1"/>
    <col min="15371" max="15371" width="18" style="109" customWidth="1"/>
    <col min="15372" max="15616" width="9.140625" style="109"/>
    <col min="15617" max="15617" width="47.7109375" style="109" bestFit="1" customWidth="1"/>
    <col min="15618" max="15618" width="21.42578125" style="109" customWidth="1"/>
    <col min="15619" max="15619" width="22.85546875" style="109" customWidth="1"/>
    <col min="15620" max="15620" width="16.42578125" style="109" bestFit="1" customWidth="1"/>
    <col min="15621" max="15621" width="15.140625" style="109" bestFit="1" customWidth="1"/>
    <col min="15622" max="15622" width="19.42578125" style="109" customWidth="1"/>
    <col min="15623" max="15623" width="19.140625" style="109" bestFit="1" customWidth="1"/>
    <col min="15624" max="15624" width="9.140625" style="109"/>
    <col min="15625" max="15625" width="15.28515625" style="109" customWidth="1"/>
    <col min="15626" max="15626" width="14.140625" style="109" customWidth="1"/>
    <col min="15627" max="15627" width="18" style="109" customWidth="1"/>
    <col min="15628" max="15872" width="9.140625" style="109"/>
    <col min="15873" max="15873" width="47.7109375" style="109" bestFit="1" customWidth="1"/>
    <col min="15874" max="15874" width="21.42578125" style="109" customWidth="1"/>
    <col min="15875" max="15875" width="22.85546875" style="109" customWidth="1"/>
    <col min="15876" max="15876" width="16.42578125" style="109" bestFit="1" customWidth="1"/>
    <col min="15877" max="15877" width="15.140625" style="109" bestFit="1" customWidth="1"/>
    <col min="15878" max="15878" width="19.42578125" style="109" customWidth="1"/>
    <col min="15879" max="15879" width="19.140625" style="109" bestFit="1" customWidth="1"/>
    <col min="15880" max="15880" width="9.140625" style="109"/>
    <col min="15881" max="15881" width="15.28515625" style="109" customWidth="1"/>
    <col min="15882" max="15882" width="14.140625" style="109" customWidth="1"/>
    <col min="15883" max="15883" width="18" style="109" customWidth="1"/>
    <col min="15884" max="16128" width="9.140625" style="109"/>
    <col min="16129" max="16129" width="47.7109375" style="109" bestFit="1" customWidth="1"/>
    <col min="16130" max="16130" width="21.42578125" style="109" customWidth="1"/>
    <col min="16131" max="16131" width="22.85546875" style="109" customWidth="1"/>
    <col min="16132" max="16132" width="16.42578125" style="109" bestFit="1" customWidth="1"/>
    <col min="16133" max="16133" width="15.140625" style="109" bestFit="1" customWidth="1"/>
    <col min="16134" max="16134" width="19.42578125" style="109" customWidth="1"/>
    <col min="16135" max="16135" width="19.140625" style="109" bestFit="1" customWidth="1"/>
    <col min="16136" max="16136" width="9.140625" style="109"/>
    <col min="16137" max="16137" width="15.28515625" style="109" customWidth="1"/>
    <col min="16138" max="16138" width="14.140625" style="109" customWidth="1"/>
    <col min="16139" max="16139" width="18" style="109" customWidth="1"/>
    <col min="16140" max="16384" width="9.140625" style="109"/>
  </cols>
  <sheetData>
    <row r="1" spans="1:7" x14ac:dyDescent="0.25">
      <c r="A1" s="108">
        <f>'Balanço Orçamentário MCASP'!A1</f>
        <v>43831</v>
      </c>
    </row>
    <row r="2" spans="1:7" x14ac:dyDescent="0.25">
      <c r="A2" s="198" t="s">
        <v>0</v>
      </c>
      <c r="B2" s="198"/>
      <c r="C2" s="198"/>
      <c r="D2" s="198"/>
      <c r="E2" s="198"/>
      <c r="F2" s="198"/>
      <c r="G2" s="198"/>
    </row>
    <row r="3" spans="1:7" x14ac:dyDescent="0.25">
      <c r="A3" s="198" t="s">
        <v>141</v>
      </c>
      <c r="B3" s="198"/>
      <c r="C3" s="198"/>
      <c r="D3" s="198"/>
      <c r="E3" s="198"/>
      <c r="F3" s="198"/>
      <c r="G3" s="198"/>
    </row>
    <row r="4" spans="1:7" x14ac:dyDescent="0.25">
      <c r="A4" s="198" t="s">
        <v>142</v>
      </c>
      <c r="B4" s="198"/>
      <c r="C4" s="198"/>
      <c r="D4" s="198"/>
      <c r="E4" s="198"/>
      <c r="F4" s="198"/>
      <c r="G4" s="198"/>
    </row>
    <row r="5" spans="1:7" x14ac:dyDescent="0.25">
      <c r="A5" s="114"/>
      <c r="B5" s="114"/>
      <c r="C5" s="114"/>
      <c r="D5" s="114"/>
      <c r="E5" s="114"/>
      <c r="F5" s="114"/>
      <c r="G5" s="199"/>
    </row>
    <row r="6" spans="1:7" ht="15.75" thickBot="1" x14ac:dyDescent="0.3">
      <c r="A6" s="114"/>
      <c r="B6" s="114"/>
      <c r="C6" s="114"/>
      <c r="D6" s="114"/>
      <c r="E6" s="114"/>
      <c r="F6" s="114"/>
      <c r="G6" s="114"/>
    </row>
    <row r="7" spans="1:7" ht="15.75" thickBot="1" x14ac:dyDescent="0.3">
      <c r="A7" s="200" t="s">
        <v>143</v>
      </c>
      <c r="B7" s="201" t="s">
        <v>144</v>
      </c>
      <c r="C7" s="202"/>
      <c r="D7" s="203" t="s">
        <v>145</v>
      </c>
      <c r="E7" s="204" t="s">
        <v>146</v>
      </c>
      <c r="F7" s="203" t="s">
        <v>147</v>
      </c>
      <c r="G7" s="205" t="s">
        <v>148</v>
      </c>
    </row>
    <row r="8" spans="1:7" ht="42" customHeight="1" thickBot="1" x14ac:dyDescent="0.3">
      <c r="A8" s="206"/>
      <c r="B8" s="207" t="s">
        <v>149</v>
      </c>
      <c r="C8" s="208" t="s">
        <v>150</v>
      </c>
      <c r="D8" s="209"/>
      <c r="E8" s="210"/>
      <c r="F8" s="209"/>
      <c r="G8" s="211"/>
    </row>
    <row r="9" spans="1:7" ht="16.5" thickBot="1" x14ac:dyDescent="0.3">
      <c r="A9" s="212" t="s">
        <v>151</v>
      </c>
      <c r="B9" s="213">
        <f>SUM(B10:B12)</f>
        <v>0</v>
      </c>
      <c r="C9" s="214">
        <f>SUM(C10:C12)</f>
        <v>2003403.79</v>
      </c>
      <c r="D9" s="214">
        <f>SUM(D10:D12)</f>
        <v>60923.74</v>
      </c>
      <c r="E9" s="213">
        <f>SUM(E10:E12)</f>
        <v>60923.74</v>
      </c>
      <c r="F9" s="214">
        <f>SUM(F10:F12)</f>
        <v>0</v>
      </c>
      <c r="G9" s="215">
        <f t="shared" ref="G9:G16" si="0">B9+C9-E9-F9</f>
        <v>1942480.05</v>
      </c>
    </row>
    <row r="10" spans="1:7" ht="15.75" x14ac:dyDescent="0.25">
      <c r="A10" s="216" t="s">
        <v>115</v>
      </c>
      <c r="B10" s="217"/>
      <c r="C10" s="218"/>
      <c r="D10" s="218"/>
      <c r="E10" s="217"/>
      <c r="F10" s="218"/>
      <c r="G10" s="219">
        <f t="shared" si="0"/>
        <v>0</v>
      </c>
    </row>
    <row r="11" spans="1:7" ht="15.75" x14ac:dyDescent="0.25">
      <c r="A11" s="216" t="s">
        <v>116</v>
      </c>
      <c r="B11" s="217"/>
      <c r="C11" s="218"/>
      <c r="D11" s="220"/>
      <c r="E11" s="221"/>
      <c r="F11" s="218"/>
      <c r="G11" s="219">
        <f t="shared" si="0"/>
        <v>0</v>
      </c>
    </row>
    <row r="12" spans="1:7" ht="16.5" thickBot="1" x14ac:dyDescent="0.3">
      <c r="A12" s="216" t="s">
        <v>117</v>
      </c>
      <c r="B12" s="222">
        <f>HLOOKUP($A$1,[1]DADOS!$A1:$IV174,140,0)</f>
        <v>0</v>
      </c>
      <c r="C12" s="223">
        <f>HLOOKUP($A$1,[1]DADOS!$A1:$IV174,124,0)</f>
        <v>2003403.79</v>
      </c>
      <c r="D12" s="224">
        <f>$E$12</f>
        <v>60923.74</v>
      </c>
      <c r="E12" s="225">
        <f>HLOOKUP($A$1,[1]DADOS!$A1:$IV174,126,0)+HLOOKUP($A$1,[1]DADOS!$A1:$IV174,142,0)</f>
        <v>60923.74</v>
      </c>
      <c r="F12" s="226">
        <f>HLOOKUP($A$1,[1]DADOS!$A1:$IV174,128,0)+HLOOKUP($A$1,[1]DADOS!$A1:$IV174,136,0)+HLOOKUP($A$1,[1]DADOS!$A1:$IV174,144,0)</f>
        <v>0</v>
      </c>
      <c r="G12" s="227">
        <f>B12+C12-E12-F12</f>
        <v>1942480.05</v>
      </c>
    </row>
    <row r="13" spans="1:7" ht="16.5" thickBot="1" x14ac:dyDescent="0.3">
      <c r="A13" s="212" t="s">
        <v>152</v>
      </c>
      <c r="B13" s="228">
        <f>SUM(B14:B16)</f>
        <v>0</v>
      </c>
      <c r="C13" s="214">
        <f>SUM(C14:C16)</f>
        <v>0</v>
      </c>
      <c r="D13" s="214">
        <f>SUM(D14:D16)</f>
        <v>0</v>
      </c>
      <c r="E13" s="213">
        <f>SUM(E14:E16)</f>
        <v>0</v>
      </c>
      <c r="F13" s="214">
        <f>SUM(F14:F16)</f>
        <v>0</v>
      </c>
      <c r="G13" s="215">
        <f t="shared" si="0"/>
        <v>0</v>
      </c>
    </row>
    <row r="14" spans="1:7" ht="15.75" x14ac:dyDescent="0.25">
      <c r="A14" s="216" t="s">
        <v>119</v>
      </c>
      <c r="B14" s="217">
        <f>HLOOKUP($A$1,[1]DADOS!$A1:$IV174,139,0)</f>
        <v>0</v>
      </c>
      <c r="C14" s="223">
        <f>HLOOKUP($A$1,[1]DADOS!$A1:$IV174,131,0)</f>
        <v>0</v>
      </c>
      <c r="D14" s="226">
        <f>$E$14</f>
        <v>0</v>
      </c>
      <c r="E14" s="222">
        <f>HLOOKUP($A$1,[1]DADOS!$A1:$IV174,133,0)+HLOOKUP($A$1,[1]DADOS!$A1:$IV174,149,0)</f>
        <v>0</v>
      </c>
      <c r="F14" s="226">
        <f>HLOOKUP($A$1,[1]DADOS!$A1:$IV174,135,0)+HLOOKUP($A$1,[1]DADOS!$A1:$IV174,151,0)</f>
        <v>0</v>
      </c>
      <c r="G14" s="219">
        <f t="shared" si="0"/>
        <v>0</v>
      </c>
    </row>
    <row r="15" spans="1:7" ht="15.75" x14ac:dyDescent="0.25">
      <c r="A15" s="216" t="s">
        <v>120</v>
      </c>
      <c r="B15" s="217"/>
      <c r="C15" s="218"/>
      <c r="D15" s="218"/>
      <c r="E15" s="217"/>
      <c r="F15" s="218"/>
      <c r="G15" s="219">
        <f t="shared" si="0"/>
        <v>0</v>
      </c>
    </row>
    <row r="16" spans="1:7" ht="16.5" thickBot="1" x14ac:dyDescent="0.3">
      <c r="A16" s="229" t="s">
        <v>121</v>
      </c>
      <c r="B16" s="217"/>
      <c r="C16" s="218"/>
      <c r="D16" s="218"/>
      <c r="E16" s="230"/>
      <c r="F16" s="218"/>
      <c r="G16" s="219">
        <f t="shared" si="0"/>
        <v>0</v>
      </c>
    </row>
    <row r="17" spans="1:15" s="141" customFormat="1" ht="16.5" thickBot="1" x14ac:dyDescent="0.3">
      <c r="A17" s="231" t="s">
        <v>153</v>
      </c>
      <c r="B17" s="232">
        <f t="shared" ref="B17:G17" si="1">B9+B13</f>
        <v>0</v>
      </c>
      <c r="C17" s="232">
        <f t="shared" si="1"/>
        <v>2003403.79</v>
      </c>
      <c r="D17" s="232">
        <f t="shared" si="1"/>
        <v>60923.74</v>
      </c>
      <c r="E17" s="232">
        <f t="shared" si="1"/>
        <v>60923.74</v>
      </c>
      <c r="F17" s="232">
        <f t="shared" si="1"/>
        <v>0</v>
      </c>
      <c r="G17" s="232">
        <f t="shared" si="1"/>
        <v>1942480.05</v>
      </c>
      <c r="I17" s="233">
        <f>G17</f>
        <v>1942480.05</v>
      </c>
      <c r="J17" s="234" t="s">
        <v>154</v>
      </c>
      <c r="K17" s="235"/>
    </row>
    <row r="18" spans="1:15" x14ac:dyDescent="0.25">
      <c r="I18" s="161"/>
      <c r="K18" s="236"/>
    </row>
    <row r="19" spans="1:15" ht="15.75" thickBot="1" x14ac:dyDescent="0.3">
      <c r="A19" s="114"/>
      <c r="B19" s="114"/>
      <c r="C19" s="114"/>
      <c r="D19" s="114"/>
      <c r="E19" s="114"/>
      <c r="F19" s="114"/>
      <c r="G19" s="114"/>
      <c r="I19" s="161"/>
      <c r="K19" s="236"/>
    </row>
    <row r="20" spans="1:15" ht="15.75" thickBot="1" x14ac:dyDescent="0.3">
      <c r="A20" s="200" t="s">
        <v>155</v>
      </c>
      <c r="B20" s="201" t="s">
        <v>144</v>
      </c>
      <c r="C20" s="202"/>
      <c r="D20" s="237" t="s">
        <v>156</v>
      </c>
      <c r="E20" s="237" t="s">
        <v>157</v>
      </c>
      <c r="F20" s="237" t="s">
        <v>158</v>
      </c>
      <c r="I20" s="161"/>
      <c r="K20" s="236"/>
    </row>
    <row r="21" spans="1:15" ht="30.75" thickBot="1" x14ac:dyDescent="0.3">
      <c r="A21" s="238"/>
      <c r="B21" s="207" t="s">
        <v>149</v>
      </c>
      <c r="C21" s="208" t="s">
        <v>150</v>
      </c>
      <c r="D21" s="239"/>
      <c r="E21" s="239"/>
      <c r="F21" s="239"/>
      <c r="I21" s="161"/>
      <c r="K21" s="236"/>
    </row>
    <row r="22" spans="1:15" ht="16.5" thickBot="1" x14ac:dyDescent="0.3">
      <c r="A22" s="231" t="s">
        <v>151</v>
      </c>
      <c r="B22" s="213">
        <f>SUM(B23:B25)</f>
        <v>3821.76</v>
      </c>
      <c r="C22" s="214">
        <f>SUM(C23:C25)</f>
        <v>8641.73</v>
      </c>
      <c r="D22" s="214">
        <f>SUM(D23:D25)</f>
        <v>8641.73</v>
      </c>
      <c r="E22" s="214">
        <f>SUM(E23:E25)</f>
        <v>0</v>
      </c>
      <c r="F22" s="214">
        <f t="shared" ref="F22:F27" si="2">B22+C22-D22-E22</f>
        <v>3821.76</v>
      </c>
      <c r="I22" s="161"/>
      <c r="K22" s="236"/>
    </row>
    <row r="23" spans="1:15" ht="15.75" x14ac:dyDescent="0.25">
      <c r="A23" s="240" t="s">
        <v>115</v>
      </c>
      <c r="B23" s="217"/>
      <c r="C23" s="217"/>
      <c r="D23" s="220"/>
      <c r="E23" s="220"/>
      <c r="F23" s="218">
        <f t="shared" si="2"/>
        <v>0</v>
      </c>
      <c r="I23" s="161"/>
      <c r="K23" s="236"/>
    </row>
    <row r="24" spans="1:15" ht="15.75" x14ac:dyDescent="0.25">
      <c r="A24" s="240" t="s">
        <v>116</v>
      </c>
      <c r="B24" s="217"/>
      <c r="C24" s="218"/>
      <c r="D24" s="218"/>
      <c r="E24" s="218"/>
      <c r="F24" s="218">
        <f t="shared" si="2"/>
        <v>0</v>
      </c>
      <c r="I24" s="161"/>
      <c r="K24" s="236"/>
    </row>
    <row r="25" spans="1:15" ht="16.5" thickBot="1" x14ac:dyDescent="0.3">
      <c r="A25" s="240" t="s">
        <v>117</v>
      </c>
      <c r="B25" s="225">
        <f>HLOOKUP($A$1,[1]DADOS!$A1:$IV174,141,0)</f>
        <v>3821.76</v>
      </c>
      <c r="C25" s="225">
        <f>HLOOKUP($A$1,[1]DADOS!$A1:$IV174,125,0)</f>
        <v>8641.73</v>
      </c>
      <c r="D25" s="226">
        <f>HLOOKUP($A$1,[1]DADOS!$A1:$IV174,127,0)+HLOOKUP($A$1,[1]DADOS!$A1:$IV174,143,0)</f>
        <v>8641.73</v>
      </c>
      <c r="E25" s="226">
        <f>HLOOKUP($A$1,[1]DADOS!$A1:$IV174,129,0)+HLOOKUP($A$1,[1]DADOS!$A1:$IV174,145,0)</f>
        <v>0</v>
      </c>
      <c r="F25" s="223">
        <f t="shared" si="2"/>
        <v>3821.76</v>
      </c>
      <c r="I25" s="161"/>
      <c r="K25" s="236"/>
    </row>
    <row r="26" spans="1:15" ht="15.75" thickBot="1" x14ac:dyDescent="0.3">
      <c r="A26" s="231" t="s">
        <v>152</v>
      </c>
      <c r="B26" s="228">
        <f>SUM(B27:B29)</f>
        <v>0</v>
      </c>
      <c r="C26" s="241">
        <f>SUM(C27:C29)</f>
        <v>0</v>
      </c>
      <c r="D26" s="241">
        <f>SUM(D27:D29)</f>
        <v>0</v>
      </c>
      <c r="E26" s="241">
        <f>SUM(E27:E29)</f>
        <v>0</v>
      </c>
      <c r="F26" s="241">
        <f t="shared" si="2"/>
        <v>0</v>
      </c>
      <c r="I26" s="161"/>
      <c r="K26" s="236"/>
    </row>
    <row r="27" spans="1:15" ht="15.75" x14ac:dyDescent="0.25">
      <c r="A27" s="240" t="s">
        <v>119</v>
      </c>
      <c r="B27" s="217">
        <f>HLOOKUP($A$1,[1]DADOS!$A1:$IV174,148,0)</f>
        <v>0</v>
      </c>
      <c r="C27" s="242">
        <f>HLOOKUP($A$1,[1]DADOS!$A1:$IV174,132,0)</f>
        <v>0</v>
      </c>
      <c r="D27" s="218">
        <f>HLOOKUP($A$1,[1]DADOS!$A1:$IV174,134,0)+HLOOKUP($A$1,[1]DADOS!$A1:$IV174,150,0)</f>
        <v>0</v>
      </c>
      <c r="E27" s="218">
        <f>HLOOKUP($A$1,[1]DADOS!$A1:$IV174,136,0)+HLOOKUP($A$1,[1]DADOS!$A1:$IV174,152,0)</f>
        <v>0</v>
      </c>
      <c r="F27" s="242">
        <f t="shared" si="2"/>
        <v>0</v>
      </c>
      <c r="I27" s="161"/>
      <c r="K27" s="236"/>
    </row>
    <row r="28" spans="1:15" ht="15.75" x14ac:dyDescent="0.25">
      <c r="A28" s="240" t="s">
        <v>120</v>
      </c>
      <c r="B28" s="217"/>
      <c r="C28" s="218"/>
      <c r="D28" s="218"/>
      <c r="E28" s="218"/>
      <c r="F28" s="218"/>
      <c r="I28" s="161"/>
      <c r="K28" s="236"/>
    </row>
    <row r="29" spans="1:15" ht="16.5" thickBot="1" x14ac:dyDescent="0.3">
      <c r="A29" s="240" t="s">
        <v>121</v>
      </c>
      <c r="B29" s="230"/>
      <c r="C29" s="218"/>
      <c r="D29" s="218"/>
      <c r="E29" s="218"/>
      <c r="F29" s="218"/>
      <c r="I29" s="161"/>
      <c r="K29" s="236"/>
    </row>
    <row r="30" spans="1:15" s="141" customFormat="1" ht="18.75" thickBot="1" x14ac:dyDescent="0.45">
      <c r="A30" s="231" t="s">
        <v>153</v>
      </c>
      <c r="B30" s="232">
        <f>B22+B26</f>
        <v>3821.76</v>
      </c>
      <c r="C30" s="232">
        <f>C22+C26</f>
        <v>8641.73</v>
      </c>
      <c r="D30" s="232">
        <f>D22+D26</f>
        <v>8641.73</v>
      </c>
      <c r="E30" s="232">
        <f>E22+E26</f>
        <v>0</v>
      </c>
      <c r="F30" s="232">
        <f>F22+F26</f>
        <v>3821.76</v>
      </c>
      <c r="I30" s="243">
        <f>F30</f>
        <v>3821.76</v>
      </c>
      <c r="J30" s="244" t="s">
        <v>159</v>
      </c>
      <c r="K30" s="245"/>
    </row>
    <row r="31" spans="1:15" s="73" customFormat="1" ht="13.5" customHeight="1" x14ac:dyDescent="0.25">
      <c r="A31" s="68" t="s">
        <v>46</v>
      </c>
      <c r="B31" s="69"/>
      <c r="C31" s="69"/>
      <c r="D31" s="69"/>
      <c r="E31" s="70"/>
      <c r="F31" s="70"/>
      <c r="G31" s="70"/>
      <c r="H31" s="69"/>
      <c r="I31" s="246">
        <f>I17+I30</f>
        <v>1946301.81</v>
      </c>
      <c r="J31" s="109" t="s">
        <v>160</v>
      </c>
      <c r="K31" s="247"/>
      <c r="L31" s="70"/>
      <c r="M31" s="71"/>
    </row>
    <row r="32" spans="1:15" s="73" customFormat="1" ht="13.5" customHeight="1" x14ac:dyDescent="0.2">
      <c r="A32" s="68" t="s">
        <v>47</v>
      </c>
      <c r="B32" s="75"/>
      <c r="C32" s="75"/>
      <c r="D32" s="75"/>
      <c r="E32" s="75"/>
      <c r="F32" s="75"/>
      <c r="G32" s="75"/>
      <c r="H32" s="75"/>
      <c r="I32" s="248">
        <v>-72409.919999999998</v>
      </c>
      <c r="J32" s="249" t="s">
        <v>161</v>
      </c>
      <c r="K32" s="250"/>
      <c r="L32" s="75"/>
      <c r="M32" s="76"/>
      <c r="O32" s="183"/>
    </row>
    <row r="33" spans="1:13" s="73" customFormat="1" ht="12.95" customHeight="1" x14ac:dyDescent="0.2">
      <c r="A33" s="251" t="s">
        <v>48</v>
      </c>
      <c r="B33" s="251"/>
      <c r="C33" s="251"/>
      <c r="D33" s="251"/>
      <c r="E33" s="251"/>
      <c r="F33" s="251"/>
      <c r="G33" s="251"/>
      <c r="H33" s="252"/>
      <c r="I33" s="253">
        <f>SUM(I31:I32)</f>
        <v>1873891.8900000001</v>
      </c>
      <c r="J33" s="254" t="s">
        <v>162</v>
      </c>
      <c r="K33" s="255"/>
      <c r="L33" s="252"/>
      <c r="M33" s="191"/>
    </row>
    <row r="34" spans="1:13" s="73" customFormat="1" ht="12.95" customHeight="1" x14ac:dyDescent="0.2">
      <c r="A34" s="256" t="s">
        <v>49</v>
      </c>
      <c r="B34" s="256"/>
      <c r="C34" s="256"/>
      <c r="D34" s="256"/>
      <c r="E34" s="256"/>
      <c r="F34" s="256"/>
      <c r="G34" s="256"/>
      <c r="H34" s="256"/>
      <c r="I34" s="257" t="s">
        <v>163</v>
      </c>
      <c r="J34" s="258"/>
      <c r="K34" s="259"/>
      <c r="L34" s="256"/>
      <c r="M34" s="190"/>
    </row>
    <row r="35" spans="1:13" s="73" customFormat="1" ht="12.95" customHeight="1" x14ac:dyDescent="0.25">
      <c r="A35" s="260" t="s">
        <v>164</v>
      </c>
      <c r="B35" s="260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109"/>
    </row>
    <row r="36" spans="1:13" ht="12.95" customHeight="1" x14ac:dyDescent="0.25">
      <c r="A36" s="261" t="s">
        <v>165</v>
      </c>
      <c r="B36" s="261"/>
      <c r="C36" s="261"/>
      <c r="D36" s="261"/>
      <c r="E36" s="261"/>
      <c r="F36" s="261"/>
      <c r="G36" s="261"/>
      <c r="H36" s="261"/>
      <c r="I36" s="261"/>
      <c r="J36" s="261"/>
      <c r="K36" s="261"/>
      <c r="L36" s="261"/>
    </row>
    <row r="40" spans="1:13" s="97" customFormat="1" ht="13.5" customHeight="1" x14ac:dyDescent="0.2">
      <c r="A40" s="90"/>
      <c r="B40" s="92" t="s">
        <v>60</v>
      </c>
      <c r="C40" s="92"/>
      <c r="D40" s="92"/>
      <c r="E40" s="90" t="s">
        <v>61</v>
      </c>
      <c r="F40" s="90"/>
      <c r="G40" s="196"/>
      <c r="H40" s="196"/>
    </row>
    <row r="41" spans="1:13" s="2" customFormat="1" ht="13.5" customHeight="1" x14ac:dyDescent="0.2">
      <c r="A41" s="98"/>
      <c r="B41" s="95" t="s">
        <v>62</v>
      </c>
      <c r="C41" s="95"/>
      <c r="D41" s="95"/>
      <c r="E41" s="95" t="s">
        <v>63</v>
      </c>
      <c r="F41" s="95"/>
      <c r="G41" s="262"/>
      <c r="H41" s="262"/>
    </row>
    <row r="42" spans="1:13" s="2" customFormat="1" ht="13.5" customHeight="1" x14ac:dyDescent="0.2">
      <c r="B42" s="98" t="s">
        <v>64</v>
      </c>
      <c r="C42" s="98"/>
      <c r="D42" s="98"/>
      <c r="E42" s="100" t="s">
        <v>65</v>
      </c>
      <c r="F42" s="100"/>
      <c r="G42" s="263"/>
      <c r="H42" s="263"/>
    </row>
    <row r="43" spans="1:13" s="2" customFormat="1" ht="13.5" customHeight="1" x14ac:dyDescent="0.2">
      <c r="A43" s="89"/>
      <c r="B43" s="98" t="s">
        <v>66</v>
      </c>
      <c r="C43" s="98"/>
      <c r="D43" s="98"/>
      <c r="E43" s="98" t="s">
        <v>66</v>
      </c>
      <c r="F43" s="98"/>
      <c r="G43" s="264"/>
      <c r="H43" s="264"/>
    </row>
    <row r="44" spans="1:13" x14ac:dyDescent="0.25">
      <c r="A44" s="2"/>
      <c r="B44" s="2"/>
      <c r="C44" s="2"/>
    </row>
  </sheetData>
  <mergeCells count="15">
    <mergeCell ref="A20:A21"/>
    <mergeCell ref="B20:C20"/>
    <mergeCell ref="D20:D21"/>
    <mergeCell ref="E20:E21"/>
    <mergeCell ref="F20:F21"/>
    <mergeCell ref="A36:L36"/>
    <mergeCell ref="A2:G2"/>
    <mergeCell ref="A3:G3"/>
    <mergeCell ref="A4:G4"/>
    <mergeCell ref="A7:A8"/>
    <mergeCell ref="B7:C7"/>
    <mergeCell ref="D7:D8"/>
    <mergeCell ref="E7:E8"/>
    <mergeCell ref="F7:F8"/>
    <mergeCell ref="G7:G8"/>
  </mergeCells>
  <pageMargins left="0.511811024" right="0.511811024" top="0.36" bottom="0.33" header="0.31496062000000002" footer="0.31496062000000002"/>
  <pageSetup paperSize="9" scale="82" orientation="landscape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Denise de Cassia Santos Rodrigues</dc:creator>
  <cp:lastModifiedBy>Denise de Cassia Santos Rodrigues</cp:lastModifiedBy>
  <dcterms:created xsi:type="dcterms:W3CDTF">2021-07-02T14:27:32Z</dcterms:created>
  <dcterms:modified xsi:type="dcterms:W3CDTF">2021-07-02T14:29:01Z</dcterms:modified>
</cp:coreProperties>
</file>