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19\12. Dezembro\Balancete para Publicação\"/>
    </mc:Choice>
  </mc:AlternateContent>
  <xr:revisionPtr revIDLastSave="0" documentId="8_{68B1E8E9-B8BC-4CD3-9705-8844A43569C9}" xr6:coauthVersionLast="47" xr6:coauthVersionMax="47" xr10:uidLastSave="{00000000-0000-0000-0000-000000000000}"/>
  <bookViews>
    <workbookView xWindow="-120" yWindow="-120" windowWidth="29040" windowHeight="15840" xr2:uid="{6E14D141-01AE-43EB-AC10-9BB8DE0730DB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'!$A$2:$M$42</definedName>
    <definedName name="_xlnm.Print_Area" localSheetId="0">'Balanço Financeiro '!$A$1:$O$58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A1" i="3"/>
  <c r="B27" i="3" s="1"/>
  <c r="F52" i="2"/>
  <c r="E52" i="2"/>
  <c r="D52" i="2"/>
  <c r="G52" i="2" s="1"/>
  <c r="C52" i="2"/>
  <c r="B52" i="2"/>
  <c r="D46" i="2"/>
  <c r="D45" i="2" s="1"/>
  <c r="D44" i="2"/>
  <c r="D41" i="2" s="1"/>
  <c r="G35" i="2"/>
  <c r="F35" i="2"/>
  <c r="D35" i="2"/>
  <c r="B35" i="2"/>
  <c r="F25" i="2"/>
  <c r="G25" i="2" s="1"/>
  <c r="D25" i="2"/>
  <c r="B25" i="2"/>
  <c r="G22" i="2"/>
  <c r="G21" i="2"/>
  <c r="G20" i="2"/>
  <c r="G19" i="2"/>
  <c r="G18" i="2"/>
  <c r="G17" i="2"/>
  <c r="F17" i="2"/>
  <c r="D17" i="2"/>
  <c r="B17" i="2"/>
  <c r="D15" i="2"/>
  <c r="D14" i="2"/>
  <c r="G14" i="2" s="1"/>
  <c r="D13" i="2"/>
  <c r="G13" i="2" s="1"/>
  <c r="D12" i="2"/>
  <c r="G12" i="2" s="1"/>
  <c r="G10" i="2"/>
  <c r="G9" i="2"/>
  <c r="A1" i="2"/>
  <c r="C46" i="2" s="1"/>
  <c r="N31" i="1"/>
  <c r="N30" i="1" s="1"/>
  <c r="G31" i="1"/>
  <c r="G30" i="1"/>
  <c r="N29" i="1"/>
  <c r="G29" i="1"/>
  <c r="N28" i="1"/>
  <c r="G28" i="1"/>
  <c r="N27" i="1"/>
  <c r="G27" i="1"/>
  <c r="N26" i="1"/>
  <c r="G26" i="1"/>
  <c r="G25" i="1" s="1"/>
  <c r="N25" i="1"/>
  <c r="N24" i="1"/>
  <c r="G24" i="1"/>
  <c r="N23" i="1"/>
  <c r="G23" i="1"/>
  <c r="N22" i="1"/>
  <c r="N20" i="1" s="1"/>
  <c r="G22" i="1"/>
  <c r="N21" i="1"/>
  <c r="G21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G12" i="1" s="1"/>
  <c r="N13" i="1"/>
  <c r="N12" i="1" s="1"/>
  <c r="N7" i="1" s="1"/>
  <c r="G13" i="1"/>
  <c r="N11" i="1"/>
  <c r="G11" i="1"/>
  <c r="N10" i="1"/>
  <c r="G10" i="1"/>
  <c r="N9" i="1"/>
  <c r="G9" i="1"/>
  <c r="N8" i="1"/>
  <c r="G8" i="1"/>
  <c r="G7" i="1" l="1"/>
  <c r="C45" i="2"/>
  <c r="G45" i="2" s="1"/>
  <c r="G46" i="2"/>
  <c r="D51" i="2"/>
  <c r="D59" i="2" s="1"/>
  <c r="N33" i="1"/>
  <c r="B26" i="3"/>
  <c r="F15" i="2"/>
  <c r="G15" i="2" s="1"/>
  <c r="E44" i="2"/>
  <c r="E41" i="2" s="1"/>
  <c r="E51" i="2" s="1"/>
  <c r="E59" i="2" s="1"/>
  <c r="E46" i="2"/>
  <c r="E45" i="2" s="1"/>
  <c r="F12" i="3"/>
  <c r="F9" i="3" s="1"/>
  <c r="F14" i="3"/>
  <c r="F13" i="3" s="1"/>
  <c r="B25" i="3"/>
  <c r="D27" i="3"/>
  <c r="D26" i="3" s="1"/>
  <c r="E12" i="3"/>
  <c r="B11" i="2"/>
  <c r="F44" i="2"/>
  <c r="F41" i="2" s="1"/>
  <c r="F51" i="2" s="1"/>
  <c r="F59" i="2" s="1"/>
  <c r="F61" i="2" s="1"/>
  <c r="F46" i="2"/>
  <c r="F45" i="2" s="1"/>
  <c r="C25" i="3"/>
  <c r="C22" i="3" s="1"/>
  <c r="C30" i="3" s="1"/>
  <c r="E27" i="3"/>
  <c r="E26" i="3" s="1"/>
  <c r="C27" i="3"/>
  <c r="C26" i="3" s="1"/>
  <c r="B16" i="2"/>
  <c r="D16" i="2" s="1"/>
  <c r="B12" i="3"/>
  <c r="B14" i="3"/>
  <c r="D25" i="3"/>
  <c r="D22" i="3" s="1"/>
  <c r="D30" i="3" s="1"/>
  <c r="E14" i="3"/>
  <c r="F11" i="2"/>
  <c r="B44" i="2"/>
  <c r="B41" i="2" s="1"/>
  <c r="B46" i="2"/>
  <c r="B45" i="2" s="1"/>
  <c r="C12" i="3"/>
  <c r="C9" i="3" s="1"/>
  <c r="C14" i="3"/>
  <c r="C13" i="3" s="1"/>
  <c r="E25" i="3"/>
  <c r="E22" i="3" s="1"/>
  <c r="E30" i="3" s="1"/>
  <c r="F16" i="2"/>
  <c r="C44" i="2"/>
  <c r="G12" i="3" l="1"/>
  <c r="B9" i="3"/>
  <c r="F27" i="3"/>
  <c r="C41" i="2"/>
  <c r="G44" i="2"/>
  <c r="B51" i="2"/>
  <c r="B59" i="2" s="1"/>
  <c r="F17" i="3"/>
  <c r="G16" i="2"/>
  <c r="G11" i="2"/>
  <c r="F8" i="2"/>
  <c r="D11" i="2"/>
  <c r="D8" i="2" s="1"/>
  <c r="D24" i="2" s="1"/>
  <c r="D32" i="2" s="1"/>
  <c r="B8" i="2"/>
  <c r="B24" i="2" s="1"/>
  <c r="B32" i="2" s="1"/>
  <c r="D12" i="3"/>
  <c r="D9" i="3" s="1"/>
  <c r="D17" i="3" s="1"/>
  <c r="E9" i="3"/>
  <c r="E17" i="3" s="1"/>
  <c r="E61" i="2"/>
  <c r="E60" i="2"/>
  <c r="D14" i="3"/>
  <c r="D13" i="3" s="1"/>
  <c r="E13" i="3"/>
  <c r="C17" i="3"/>
  <c r="B13" i="3"/>
  <c r="G13" i="3" s="1"/>
  <c r="G14" i="3"/>
  <c r="F25" i="3"/>
  <c r="B22" i="3"/>
  <c r="F26" i="3"/>
  <c r="G33" i="1"/>
  <c r="G8" i="2" l="1"/>
  <c r="F24" i="2"/>
  <c r="C51" i="2"/>
  <c r="G41" i="2"/>
  <c r="B17" i="3"/>
  <c r="G9" i="3"/>
  <c r="G17" i="3" s="1"/>
  <c r="I17" i="3" s="1"/>
  <c r="B30" i="3"/>
  <c r="F22" i="3"/>
  <c r="F30" i="3" s="1"/>
  <c r="I30" i="3" s="1"/>
  <c r="B60" i="2"/>
  <c r="B61" i="2" s="1"/>
  <c r="B33" i="2"/>
  <c r="B34" i="2"/>
  <c r="C59" i="2" l="1"/>
  <c r="G51" i="2"/>
  <c r="G24" i="2"/>
  <c r="F32" i="2"/>
  <c r="I31" i="3"/>
  <c r="I33" i="3" s="1"/>
  <c r="G32" i="2" l="1"/>
  <c r="F33" i="2"/>
  <c r="G33" i="2" s="1"/>
  <c r="D60" i="2"/>
  <c r="D61" i="2" s="1"/>
  <c r="G59" i="2"/>
  <c r="C60" i="2"/>
  <c r="D33" i="2"/>
  <c r="D34" i="2" s="1"/>
  <c r="G60" i="2" l="1"/>
  <c r="F34" i="2"/>
  <c r="G34" i="2" s="1"/>
  <c r="C61" i="2"/>
  <c r="G61" i="2" s="1"/>
</calcChain>
</file>

<file path=xl/sharedStrings.xml><?xml version="1.0" encoding="utf-8"?>
<sst xmlns="http://schemas.openxmlformats.org/spreadsheetml/2006/main" count="232" uniqueCount="161">
  <si>
    <t>FUMCAD - Fundo Municipal da Criança e do Adolescente</t>
  </si>
  <si>
    <t xml:space="preserve">Balancete Financeiro </t>
  </si>
  <si>
    <t>Dezembro 2019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</si>
  <si>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</si>
  <si>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</si>
  <si>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</si>
  <si>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</si>
  <si>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</si>
  <si>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</si>
  <si>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</si>
  <si>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</si>
  <si>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</si>
  <si>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</si>
  <si>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</si>
  <si>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</si>
  <si>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</si>
  <si>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</si>
  <si>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</si>
  <si>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</si>
  <si>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</si>
  <si>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</si>
  <si>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</si>
  <si>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</si>
  <si>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</si>
  <si>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</si>
  <si>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</si>
  <si>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</si>
  <si>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</si>
  <si>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</si>
  <si>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</si>
  <si>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</si>
  <si>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</si>
  <si>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</si>
  <si>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</si>
  <si>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</si>
  <si>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</si>
  <si>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</si>
  <si>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</si>
  <si>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</si>
  <si>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</si>
  <si>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</si>
  <si>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</si>
  <si>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</si>
  <si>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</si>
  <si>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</si>
  <si>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</si>
  <si>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</si>
  <si>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</si>
  <si>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</si>
  <si>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</si>
  <si>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217 de 06/08/2019, DOC 07/08/2019, - Vr. R$ 3.275.601,22 e orientação SF/DECON processo SEI 6017.2017.0004407-8.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</si>
  <si>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</si>
  <si>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t>4.1.Saldo Inicial ajustado em R$ 3.782.776,56 em virtude da não transferência financeira, em dezembro 2018, do valor adicional da desvinculação para o Tesouro.</t>
  </si>
  <si>
    <t>4.2.Reclassificação contábil do saldo da conta bancária 005.738-X - Fumcad /Imposto de Renda no valor de R$ 32,00, por SF, conforme tratado no processo SEI nº 60172019/205-4.</t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</si>
  <si>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</si>
  <si>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</si>
  <si>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>5.2 Estorno de parte do valor recolhido através da DRD nº 2624/2018, no valor de R$ 122,50, para fins de quitação da Guia de Depósito Judicial, conforme despacho de fls.14 do processo nº 2018-0.078.297-3.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</si>
  <si>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</si>
  <si>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</si>
  <si>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</si>
  <si>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</si>
  <si>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</si>
  <si>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</si>
  <si>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</si>
  <si>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</si>
  <si>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</si>
  <si>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</si>
  <si>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</si>
  <si>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</si>
  <si>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BALANÇO ORÇAMENTÁRIO</t>
  </si>
  <si>
    <t>ORÇAMENTOS FISCAL E DA SEGURIDADE SOCIAL</t>
  </si>
  <si>
    <t>COMPETÊNCIA: DEZEMBRO  2019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</si>
  <si>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</si>
  <si>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</si>
  <si>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</si>
  <si>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</si>
  <si>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</si>
  <si>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</si>
  <si>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</si>
  <si>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</si>
  <si>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</si>
  <si>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</si>
  <si>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</si>
  <si>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</si>
  <si>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</si>
  <si>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</si>
  <si>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</si>
  <si>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</si>
  <si>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</si>
  <si>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</si>
  <si>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</si>
  <si>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</si>
  <si>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</si>
  <si>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</si>
  <si>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</si>
  <si>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</si>
  <si>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</si>
  <si>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</si>
  <si>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</si>
  <si>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</si>
  <si>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</si>
  <si>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</si>
  <si>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</si>
  <si>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</si>
  <si>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</si>
  <si>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</si>
  <si>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</si>
  <si>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</si>
  <si>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</si>
  <si>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</si>
  <si>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</si>
  <si>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</si>
  <si>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</si>
  <si>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</si>
  <si>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</si>
  <si>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</si>
  <si>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</si>
  <si>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</si>
  <si>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</si>
  <si>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</si>
  <si>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</si>
  <si>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</si>
  <si>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</si>
  <si>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</si>
  <si>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</si>
  <si>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</si>
  <si>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</si>
  <si>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</si>
  <si>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</si>
  <si>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</si>
  <si>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</si>
  <si>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</si>
  <si>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</si>
  <si>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</si>
  <si>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</si>
  <si>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</si>
  <si>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</si>
  <si>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COMPETÊNCIA: DEZEMBRO 2019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</si>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</sst>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63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4" borderId="6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6" fillId="0" borderId="6" xfId="0" applyNumberFormat="1" applyFont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4" borderId="5" xfId="0" applyNumberFormat="1" applyFont="1" applyFill="1" applyBorder="1" applyAlignment="1"/>
    <xf numFmtId="164" fontId="6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center" vertical="center" wrapText="1" readingOrder="1"/>
    </xf>
    <xf numFmtId="14" fontId="25" fillId="5" borderId="0" xfId="3" applyNumberFormat="1" applyFill="1"/>
    <xf numFmtId="0" fontId="25" fillId="0" borderId="0" xfId="3"/>
    <xf numFmtId="49" fontId="25" fillId="0" borderId="0" xfId="3" applyNumberFormat="1"/>
    <xf numFmtId="43" fontId="25" fillId="0" borderId="0" xfId="1" applyFont="1"/>
    <xf numFmtId="0" fontId="26" fillId="0" borderId="0" xfId="3" applyFont="1" applyAlignment="1">
      <alignment horizontal="center"/>
    </xf>
    <xf numFmtId="166" fontId="25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5" xfId="1" applyNumberFormat="1" applyFont="1" applyBorder="1"/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 applyAlignment="1">
      <alignment horizontal="center"/>
    </xf>
    <xf numFmtId="167" fontId="27" fillId="6" borderId="4" xfId="1" applyNumberFormat="1" applyFont="1" applyFill="1" applyBorder="1"/>
    <xf numFmtId="167" fontId="25" fillId="0" borderId="10" xfId="1" applyNumberFormat="1" applyFont="1" applyBorder="1" applyAlignment="1">
      <alignment horizontal="center"/>
    </xf>
    <xf numFmtId="167" fontId="25" fillId="0" borderId="11" xfId="1" applyNumberFormat="1" applyFont="1" applyBorder="1" applyAlignment="1">
      <alignment horizontal="center"/>
    </xf>
    <xf numFmtId="167" fontId="25" fillId="0" borderId="5" xfId="3" applyNumberFormat="1" applyBorder="1"/>
    <xf numFmtId="167" fontId="25" fillId="0" borderId="5" xfId="1" applyNumberFormat="1" applyFont="1" applyBorder="1"/>
    <xf numFmtId="0" fontId="26" fillId="6" borderId="6" xfId="3" applyFont="1" applyFill="1" applyBorder="1"/>
    <xf numFmtId="167" fontId="25" fillId="6" borderId="1" xfId="3" applyNumberFormat="1" applyFill="1" applyBorder="1" applyAlignment="1">
      <alignment horizontal="center"/>
    </xf>
    <xf numFmtId="167" fontId="25" fillId="6" borderId="3" xfId="3" applyNumberFormat="1" applyFill="1" applyBorder="1" applyAlignment="1">
      <alignment horizontal="center"/>
    </xf>
    <xf numFmtId="167" fontId="25" fillId="6" borderId="6" xfId="3" applyNumberFormat="1" applyFill="1" applyBorder="1"/>
    <xf numFmtId="167" fontId="26" fillId="6" borderId="4" xfId="3" applyNumberFormat="1" applyFont="1" applyFill="1" applyBorder="1" applyAlignment="1">
      <alignment horizontal="center"/>
    </xf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5" fillId="6" borderId="15" xfId="1" applyNumberFormat="1" applyFont="1" applyFill="1" applyBorder="1" applyAlignment="1">
      <alignment horizontal="center"/>
    </xf>
    <xf numFmtId="167" fontId="25" fillId="6" borderId="15" xfId="1" applyNumberFormat="1" applyFont="1" applyFill="1" applyBorder="1"/>
    <xf numFmtId="167" fontId="25" fillId="0" borderId="10" xfId="3" applyNumberFormat="1" applyBorder="1" applyAlignment="1">
      <alignment horizontal="center"/>
    </xf>
    <xf numFmtId="167" fontId="25" fillId="0" borderId="11" xfId="3" applyNumberFormat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6" fillId="6" borderId="6" xfId="3" applyNumberFormat="1" applyFont="1" applyFill="1" applyBorder="1"/>
    <xf numFmtId="0" fontId="25" fillId="2" borderId="0" xfId="3" applyFill="1"/>
    <xf numFmtId="0" fontId="26" fillId="6" borderId="5" xfId="3" applyFont="1" applyFill="1" applyBorder="1" applyAlignment="1">
      <alignment horizontal="left" wrapText="1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8" fillId="6" borderId="15" xfId="1" applyFont="1" applyFill="1" applyBorder="1"/>
    <xf numFmtId="0" fontId="27" fillId="0" borderId="5" xfId="3" applyFont="1" applyBorder="1"/>
    <xf numFmtId="43" fontId="25" fillId="0" borderId="7" xfId="3" applyNumberFormat="1" applyBorder="1" applyAlignment="1">
      <alignment horizontal="center"/>
    </xf>
    <xf numFmtId="43" fontId="25" fillId="0" borderId="9" xfId="3" applyNumberFormat="1" applyBorder="1" applyAlignment="1">
      <alignment horizontal="center"/>
    </xf>
    <xf numFmtId="167" fontId="25" fillId="0" borderId="6" xfId="3" applyNumberFormat="1" applyBorder="1" applyAlignment="1">
      <alignment horizontal="center"/>
    </xf>
    <xf numFmtId="0" fontId="25" fillId="0" borderId="6" xfId="3" applyBorder="1"/>
    <xf numFmtId="0" fontId="26" fillId="0" borderId="10" xfId="3" applyFont="1" applyBorder="1"/>
    <xf numFmtId="167" fontId="25" fillId="0" borderId="0" xfId="3" applyNumberFormat="1" applyAlignment="1">
      <alignment horizontal="center"/>
    </xf>
    <xf numFmtId="0" fontId="25" fillId="0" borderId="10" xfId="3" applyBorder="1"/>
    <xf numFmtId="0" fontId="25" fillId="0" borderId="5" xfId="3" applyBorder="1"/>
    <xf numFmtId="0" fontId="26" fillId="0" borderId="15" xfId="3" applyFont="1" applyBorder="1"/>
    <xf numFmtId="0" fontId="25" fillId="0" borderId="12" xfId="3" applyBorder="1"/>
    <xf numFmtId="0" fontId="25" fillId="0" borderId="13" xfId="3" applyBorder="1"/>
    <xf numFmtId="0" fontId="25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21" fillId="0" borderId="0" xfId="0" applyFont="1" applyAlignment="1">
      <alignment horizontal="center" vertical="center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6" borderId="16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5" fillId="0" borderId="28" xfId="3" applyNumberFormat="1" applyBorder="1"/>
    <xf numFmtId="167" fontId="25" fillId="0" borderId="27" xfId="3" applyNumberFormat="1" applyBorder="1"/>
    <xf numFmtId="167" fontId="25" fillId="0" borderId="29" xfId="3" applyNumberFormat="1" applyBorder="1"/>
    <xf numFmtId="167" fontId="25" fillId="0" borderId="27" xfId="1" applyNumberFormat="1" applyFont="1" applyBorder="1"/>
    <xf numFmtId="167" fontId="25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5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167" fontId="26" fillId="5" borderId="1" xfId="3" applyNumberFormat="1" applyFont="1" applyFill="1" applyBorder="1"/>
    <xf numFmtId="0" fontId="27" fillId="0" borderId="2" xfId="3" applyFont="1" applyBorder="1"/>
    <xf numFmtId="0" fontId="27" fillId="0" borderId="3" xfId="3" applyFont="1" applyBorder="1"/>
    <xf numFmtId="0" fontId="25" fillId="0" borderId="11" xfId="3" applyBorder="1"/>
    <xf numFmtId="0" fontId="27" fillId="6" borderId="32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/>
    </xf>
    <xf numFmtId="0" fontId="27" fillId="6" borderId="30" xfId="3" applyFont="1" applyFill="1" applyBorder="1" applyAlignment="1">
      <alignment horizontal="center" vertical="center" wrapText="1"/>
    </xf>
    <xf numFmtId="0" fontId="28" fillId="0" borderId="10" xfId="3" applyFont="1" applyBorder="1"/>
    <xf numFmtId="167" fontId="27" fillId="6" borderId="23" xfId="1" applyNumberFormat="1" applyFont="1" applyFill="1" applyBorder="1"/>
    <xf numFmtId="167" fontId="25" fillId="0" borderId="27" xfId="1" applyNumberFormat="1" applyFont="1" applyFill="1" applyBorder="1"/>
    <xf numFmtId="167" fontId="29" fillId="5" borderId="12" xfId="3" applyNumberFormat="1" applyFont="1" applyFill="1" applyBorder="1"/>
    <xf numFmtId="0" fontId="30" fillId="0" borderId="13" xfId="3" applyFont="1" applyBorder="1"/>
    <xf numFmtId="0" fontId="27" fillId="0" borderId="14" xfId="3" applyFont="1" applyBorder="1"/>
    <xf numFmtId="167" fontId="26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6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1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  <xf numFmtId="0" fontId="21" fillId="0" borderId="0" xfId="0" applyFont="1" applyAlignment="1">
      <alignment horizontal="center" vertical="center" readingOrder="1"/>
    </xf>
    <xf numFmtId="9" fontId="21" fillId="0" borderId="0" xfId="2" applyFont="1" applyFill="1" applyAlignment="1">
      <alignment vertical="center"/>
    </xf>
    <xf numFmtId="0" fontId="21" fillId="0" borderId="0" xfId="0" applyFont="1" applyAlignment="1">
      <alignment vertical="center"/>
    </xf>
  </cellXfs>
  <cellStyles count="4">
    <cellStyle name="Normal" xfId="0" builtinId="0"/>
    <cellStyle name="Normal_BALANÇO ORÇAMENTÁRIO MCASP - Nov15" xfId="3" xr:uid="{D4A7D9EE-2037-4064-A0BF-181A2E5B1517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6CCAB3ED-2A11-4211-B842-61B53CC28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95F14DE-88FE-4143-BCA0-0F2EC5429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A896816-BA5A-438C-8D33-D421AB13D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19/12.%20Dezembro/C&#243;pia%20de%20Planilha%20FUMCAD%20(%20Mem&#243;ria%20de%20C&#225;lculo)%20Dezembr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43466</v>
          </cell>
          <cell r="D1">
            <v>43497</v>
          </cell>
          <cell r="E1">
            <v>43525</v>
          </cell>
          <cell r="F1">
            <v>43556</v>
          </cell>
          <cell r="G1">
            <v>43586</v>
          </cell>
          <cell r="H1">
            <v>43617</v>
          </cell>
          <cell r="I1">
            <v>43647</v>
          </cell>
          <cell r="J1">
            <v>43678</v>
          </cell>
          <cell r="K1">
            <v>43709</v>
          </cell>
          <cell r="L1">
            <v>43739</v>
          </cell>
          <cell r="M1">
            <v>43770</v>
          </cell>
          <cell r="N1">
            <v>43800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17476289</v>
          </cell>
          <cell r="D4">
            <v>17476289</v>
          </cell>
          <cell r="E4">
            <v>17476289</v>
          </cell>
          <cell r="F4">
            <v>17476289</v>
          </cell>
          <cell r="G4">
            <v>17476289</v>
          </cell>
          <cell r="H4">
            <v>17476289</v>
          </cell>
          <cell r="I4">
            <v>17476289</v>
          </cell>
          <cell r="J4">
            <v>17476289</v>
          </cell>
          <cell r="K4">
            <v>17476289</v>
          </cell>
          <cell r="L4">
            <v>17476289</v>
          </cell>
          <cell r="M4">
            <v>17476289</v>
          </cell>
          <cell r="N4">
            <v>17476289</v>
          </cell>
        </row>
        <row r="5">
          <cell r="B5" t="str">
            <v>Realizada no Mês</v>
          </cell>
          <cell r="C5">
            <v>1398458.01</v>
          </cell>
          <cell r="D5">
            <v>1248235.3400000001</v>
          </cell>
          <cell r="E5">
            <v>1158542.3899999999</v>
          </cell>
          <cell r="F5">
            <v>1218004.53</v>
          </cell>
          <cell r="G5">
            <v>1269689.55</v>
          </cell>
          <cell r="H5">
            <v>1086494.78</v>
          </cell>
          <cell r="I5">
            <v>1298140.83</v>
          </cell>
          <cell r="J5">
            <v>1144103.1200000001</v>
          </cell>
          <cell r="K5">
            <v>1111539.83</v>
          </cell>
          <cell r="L5">
            <v>1131503.4099999999</v>
          </cell>
          <cell r="M5">
            <v>844830.14</v>
          </cell>
          <cell r="N5">
            <v>868105.55</v>
          </cell>
        </row>
        <row r="6">
          <cell r="B6" t="str">
            <v>Realizada no Mês - CONCILIADO</v>
          </cell>
          <cell r="C6">
            <v>1398458.01</v>
          </cell>
          <cell r="D6">
            <v>1248235.3400000001</v>
          </cell>
          <cell r="E6">
            <v>1158542.3899999999</v>
          </cell>
          <cell r="F6">
            <v>1218004.53</v>
          </cell>
          <cell r="G6">
            <v>1269689.55</v>
          </cell>
          <cell r="H6">
            <v>1086494.78</v>
          </cell>
          <cell r="I6">
            <v>1298140.83</v>
          </cell>
          <cell r="J6">
            <v>1144103.1200000001</v>
          </cell>
          <cell r="K6">
            <v>1111539.83</v>
          </cell>
          <cell r="L6">
            <v>1131503.4099999999</v>
          </cell>
          <cell r="M6">
            <v>844830.14</v>
          </cell>
          <cell r="N6">
            <v>868105.55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1398458.01</v>
          </cell>
          <cell r="D8">
            <v>2646693.35</v>
          </cell>
          <cell r="E8">
            <v>3805235.74</v>
          </cell>
          <cell r="F8">
            <v>5023240.2699999996</v>
          </cell>
          <cell r="G8">
            <v>6292929.8200000003</v>
          </cell>
          <cell r="H8">
            <v>7379424.5999999996</v>
          </cell>
          <cell r="I8">
            <v>8677565.4299999997</v>
          </cell>
          <cell r="J8">
            <v>9821668.5500000007</v>
          </cell>
          <cell r="K8">
            <v>10933208.380000001</v>
          </cell>
          <cell r="L8">
            <v>12064711.789999999</v>
          </cell>
          <cell r="M8">
            <v>12909541.93</v>
          </cell>
          <cell r="N8">
            <v>13777647.48</v>
          </cell>
        </row>
        <row r="9">
          <cell r="B9" t="str">
            <v>Realizada até o Mês - CONCILIADO</v>
          </cell>
          <cell r="C9">
            <v>1398458.01</v>
          </cell>
          <cell r="D9">
            <v>2646693.35</v>
          </cell>
          <cell r="E9">
            <v>3805235.74</v>
          </cell>
          <cell r="F9">
            <v>5023240.2700000005</v>
          </cell>
          <cell r="G9">
            <v>6292929.8200000003</v>
          </cell>
          <cell r="H9">
            <v>7379424.6000000006</v>
          </cell>
          <cell r="I9">
            <v>8677565.4299999997</v>
          </cell>
          <cell r="J9">
            <v>9821668.5500000007</v>
          </cell>
          <cell r="K9">
            <v>10933208.380000001</v>
          </cell>
          <cell r="L9">
            <v>12064711.790000001</v>
          </cell>
          <cell r="M9">
            <v>12909541.930000002</v>
          </cell>
          <cell r="N9">
            <v>13777647.480000002</v>
          </cell>
        </row>
        <row r="10">
          <cell r="B10" t="str">
            <v>TOTAL</v>
          </cell>
          <cell r="C10">
            <v>1398458.01</v>
          </cell>
          <cell r="D10">
            <v>2646693.35</v>
          </cell>
          <cell r="E10">
            <v>3805235.74</v>
          </cell>
          <cell r="F10">
            <v>5023240.2700000005</v>
          </cell>
          <cell r="G10">
            <v>6292929.8200000003</v>
          </cell>
          <cell r="H10">
            <v>7379424.6000000006</v>
          </cell>
          <cell r="I10">
            <v>8677565.4299999997</v>
          </cell>
          <cell r="J10">
            <v>9821668.5500000007</v>
          </cell>
          <cell r="K10">
            <v>10933208.380000001</v>
          </cell>
          <cell r="L10">
            <v>12064711.790000001</v>
          </cell>
          <cell r="M10">
            <v>12909541.930000002</v>
          </cell>
          <cell r="N10">
            <v>13777647.480000002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114000000</v>
          </cell>
          <cell r="D12">
            <v>114000000</v>
          </cell>
          <cell r="E12">
            <v>114000000</v>
          </cell>
          <cell r="F12">
            <v>114000000</v>
          </cell>
          <cell r="G12">
            <v>114000000</v>
          </cell>
          <cell r="H12">
            <v>114000000</v>
          </cell>
          <cell r="I12">
            <v>114000000</v>
          </cell>
          <cell r="J12">
            <v>114000000</v>
          </cell>
          <cell r="K12">
            <v>114000000</v>
          </cell>
          <cell r="L12">
            <v>114000000</v>
          </cell>
          <cell r="M12">
            <v>114000000</v>
          </cell>
          <cell r="N12">
            <v>114000000</v>
          </cell>
        </row>
        <row r="13">
          <cell r="B13" t="str">
            <v>Realizada no Mês</v>
          </cell>
          <cell r="C13">
            <v>141113.37</v>
          </cell>
          <cell r="D13">
            <v>162806.98000000001</v>
          </cell>
          <cell r="E13">
            <v>495856.9</v>
          </cell>
          <cell r="F13">
            <v>679219.27</v>
          </cell>
          <cell r="G13">
            <v>935179.95</v>
          </cell>
          <cell r="H13">
            <v>804790.24</v>
          </cell>
          <cell r="I13">
            <v>2976206.37</v>
          </cell>
          <cell r="J13">
            <v>639635.39</v>
          </cell>
          <cell r="K13">
            <v>474045.31</v>
          </cell>
          <cell r="L13">
            <v>1373324.56</v>
          </cell>
          <cell r="M13">
            <v>61808.88</v>
          </cell>
          <cell r="N13">
            <v>10537062.380000001</v>
          </cell>
        </row>
        <row r="14">
          <cell r="B14" t="str">
            <v>Realizada no Mês - CONCILIADO</v>
          </cell>
          <cell r="C14">
            <v>141113.37</v>
          </cell>
          <cell r="D14">
            <v>162806.98000000001</v>
          </cell>
          <cell r="E14">
            <v>495856.9</v>
          </cell>
          <cell r="F14">
            <v>679219.27</v>
          </cell>
          <cell r="G14">
            <v>935179.95</v>
          </cell>
          <cell r="H14">
            <v>804790.24</v>
          </cell>
          <cell r="I14">
            <v>2976206.37</v>
          </cell>
          <cell r="J14">
            <v>639635.39</v>
          </cell>
          <cell r="K14">
            <v>474045.31</v>
          </cell>
          <cell r="L14">
            <v>1373324.56</v>
          </cell>
          <cell r="M14">
            <v>61808.88</v>
          </cell>
          <cell r="N14">
            <v>10537062.380000001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141113.37</v>
          </cell>
          <cell r="D16">
            <v>303920.34999999998</v>
          </cell>
          <cell r="E16">
            <v>799777.25</v>
          </cell>
          <cell r="F16">
            <v>1478996.52</v>
          </cell>
          <cell r="G16">
            <v>2414176.4700000002</v>
          </cell>
          <cell r="H16">
            <v>3218966.71</v>
          </cell>
          <cell r="I16">
            <v>6195173.0800000001</v>
          </cell>
          <cell r="J16">
            <v>6834808.4699999997</v>
          </cell>
          <cell r="K16">
            <v>7308853.7800000003</v>
          </cell>
          <cell r="L16">
            <v>8682178.3399999999</v>
          </cell>
          <cell r="M16">
            <v>8743987.2200000007</v>
          </cell>
          <cell r="N16">
            <v>19281049.600000001</v>
          </cell>
        </row>
        <row r="17">
          <cell r="B17" t="str">
            <v>Realizada até o Mês - CONCILIADO</v>
          </cell>
          <cell r="C17">
            <v>141113.37</v>
          </cell>
          <cell r="D17">
            <v>303920.34999999998</v>
          </cell>
          <cell r="E17">
            <v>799777.25</v>
          </cell>
          <cell r="F17">
            <v>1478996.52</v>
          </cell>
          <cell r="G17">
            <v>2414176.4700000002</v>
          </cell>
          <cell r="H17">
            <v>3218966.71</v>
          </cell>
          <cell r="I17">
            <v>6195173.0800000001</v>
          </cell>
          <cell r="J17">
            <v>6834808.4699999997</v>
          </cell>
          <cell r="K17">
            <v>7308853.7800000003</v>
          </cell>
          <cell r="L17">
            <v>8682178.3399999999</v>
          </cell>
          <cell r="M17">
            <v>8743987.2200000007</v>
          </cell>
          <cell r="N17">
            <v>19281049.600000001</v>
          </cell>
        </row>
        <row r="18">
          <cell r="B18" t="str">
            <v>TOTAL</v>
          </cell>
          <cell r="C18">
            <v>141113.37</v>
          </cell>
          <cell r="D18">
            <v>303920.34999999998</v>
          </cell>
          <cell r="E18">
            <v>799777.25</v>
          </cell>
          <cell r="F18">
            <v>1478996.52</v>
          </cell>
          <cell r="G18">
            <v>2414176.4699999997</v>
          </cell>
          <cell r="H18">
            <v>3218966.71</v>
          </cell>
          <cell r="I18">
            <v>6195173.0800000001</v>
          </cell>
          <cell r="J18">
            <v>6834808.4699999997</v>
          </cell>
          <cell r="K18">
            <v>7308853.7799999993</v>
          </cell>
          <cell r="L18">
            <v>8682178.3399999999</v>
          </cell>
          <cell r="M18">
            <v>8743987.2200000007</v>
          </cell>
          <cell r="N18">
            <v>19281049.600000001</v>
          </cell>
        </row>
        <row r="20">
          <cell r="A20" t="str">
            <v>1.9.2.2.99.1.1.01.00.000.000.11.01.000 - FUMCAD - Outras Restituições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E21">
            <v>0</v>
          </cell>
          <cell r="F21">
            <v>0</v>
          </cell>
          <cell r="K21">
            <v>0</v>
          </cell>
          <cell r="L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E24">
            <v>0</v>
          </cell>
          <cell r="F24">
            <v>0</v>
          </cell>
          <cell r="K24">
            <v>0</v>
          </cell>
          <cell r="L24">
            <v>0</v>
          </cell>
        </row>
        <row r="25">
          <cell r="B25" t="str">
            <v>Realizada até o Mês - CONCILIADO</v>
          </cell>
          <cell r="E25">
            <v>0</v>
          </cell>
          <cell r="F25">
            <v>0</v>
          </cell>
          <cell r="K25">
            <v>0</v>
          </cell>
          <cell r="L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A28" t="str">
            <v>1.9.9.0.99.1.1.05.00.000.000.11.01.000 - FUMCAD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39237.839999999997</v>
          </cell>
          <cell r="D29">
            <v>70266.5</v>
          </cell>
          <cell r="E29">
            <v>39762.800000000003</v>
          </cell>
          <cell r="F29">
            <v>163208.81</v>
          </cell>
          <cell r="G29">
            <v>6754.97</v>
          </cell>
          <cell r="H29">
            <v>1048.55</v>
          </cell>
          <cell r="I29">
            <v>8602.44</v>
          </cell>
          <cell r="J29">
            <v>22266.47</v>
          </cell>
          <cell r="K29">
            <v>0</v>
          </cell>
          <cell r="L29">
            <v>678.61</v>
          </cell>
          <cell r="M29">
            <v>128689.61</v>
          </cell>
          <cell r="N29">
            <v>0</v>
          </cell>
        </row>
        <row r="30">
          <cell r="B30" t="str">
            <v>Realizada no Mês - CONCILIADO</v>
          </cell>
          <cell r="C30">
            <v>39237.839999999997</v>
          </cell>
          <cell r="D30">
            <v>70266.5</v>
          </cell>
          <cell r="E30">
            <v>39762.800000000003</v>
          </cell>
          <cell r="F30">
            <v>163208.81</v>
          </cell>
          <cell r="G30">
            <v>6754.97</v>
          </cell>
          <cell r="H30">
            <v>1048.55</v>
          </cell>
          <cell r="I30">
            <v>8602.44</v>
          </cell>
          <cell r="J30">
            <v>22266.47</v>
          </cell>
          <cell r="K30">
            <v>0</v>
          </cell>
          <cell r="L30">
            <v>678.61</v>
          </cell>
          <cell r="M30">
            <v>128689.61</v>
          </cell>
          <cell r="N30">
            <v>1675146.35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1675146.35</v>
          </cell>
        </row>
        <row r="32">
          <cell r="B32" t="str">
            <v>Realizada até o Mês</v>
          </cell>
          <cell r="C32">
            <v>39237.839999999997</v>
          </cell>
          <cell r="D32">
            <v>109504.34</v>
          </cell>
          <cell r="E32">
            <v>149267.14000000001</v>
          </cell>
          <cell r="F32">
            <v>312475.95</v>
          </cell>
          <cell r="G32">
            <v>319230.92</v>
          </cell>
          <cell r="H32">
            <v>320279.46999999997</v>
          </cell>
          <cell r="I32">
            <v>328881.90999999997</v>
          </cell>
          <cell r="J32">
            <v>351148.38</v>
          </cell>
          <cell r="K32">
            <v>351148.38</v>
          </cell>
          <cell r="L32">
            <v>351826.99</v>
          </cell>
          <cell r="M32">
            <v>480516.6</v>
          </cell>
          <cell r="N32">
            <v>480516.6</v>
          </cell>
        </row>
        <row r="33">
          <cell r="B33" t="str">
            <v>Realizada até o Mês - CONCILIADO</v>
          </cell>
          <cell r="C33">
            <v>39237.839999999997</v>
          </cell>
          <cell r="D33">
            <v>70266.5</v>
          </cell>
          <cell r="E33">
            <v>39762.800000000003</v>
          </cell>
          <cell r="F33">
            <v>163208.81</v>
          </cell>
          <cell r="G33">
            <v>6754.97</v>
          </cell>
          <cell r="H33">
            <v>1048.55</v>
          </cell>
          <cell r="I33">
            <v>8602.44</v>
          </cell>
          <cell r="J33">
            <v>22266.47</v>
          </cell>
          <cell r="K33">
            <v>0</v>
          </cell>
          <cell r="L33">
            <v>678.61</v>
          </cell>
          <cell r="M33">
            <v>128689.61</v>
          </cell>
          <cell r="N33">
            <v>1675146.35</v>
          </cell>
        </row>
        <row r="34">
          <cell r="B34" t="str">
            <v>TOTAL</v>
          </cell>
          <cell r="C34">
            <v>39237.839999999997</v>
          </cell>
          <cell r="D34">
            <v>109504.34</v>
          </cell>
          <cell r="E34">
            <v>149267.14000000001</v>
          </cell>
          <cell r="F34">
            <v>312475.95</v>
          </cell>
          <cell r="G34">
            <v>319230.92</v>
          </cell>
          <cell r="H34">
            <v>320279.46999999997</v>
          </cell>
          <cell r="I34">
            <v>328881.90999999997</v>
          </cell>
          <cell r="J34">
            <v>351148.38</v>
          </cell>
          <cell r="K34">
            <v>351148.38</v>
          </cell>
          <cell r="L34">
            <v>351826.99</v>
          </cell>
          <cell r="M34">
            <v>480516.6</v>
          </cell>
          <cell r="N34">
            <v>2155662.9500000002</v>
          </cell>
        </row>
        <row r="35">
          <cell r="B35" t="str">
            <v>TOTAL GERAL</v>
          </cell>
          <cell r="C35">
            <v>1578809.22</v>
          </cell>
          <cell r="D35">
            <v>3060118.04</v>
          </cell>
          <cell r="E35">
            <v>4754280.13</v>
          </cell>
          <cell r="F35">
            <v>6814712.7400000012</v>
          </cell>
          <cell r="G35">
            <v>9026337.209999999</v>
          </cell>
          <cell r="H35">
            <v>10918670.780000001</v>
          </cell>
          <cell r="I35">
            <v>15201620.42</v>
          </cell>
          <cell r="J35">
            <v>17007625.399999999</v>
          </cell>
          <cell r="K35">
            <v>18593210.539999999</v>
          </cell>
          <cell r="L35">
            <v>21098717.120000001</v>
          </cell>
          <cell r="M35">
            <v>22134045.750000004</v>
          </cell>
          <cell r="N35">
            <v>35214360.030000009</v>
          </cell>
        </row>
        <row r="37">
          <cell r="A37" t="str">
            <v>FONTE 08 - Tesouro Municipal - Recursos Vinculados</v>
          </cell>
        </row>
        <row r="38">
          <cell r="A38" t="str">
            <v>1.9.1.0.08.1.1.02.00.000.11.01.000 - FUMCAD - Multas Decorrentes De Sentenças Judiciais</v>
          </cell>
          <cell r="B38" t="str">
            <v>Receita Prevista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Realizada no Mês</v>
          </cell>
          <cell r="C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N39">
            <v>219988.34</v>
          </cell>
        </row>
        <row r="40">
          <cell r="B40" t="str">
            <v>Realizada no Mês - CONCILIADO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219988.34</v>
          </cell>
        </row>
        <row r="41">
          <cell r="B41" t="str">
            <v>DIFERENÇA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Realizada até o Mês</v>
          </cell>
          <cell r="C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 t="str">
            <v>Realizada até o Mês - CONCILIADO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219988.34</v>
          </cell>
        </row>
        <row r="44">
          <cell r="B44" t="str">
            <v>TOTAL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219988.34</v>
          </cell>
        </row>
        <row r="46">
          <cell r="A46" t="str">
            <v>FONTE 08 - Tesouro Municipal - Recursos Vinculados</v>
          </cell>
        </row>
        <row r="47">
          <cell r="A47" t="str">
            <v>1.7.4.0.00.1.1.01.13.000.000.11.01.000 Transf.Instituições Privadas - FUMCAD Doações Direcionadas[</v>
          </cell>
          <cell r="B47" t="str">
            <v>Receita Prevista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no Mês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Realizada no Mês - CONCILIADO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DIFERENÇA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Realizada até o Mês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Realizada até o Mês - CONCILIADO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TOTAL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1.7.7.0.00.1.1.10.00.000.11.01.000 Transf. Pessoas Fisicas - FUMCAD Doações Direcionadas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L55">
            <v>0</v>
          </cell>
          <cell r="M55">
            <v>232210.64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232210.64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K58">
            <v>0</v>
          </cell>
          <cell r="L58">
            <v>0</v>
          </cell>
          <cell r="M58">
            <v>0</v>
          </cell>
          <cell r="N58">
            <v>232210.64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232210.64</v>
          </cell>
          <cell r="N59">
            <v>232210.64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232210.64</v>
          </cell>
          <cell r="N60">
            <v>232210.64</v>
          </cell>
        </row>
        <row r="62">
          <cell r="A62" t="str">
            <v>RAZÃO DE ARRECADAÇÃO</v>
          </cell>
        </row>
        <row r="63">
          <cell r="A63" t="str">
            <v>1.3.2.1.00.5.1.01.06.022.001.11.01.000</v>
          </cell>
          <cell r="B63" t="str">
            <v>(25955) - FUMCAD</v>
          </cell>
          <cell r="C63">
            <v>1398458.01</v>
          </cell>
          <cell r="D63">
            <v>1248235.3400000001</v>
          </cell>
          <cell r="E63">
            <v>1158542.3899999999</v>
          </cell>
          <cell r="F63">
            <v>1218004.53</v>
          </cell>
          <cell r="G63">
            <v>1269689.55</v>
          </cell>
          <cell r="H63">
            <v>1086494.78</v>
          </cell>
          <cell r="I63">
            <v>1298140.83</v>
          </cell>
          <cell r="J63">
            <v>1144103.1200000001</v>
          </cell>
          <cell r="K63">
            <v>1111539.83</v>
          </cell>
          <cell r="L63">
            <v>1131503.4099999999</v>
          </cell>
          <cell r="M63">
            <v>844830.14</v>
          </cell>
          <cell r="N63">
            <v>868105.55</v>
          </cell>
        </row>
        <row r="64">
          <cell r="B64" t="str">
            <v>Valores RENDIMENTO DA CONTA SME - PROJETO MAIS ESCOLA</v>
          </cell>
          <cell r="C64">
            <v>100070.48</v>
          </cell>
          <cell r="D64">
            <v>85110.17</v>
          </cell>
          <cell r="E64">
            <v>75164.160000000003</v>
          </cell>
          <cell r="F64">
            <v>82720.19</v>
          </cell>
          <cell r="G64">
            <v>87364.27</v>
          </cell>
          <cell r="H64">
            <v>73918.039999999994</v>
          </cell>
          <cell r="I64">
            <v>87879.05</v>
          </cell>
          <cell r="J64">
            <v>75052.679999999993</v>
          </cell>
          <cell r="K64">
            <v>72605.39</v>
          </cell>
          <cell r="L64">
            <v>72492.649999999994</v>
          </cell>
          <cell r="M64">
            <v>53647</v>
          </cell>
          <cell r="N64">
            <v>54529.1</v>
          </cell>
          <cell r="O64">
            <v>920553.18</v>
          </cell>
        </row>
        <row r="65">
          <cell r="A65" t="str">
            <v>1.7.7.0.00.1.1.00.00.000.000.11.01.000</v>
          </cell>
          <cell r="B65" t="str">
            <v>(28460) - FUMCAD - Imposto de Renda</v>
          </cell>
          <cell r="C65">
            <v>141113.37</v>
          </cell>
          <cell r="D65">
            <v>162806.98000000001</v>
          </cell>
          <cell r="E65">
            <v>495856.9</v>
          </cell>
          <cell r="F65">
            <v>679219.27</v>
          </cell>
          <cell r="G65">
            <v>935179.95</v>
          </cell>
          <cell r="H65">
            <v>804790.24</v>
          </cell>
          <cell r="I65">
            <v>2976206.37</v>
          </cell>
          <cell r="J65">
            <v>639635.39</v>
          </cell>
          <cell r="K65">
            <v>474045.31</v>
          </cell>
          <cell r="L65">
            <v>1373324.56</v>
          </cell>
          <cell r="M65">
            <v>61808.88</v>
          </cell>
          <cell r="N65">
            <v>10537062.380000001</v>
          </cell>
        </row>
        <row r="66">
          <cell r="B66" t="str">
            <v>Valores Indevidos (-)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1.9.2.2.99.1.1.01.00.000.000.11.01.000</v>
          </cell>
          <cell r="B67" t="str">
            <v>(28746) - FUMCAD - Outras Restit.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 xml:space="preserve">1.9.9.0.99.1.1.05.00.000.000.11.01.000 </v>
          </cell>
          <cell r="B68" t="str">
            <v>(28988) FUMCAD</v>
          </cell>
          <cell r="C68">
            <v>39237.839999999997</v>
          </cell>
          <cell r="D68">
            <v>70266.5</v>
          </cell>
          <cell r="E68">
            <v>39762.800000000003</v>
          </cell>
          <cell r="F68">
            <v>163208.81</v>
          </cell>
          <cell r="G68">
            <v>6754.97</v>
          </cell>
          <cell r="H68">
            <v>1048.55</v>
          </cell>
          <cell r="I68">
            <v>8602.44</v>
          </cell>
          <cell r="J68">
            <v>22266.47</v>
          </cell>
          <cell r="K68">
            <v>0</v>
          </cell>
          <cell r="L68">
            <v>678.61</v>
          </cell>
          <cell r="M68">
            <v>128689.61</v>
          </cell>
          <cell r="N68">
            <v>1675146.35</v>
          </cell>
        </row>
        <row r="69">
          <cell r="A69" t="str">
            <v>1.9.1.0.08.1.1.02.00.000.000.11.01.000</v>
          </cell>
          <cell r="B69" t="str">
            <v>(28601) - FUMCAD - Multas Judiciais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219988.34</v>
          </cell>
        </row>
        <row r="70">
          <cell r="A70" t="str">
            <v>1.7.4.0.00.1.1.01.13.000.000.11.01.000</v>
          </cell>
          <cell r="B70" t="str">
            <v>(33693)Tranf.Inst.Priv.-Doações Direc.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1.7.7.0.00.1.1.10.00.000.000.11.01.000</v>
          </cell>
          <cell r="B71" t="str">
            <v>(33696)Tranf.Inst.Pes.Fis.-Doações Direc.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TOTAL</v>
          </cell>
          <cell r="C72">
            <v>1578809.22</v>
          </cell>
          <cell r="D72">
            <v>1481308.82</v>
          </cell>
          <cell r="E72">
            <v>1694162.09</v>
          </cell>
          <cell r="F72">
            <v>2060432.61</v>
          </cell>
          <cell r="G72">
            <v>2211624.4700000002</v>
          </cell>
          <cell r="H72">
            <v>1892333.57</v>
          </cell>
          <cell r="I72">
            <v>4282949.6400000006</v>
          </cell>
          <cell r="J72">
            <v>1806004.9800000002</v>
          </cell>
          <cell r="K72">
            <v>1585585.1400000001</v>
          </cell>
          <cell r="L72">
            <v>2505506.5799999996</v>
          </cell>
          <cell r="M72">
            <v>1035328.63</v>
          </cell>
          <cell r="N72">
            <v>13300302.620000001</v>
          </cell>
        </row>
        <row r="74">
          <cell r="A74" t="str">
            <v>RAZÃO DE DISPONÍVEIS</v>
          </cell>
        </row>
        <row r="75">
          <cell r="A75" t="str">
            <v>Conta Corrente</v>
          </cell>
          <cell r="B75" t="str">
            <v>Saldo Inicial</v>
          </cell>
        </row>
        <row r="76">
          <cell r="A76" t="str">
            <v>Cód. 100738 - 8946-X</v>
          </cell>
          <cell r="B76">
            <v>1470</v>
          </cell>
          <cell r="C76">
            <v>1470</v>
          </cell>
          <cell r="D76">
            <v>1470</v>
          </cell>
          <cell r="E76">
            <v>1470</v>
          </cell>
          <cell r="F76">
            <v>1470</v>
          </cell>
          <cell r="G76">
            <v>1470</v>
          </cell>
          <cell r="H76">
            <v>1470</v>
          </cell>
          <cell r="I76">
            <v>1470</v>
          </cell>
          <cell r="J76">
            <v>3142.3</v>
          </cell>
          <cell r="K76">
            <v>1470</v>
          </cell>
          <cell r="L76">
            <v>1470</v>
          </cell>
          <cell r="M76">
            <v>1470</v>
          </cell>
          <cell r="N76">
            <v>1470</v>
          </cell>
        </row>
        <row r="77">
          <cell r="A77" t="str">
            <v>Cód. 100738 - Aplicação</v>
          </cell>
          <cell r="B77">
            <v>231025516.06</v>
          </cell>
          <cell r="C77">
            <v>240538721.11000001</v>
          </cell>
          <cell r="D77">
            <v>237983182.55000001</v>
          </cell>
          <cell r="E77">
            <v>225709845.19999999</v>
          </cell>
          <cell r="F77">
            <v>222296664.22</v>
          </cell>
          <cell r="G77">
            <v>219119348.63999999</v>
          </cell>
          <cell r="H77">
            <v>217518813.66999999</v>
          </cell>
          <cell r="I77">
            <v>217392884.13</v>
          </cell>
          <cell r="J77">
            <v>214144127.84999999</v>
          </cell>
          <cell r="K77">
            <v>214785575</v>
          </cell>
          <cell r="L77">
            <v>214739934.88</v>
          </cell>
          <cell r="M77">
            <v>214495687.69</v>
          </cell>
          <cell r="N77">
            <v>223187126.41</v>
          </cell>
        </row>
        <row r="78">
          <cell r="A78" t="str">
            <v>Cód. 100071 - 5738-X</v>
          </cell>
          <cell r="B78">
            <v>32</v>
          </cell>
          <cell r="C78">
            <v>32</v>
          </cell>
          <cell r="D78">
            <v>32</v>
          </cell>
          <cell r="E78">
            <v>32</v>
          </cell>
          <cell r="F78">
            <v>32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Cód. 100071 - Aplicação</v>
          </cell>
          <cell r="C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Cód. 100072 - 5737-1</v>
          </cell>
          <cell r="C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Ajuste - Desvinculação de Receita 2018</v>
          </cell>
          <cell r="B81">
            <v>-3782776.56</v>
          </cell>
          <cell r="C81">
            <v>0</v>
          </cell>
          <cell r="I81">
            <v>-3275601.22</v>
          </cell>
          <cell r="L81">
            <v>0</v>
          </cell>
          <cell r="M81">
            <v>0</v>
          </cell>
          <cell r="N81">
            <v>-7288706.7699999996</v>
          </cell>
        </row>
        <row r="82">
          <cell r="A82" t="str">
            <v>Cód. 100991 - 18114-X</v>
          </cell>
          <cell r="B82">
            <v>2814306.72</v>
          </cell>
          <cell r="C82">
            <v>0</v>
          </cell>
          <cell r="D82">
            <v>50</v>
          </cell>
          <cell r="E82">
            <v>0</v>
          </cell>
          <cell r="F82">
            <v>0</v>
          </cell>
          <cell r="G82">
            <v>2500</v>
          </cell>
          <cell r="H82">
            <v>0</v>
          </cell>
          <cell r="I82">
            <v>2651</v>
          </cell>
          <cell r="J82">
            <v>30</v>
          </cell>
          <cell r="K82">
            <v>37048.199999999997</v>
          </cell>
          <cell r="L82">
            <v>0</v>
          </cell>
          <cell r="M82">
            <v>0</v>
          </cell>
          <cell r="N82">
            <v>1776551.13</v>
          </cell>
        </row>
        <row r="83">
          <cell r="A83" t="str">
            <v>TOTAL</v>
          </cell>
          <cell r="B83">
            <v>230058548.22</v>
          </cell>
          <cell r="C83">
            <v>240540223.11000001</v>
          </cell>
          <cell r="D83">
            <v>237984734.55000001</v>
          </cell>
          <cell r="E83">
            <v>225711347.19999999</v>
          </cell>
          <cell r="F83">
            <v>222298166.22</v>
          </cell>
          <cell r="G83">
            <v>219123318.63999999</v>
          </cell>
          <cell r="H83">
            <v>217520283.66999999</v>
          </cell>
          <cell r="I83">
            <v>214121403.91</v>
          </cell>
          <cell r="J83">
            <v>214147300.15000001</v>
          </cell>
          <cell r="K83">
            <v>214824093.19999999</v>
          </cell>
          <cell r="L83">
            <v>214741404.88</v>
          </cell>
          <cell r="M83">
            <v>214497157.69</v>
          </cell>
          <cell r="N83">
            <v>217676440.76999998</v>
          </cell>
        </row>
        <row r="85">
          <cell r="A85" t="str">
            <v>ACOMPANHAMENTO DE EXECUÇÃO ORÇAMENTÁRIA</v>
          </cell>
        </row>
        <row r="86">
          <cell r="A86" t="str">
            <v>POR FONTE RECURSO</v>
          </cell>
        </row>
        <row r="87">
          <cell r="A87" t="str">
            <v>FONTE 05</v>
          </cell>
          <cell r="B87" t="str">
            <v>Empenhado Até o Mês</v>
          </cell>
          <cell r="C87">
            <v>124545.48</v>
          </cell>
          <cell r="D87">
            <v>34756828.549999997</v>
          </cell>
          <cell r="E87">
            <v>38754028.719999999</v>
          </cell>
          <cell r="F87">
            <v>40919767.469999999</v>
          </cell>
          <cell r="G87">
            <v>41222712.82</v>
          </cell>
          <cell r="H87">
            <v>42170949.140000001</v>
          </cell>
          <cell r="I87">
            <v>42826507.670000002</v>
          </cell>
          <cell r="J87">
            <v>43075501.039999999</v>
          </cell>
          <cell r="K87">
            <v>43867995.240000002</v>
          </cell>
          <cell r="L87">
            <v>44155191.740000002</v>
          </cell>
          <cell r="M87">
            <v>45015483.140000001</v>
          </cell>
          <cell r="N87">
            <v>44663790.340000004</v>
          </cell>
        </row>
        <row r="88">
          <cell r="B88" t="str">
            <v>Pago Até o Mês</v>
          </cell>
          <cell r="C88">
            <v>0</v>
          </cell>
          <cell r="D88">
            <v>2478299.7799999998</v>
          </cell>
          <cell r="E88">
            <v>16387155.039999999</v>
          </cell>
          <cell r="F88">
            <v>21972837.32</v>
          </cell>
          <cell r="G88">
            <v>27204081.359999999</v>
          </cell>
          <cell r="H88">
            <v>30773747.219999999</v>
          </cell>
          <cell r="I88">
            <v>33897203.520000003</v>
          </cell>
          <cell r="J88">
            <v>36708229.899999999</v>
          </cell>
          <cell r="K88">
            <v>37631694.829999998</v>
          </cell>
          <cell r="L88">
            <v>38854805.960000001</v>
          </cell>
          <cell r="M88">
            <v>41527036.539999999</v>
          </cell>
          <cell r="N88">
            <v>42971596.880000003</v>
          </cell>
        </row>
        <row r="89">
          <cell r="B89" t="str">
            <v>Liquidado A Pagar</v>
          </cell>
          <cell r="C89">
            <v>0</v>
          </cell>
          <cell r="D89">
            <v>682794.83</v>
          </cell>
          <cell r="E89">
            <v>1628261.37</v>
          </cell>
          <cell r="F89">
            <v>430777.52</v>
          </cell>
          <cell r="G89">
            <v>772313.31</v>
          </cell>
          <cell r="H89">
            <v>777934.85</v>
          </cell>
          <cell r="I89">
            <v>1710135.18</v>
          </cell>
          <cell r="J89">
            <v>481297.37</v>
          </cell>
          <cell r="K89">
            <v>371697.53</v>
          </cell>
          <cell r="L89">
            <v>1964021.65</v>
          </cell>
          <cell r="M89">
            <v>407887.96</v>
          </cell>
          <cell r="N89">
            <v>0</v>
          </cell>
        </row>
        <row r="90">
          <cell r="B90" t="str">
            <v xml:space="preserve">     Retenção Extra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NÃO Liquidado A Pagar</v>
          </cell>
          <cell r="C91">
            <v>124545.48</v>
          </cell>
          <cell r="D91">
            <v>31595733.940000001</v>
          </cell>
          <cell r="E91">
            <v>20738612.309999999</v>
          </cell>
          <cell r="F91">
            <v>18516152.629999999</v>
          </cell>
          <cell r="G91">
            <v>13246318.15</v>
          </cell>
          <cell r="H91">
            <v>10619267.07</v>
          </cell>
          <cell r="I91">
            <v>7219168.9699999997</v>
          </cell>
          <cell r="J91">
            <v>5885973.7699999996</v>
          </cell>
          <cell r="K91">
            <v>5864602.8799999999</v>
          </cell>
          <cell r="L91">
            <v>3336364.13</v>
          </cell>
          <cell r="M91">
            <v>3080558.64</v>
          </cell>
          <cell r="N91">
            <v>1692193.46</v>
          </cell>
        </row>
        <row r="93">
          <cell r="A93" t="str">
            <v>FONTE 00</v>
          </cell>
          <cell r="B93" t="str">
            <v>Empenhado Até o Mês</v>
          </cell>
          <cell r="C93">
            <v>0</v>
          </cell>
          <cell r="D93">
            <v>242603.75</v>
          </cell>
          <cell r="E93">
            <v>248348.98</v>
          </cell>
          <cell r="F93">
            <v>236647.45</v>
          </cell>
          <cell r="G93">
            <v>248348.98</v>
          </cell>
          <cell r="H93">
            <v>248348.98</v>
          </cell>
          <cell r="I93">
            <v>249218.98</v>
          </cell>
          <cell r="J93">
            <v>241975.67999999999</v>
          </cell>
          <cell r="K93">
            <v>1043616.06</v>
          </cell>
          <cell r="L93">
            <v>1056872.6299999999</v>
          </cell>
          <cell r="M93">
            <v>1152846.43</v>
          </cell>
          <cell r="N93">
            <v>1152846.43</v>
          </cell>
        </row>
        <row r="94">
          <cell r="B94" t="str">
            <v>Pago Até o Mês</v>
          </cell>
          <cell r="C94">
            <v>0</v>
          </cell>
          <cell r="D94">
            <v>0</v>
          </cell>
          <cell r="E94">
            <v>712.58</v>
          </cell>
          <cell r="F94">
            <v>1610.75</v>
          </cell>
          <cell r="G94">
            <v>2195.63</v>
          </cell>
          <cell r="H94">
            <v>2617.83</v>
          </cell>
          <cell r="I94">
            <v>2971.74</v>
          </cell>
          <cell r="J94">
            <v>4053.07</v>
          </cell>
          <cell r="K94">
            <v>497088.71</v>
          </cell>
          <cell r="L94">
            <v>666295.6</v>
          </cell>
          <cell r="M94">
            <v>814914.77</v>
          </cell>
          <cell r="N94">
            <v>832994.37</v>
          </cell>
        </row>
        <row r="95">
          <cell r="B95" t="str">
            <v>Liquidado A Pagar</v>
          </cell>
          <cell r="C95">
            <v>0</v>
          </cell>
          <cell r="D95">
            <v>0</v>
          </cell>
          <cell r="E95">
            <v>443.47</v>
          </cell>
          <cell r="F95">
            <v>145</v>
          </cell>
          <cell r="G95">
            <v>180.8</v>
          </cell>
          <cell r="H95">
            <v>4.33</v>
          </cell>
          <cell r="I95">
            <v>894.1</v>
          </cell>
          <cell r="J95">
            <v>125.67</v>
          </cell>
          <cell r="K95">
            <v>145</v>
          </cell>
          <cell r="L95">
            <v>59740.93</v>
          </cell>
          <cell r="M95">
            <v>192187.16</v>
          </cell>
          <cell r="N95">
            <v>8641.73</v>
          </cell>
        </row>
        <row r="96">
          <cell r="B96" t="str">
            <v xml:space="preserve">     Retenção Extra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NÃO Liquidado A Pagar</v>
          </cell>
          <cell r="C97">
            <v>0</v>
          </cell>
          <cell r="D97">
            <v>242603.75</v>
          </cell>
          <cell r="E97">
            <v>247192.93</v>
          </cell>
          <cell r="F97">
            <v>234891.7</v>
          </cell>
          <cell r="G97">
            <v>245972.55</v>
          </cell>
          <cell r="H97">
            <v>245726.82</v>
          </cell>
          <cell r="I97">
            <v>245353.14</v>
          </cell>
          <cell r="J97">
            <v>237796.94</v>
          </cell>
          <cell r="K97">
            <v>546382.35</v>
          </cell>
          <cell r="L97">
            <v>330836.09999999998</v>
          </cell>
          <cell r="M97">
            <v>145744.5</v>
          </cell>
          <cell r="N97">
            <v>311210.33</v>
          </cell>
        </row>
        <row r="99">
          <cell r="A99" t="str">
            <v>POR CONTA DE DESPESA</v>
          </cell>
        </row>
        <row r="100">
          <cell r="A100" t="str">
            <v>DESPESA CORRENTE</v>
          </cell>
          <cell r="B100" t="str">
            <v>Orçamento Inicial</v>
          </cell>
          <cell r="C100">
            <v>111921421</v>
          </cell>
          <cell r="D100">
            <v>111921421</v>
          </cell>
          <cell r="E100">
            <v>111921421</v>
          </cell>
          <cell r="F100">
            <v>111921421</v>
          </cell>
          <cell r="G100">
            <v>111921421</v>
          </cell>
          <cell r="H100">
            <v>111921421</v>
          </cell>
          <cell r="I100">
            <v>111921421</v>
          </cell>
          <cell r="J100">
            <v>111921421</v>
          </cell>
          <cell r="K100">
            <v>111921421</v>
          </cell>
          <cell r="L100">
            <v>111921421</v>
          </cell>
          <cell r="M100">
            <v>111921421</v>
          </cell>
          <cell r="N100">
            <v>111921421</v>
          </cell>
        </row>
        <row r="101">
          <cell r="B101" t="str">
            <v>Orçamento Atualizado</v>
          </cell>
          <cell r="C101">
            <v>111921421</v>
          </cell>
          <cell r="D101">
            <v>111921421</v>
          </cell>
          <cell r="E101">
            <v>107013414.36</v>
          </cell>
          <cell r="F101">
            <v>107128032.56999999</v>
          </cell>
          <cell r="G101">
            <v>107128032.56999999</v>
          </cell>
          <cell r="H101">
            <v>107531639.41</v>
          </cell>
          <cell r="I101">
            <v>107531639.41</v>
          </cell>
          <cell r="J101">
            <v>107531639.41</v>
          </cell>
          <cell r="K101">
            <v>107431639.41</v>
          </cell>
          <cell r="L101">
            <v>107711335.39</v>
          </cell>
          <cell r="M101">
            <v>107470015.23999999</v>
          </cell>
          <cell r="N101">
            <v>107023983.18000001</v>
          </cell>
        </row>
        <row r="102">
          <cell r="B102" t="str">
            <v>Empenhado Até o Mês</v>
          </cell>
          <cell r="C102">
            <v>124545.48</v>
          </cell>
          <cell r="D102">
            <v>34999432.299999997</v>
          </cell>
          <cell r="E102">
            <v>39002377.700000003</v>
          </cell>
          <cell r="F102">
            <v>41156414.920000002</v>
          </cell>
          <cell r="G102">
            <v>41471061.799999997</v>
          </cell>
          <cell r="H102">
            <v>42419298.119999997</v>
          </cell>
          <cell r="I102">
            <v>43075726.649999999</v>
          </cell>
          <cell r="J102">
            <v>43317476.719999999</v>
          </cell>
          <cell r="K102">
            <v>44911611.299999997</v>
          </cell>
          <cell r="L102">
            <v>45212064.369999997</v>
          </cell>
          <cell r="M102">
            <v>46168329.57</v>
          </cell>
          <cell r="N102">
            <v>45816636.770000003</v>
          </cell>
        </row>
        <row r="103">
          <cell r="B103" t="str">
            <v>Liquidado Até o Mês</v>
          </cell>
          <cell r="C103">
            <v>0</v>
          </cell>
          <cell r="D103">
            <v>3161094.61</v>
          </cell>
          <cell r="E103">
            <v>18016572.460000001</v>
          </cell>
          <cell r="F103">
            <v>22405370.59</v>
          </cell>
          <cell r="G103">
            <v>27978771.100000001</v>
          </cell>
          <cell r="H103">
            <v>31554304.23</v>
          </cell>
          <cell r="I103">
            <v>35611204.539999999</v>
          </cell>
          <cell r="J103">
            <v>37193706.009999998</v>
          </cell>
          <cell r="K103">
            <v>38500626.07</v>
          </cell>
          <cell r="L103">
            <v>41544864.140000001</v>
          </cell>
          <cell r="M103">
            <v>42942026.43</v>
          </cell>
          <cell r="N103">
            <v>43813232.979999997</v>
          </cell>
        </row>
        <row r="104">
          <cell r="B104" t="str">
            <v>Pago Até o Mês</v>
          </cell>
          <cell r="C104">
            <v>0</v>
          </cell>
          <cell r="D104">
            <v>2478299.7799999998</v>
          </cell>
          <cell r="E104">
            <v>16387867.619999999</v>
          </cell>
          <cell r="F104">
            <v>21974448.07</v>
          </cell>
          <cell r="G104">
            <v>27206276.989999998</v>
          </cell>
          <cell r="H104">
            <v>30776365.050000001</v>
          </cell>
          <cell r="I104">
            <v>33900175.259999998</v>
          </cell>
          <cell r="J104">
            <v>36712282.969999999</v>
          </cell>
          <cell r="K104">
            <v>38128783.539999999</v>
          </cell>
          <cell r="L104">
            <v>39521101.560000002</v>
          </cell>
          <cell r="M104">
            <v>42341951.310000002</v>
          </cell>
          <cell r="N104">
            <v>43804591.25</v>
          </cell>
        </row>
        <row r="106">
          <cell r="A106" t="str">
            <v>DESPESA CAPITAL</v>
          </cell>
          <cell r="B106" t="str">
            <v>Orçamento Inicial</v>
          </cell>
          <cell r="C106">
            <v>16412981</v>
          </cell>
          <cell r="D106">
            <v>16412981</v>
          </cell>
          <cell r="E106">
            <v>16412981</v>
          </cell>
          <cell r="F106">
            <v>16412981</v>
          </cell>
          <cell r="G106">
            <v>16412981</v>
          </cell>
          <cell r="H106">
            <v>16412981</v>
          </cell>
          <cell r="I106">
            <v>16412981</v>
          </cell>
          <cell r="J106">
            <v>16412981</v>
          </cell>
          <cell r="K106">
            <v>16412981</v>
          </cell>
          <cell r="L106">
            <v>16412981</v>
          </cell>
          <cell r="M106">
            <v>16412981</v>
          </cell>
          <cell r="N106">
            <v>16412981</v>
          </cell>
        </row>
        <row r="107">
          <cell r="B107" t="str">
            <v>Orçamento Atualizado</v>
          </cell>
          <cell r="C107">
            <v>16412981</v>
          </cell>
          <cell r="D107">
            <v>16412981</v>
          </cell>
          <cell r="E107">
            <v>16390076.16</v>
          </cell>
          <cell r="F107">
            <v>16175457.949999999</v>
          </cell>
          <cell r="G107">
            <v>16175457.949999999</v>
          </cell>
          <cell r="H107">
            <v>15771851.109999999</v>
          </cell>
          <cell r="I107">
            <v>15771851.109999999</v>
          </cell>
          <cell r="J107">
            <v>15771851.109999999</v>
          </cell>
          <cell r="K107">
            <v>15771851.109999999</v>
          </cell>
          <cell r="L107">
            <v>15486710.939999999</v>
          </cell>
          <cell r="M107">
            <v>15486710.939999999</v>
          </cell>
          <cell r="N107">
            <v>15486710.939999999</v>
          </cell>
        </row>
        <row r="108">
          <cell r="B108" t="str">
            <v>Empenhado Até o Mês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Liquidado Até o Mês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Pago Até o Mês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3">
          <cell r="A113" t="str">
            <v>ACOMPANHAMENTO DE EXECUÇÃO ORÇAMENTÁRIA - RESTO A PAGAR</v>
          </cell>
        </row>
        <row r="114">
          <cell r="A114" t="str">
            <v>POR FONTE RECURSO</v>
          </cell>
        </row>
        <row r="115">
          <cell r="A115" t="str">
            <v>PAGAMENTO</v>
          </cell>
          <cell r="B115" t="str">
            <v>Não Processado - FONTE 05</v>
          </cell>
          <cell r="C115">
            <v>49889.35</v>
          </cell>
          <cell r="D115">
            <v>1024717.41</v>
          </cell>
          <cell r="E115">
            <v>1075558.0900000001</v>
          </cell>
          <cell r="F115">
            <v>1075558.0900000001</v>
          </cell>
          <cell r="G115">
            <v>1075558.0900000001</v>
          </cell>
          <cell r="H115">
            <v>1075558.0900000001</v>
          </cell>
          <cell r="I115">
            <v>1075558.0900000001</v>
          </cell>
          <cell r="J115">
            <v>1075558.0900000001</v>
          </cell>
          <cell r="K115">
            <v>1075558.0900000001</v>
          </cell>
          <cell r="L115">
            <v>1075558.0900000001</v>
          </cell>
          <cell r="M115">
            <v>1075558.0900000001</v>
          </cell>
          <cell r="N115">
            <v>1075558.0900000001</v>
          </cell>
        </row>
        <row r="116">
          <cell r="B116" t="str">
            <v>Processado - FONTE 05</v>
          </cell>
          <cell r="C116">
            <v>0</v>
          </cell>
          <cell r="D116">
            <v>48000</v>
          </cell>
          <cell r="E116">
            <v>48000</v>
          </cell>
          <cell r="F116">
            <v>79878.149999999994</v>
          </cell>
          <cell r="G116">
            <v>79878.149999999994</v>
          </cell>
          <cell r="H116">
            <v>79878.149999999994</v>
          </cell>
          <cell r="I116">
            <v>79878.149999999994</v>
          </cell>
          <cell r="J116">
            <v>79878.149999999994</v>
          </cell>
          <cell r="K116">
            <v>150253.07</v>
          </cell>
          <cell r="L116">
            <v>150253.07</v>
          </cell>
          <cell r="M116">
            <v>150253.07</v>
          </cell>
          <cell r="N116">
            <v>150253.07</v>
          </cell>
        </row>
        <row r="117">
          <cell r="B117" t="str">
            <v>TOTAL</v>
          </cell>
          <cell r="C117">
            <v>49889.35</v>
          </cell>
          <cell r="D117">
            <v>1072717.4100000001</v>
          </cell>
          <cell r="E117">
            <v>1123558.0900000001</v>
          </cell>
          <cell r="F117">
            <v>1155436.24</v>
          </cell>
          <cell r="G117">
            <v>1155436.24</v>
          </cell>
          <cell r="H117">
            <v>1155436.24</v>
          </cell>
          <cell r="I117">
            <v>1155436.24</v>
          </cell>
          <cell r="J117">
            <v>1155436.24</v>
          </cell>
          <cell r="K117">
            <v>1225811.1600000001</v>
          </cell>
          <cell r="L117">
            <v>1225811.1600000001</v>
          </cell>
          <cell r="M117">
            <v>1225811.1600000001</v>
          </cell>
          <cell r="N117">
            <v>1225811.1600000001</v>
          </cell>
        </row>
        <row r="119">
          <cell r="A119" t="str">
            <v>PAGAMENTO</v>
          </cell>
          <cell r="B119" t="str">
            <v>Não Processado - FONTE 00</v>
          </cell>
          <cell r="C119">
            <v>1543.73</v>
          </cell>
          <cell r="D119">
            <v>1700.95</v>
          </cell>
          <cell r="E119">
            <v>314505.18</v>
          </cell>
          <cell r="F119">
            <v>314505.18</v>
          </cell>
          <cell r="G119">
            <v>314505.18</v>
          </cell>
          <cell r="H119">
            <v>314505.18</v>
          </cell>
          <cell r="I119">
            <v>314505.18</v>
          </cell>
          <cell r="J119">
            <v>314505.18</v>
          </cell>
          <cell r="K119">
            <v>314505.18</v>
          </cell>
          <cell r="L119">
            <v>314505.18</v>
          </cell>
          <cell r="M119">
            <v>314505.18</v>
          </cell>
          <cell r="N119">
            <v>314505.18</v>
          </cell>
        </row>
        <row r="120">
          <cell r="B120" t="str">
            <v>Processado - FONTE 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TOTAL</v>
          </cell>
          <cell r="C121">
            <v>1543.73</v>
          </cell>
          <cell r="D121">
            <v>1700.95</v>
          </cell>
          <cell r="E121">
            <v>314505.18</v>
          </cell>
          <cell r="F121">
            <v>314505.18</v>
          </cell>
          <cell r="G121">
            <v>314505.18</v>
          </cell>
          <cell r="H121">
            <v>314505.18</v>
          </cell>
          <cell r="I121">
            <v>314505.18</v>
          </cell>
          <cell r="J121">
            <v>314505.18</v>
          </cell>
          <cell r="K121">
            <v>314505.18</v>
          </cell>
          <cell r="L121">
            <v>314505.18</v>
          </cell>
          <cell r="M121">
            <v>314505.18</v>
          </cell>
          <cell r="N121">
            <v>314505.18</v>
          </cell>
        </row>
        <row r="123">
          <cell r="A123" t="str">
            <v>POR CONTA DE DESPESA - DESPESA CORRENTE</v>
          </cell>
        </row>
        <row r="124">
          <cell r="A124" t="str">
            <v>SALDO TRANSFERIDO</v>
          </cell>
          <cell r="B124" t="str">
            <v>Não Processado</v>
          </cell>
          <cell r="C124">
            <v>5878360.29</v>
          </cell>
          <cell r="D124">
            <v>5878360.29</v>
          </cell>
          <cell r="E124">
            <v>5878360.29</v>
          </cell>
          <cell r="F124">
            <v>5878360.29</v>
          </cell>
          <cell r="G124">
            <v>5878360.29</v>
          </cell>
          <cell r="H124">
            <v>5878360.29</v>
          </cell>
          <cell r="I124">
            <v>5878360.29</v>
          </cell>
          <cell r="J124">
            <v>5878360.29</v>
          </cell>
          <cell r="K124">
            <v>5878360.29</v>
          </cell>
          <cell r="L124">
            <v>5878360.29</v>
          </cell>
          <cell r="M124">
            <v>5878360.29</v>
          </cell>
          <cell r="N124">
            <v>5878360.29</v>
          </cell>
        </row>
        <row r="125">
          <cell r="B125" t="str">
            <v>Processado</v>
          </cell>
          <cell r="C125">
            <v>152288.07</v>
          </cell>
          <cell r="D125">
            <v>152288.07</v>
          </cell>
          <cell r="E125">
            <v>152288.07</v>
          </cell>
          <cell r="F125">
            <v>152288.07</v>
          </cell>
          <cell r="G125">
            <v>152288.07</v>
          </cell>
          <cell r="H125">
            <v>152288.07</v>
          </cell>
          <cell r="I125">
            <v>152288.07</v>
          </cell>
          <cell r="J125">
            <v>152288.07</v>
          </cell>
          <cell r="K125">
            <v>152288.07</v>
          </cell>
          <cell r="L125">
            <v>152288.07</v>
          </cell>
          <cell r="M125">
            <v>152288.07</v>
          </cell>
          <cell r="N125">
            <v>152288.07</v>
          </cell>
        </row>
        <row r="126">
          <cell r="A126" t="str">
            <v>PAGAMENTO</v>
          </cell>
          <cell r="B126" t="str">
            <v>Não Processado</v>
          </cell>
          <cell r="C126">
            <v>51433.08</v>
          </cell>
          <cell r="D126">
            <v>1026418.36</v>
          </cell>
          <cell r="E126">
            <v>1390063.27</v>
          </cell>
          <cell r="F126">
            <v>1390063.27</v>
          </cell>
          <cell r="G126">
            <v>1390063.27</v>
          </cell>
          <cell r="H126">
            <v>1390063.27</v>
          </cell>
          <cell r="I126">
            <v>1390063.27</v>
          </cell>
          <cell r="J126">
            <v>1390063.27</v>
          </cell>
          <cell r="K126">
            <v>1390063.27</v>
          </cell>
          <cell r="L126">
            <v>1390063.27</v>
          </cell>
          <cell r="M126">
            <v>1390063.27</v>
          </cell>
          <cell r="N126">
            <v>1390063.27</v>
          </cell>
        </row>
        <row r="127">
          <cell r="B127" t="str">
            <v>Processado</v>
          </cell>
          <cell r="C127">
            <v>0</v>
          </cell>
          <cell r="D127">
            <v>48000</v>
          </cell>
          <cell r="E127">
            <v>48000</v>
          </cell>
          <cell r="F127">
            <v>79878.149999999994</v>
          </cell>
          <cell r="G127">
            <v>79878.149999999994</v>
          </cell>
          <cell r="H127">
            <v>79878.149999999994</v>
          </cell>
          <cell r="I127">
            <v>79878.149999999994</v>
          </cell>
          <cell r="J127">
            <v>79878.149999999994</v>
          </cell>
          <cell r="K127">
            <v>150253.07</v>
          </cell>
          <cell r="L127">
            <v>150253.07</v>
          </cell>
          <cell r="M127">
            <v>150253.07</v>
          </cell>
          <cell r="N127">
            <v>150253.07</v>
          </cell>
        </row>
        <row r="128">
          <cell r="A128" t="str">
            <v>CANCELAMENTO</v>
          </cell>
          <cell r="B128" t="str">
            <v>Não Processado</v>
          </cell>
          <cell r="C128">
            <v>0</v>
          </cell>
          <cell r="D128">
            <v>1933324.65</v>
          </cell>
          <cell r="E128">
            <v>4488297.0199999996</v>
          </cell>
          <cell r="F128">
            <v>4488297.0199999996</v>
          </cell>
          <cell r="G128">
            <v>4488297.0199999996</v>
          </cell>
          <cell r="H128">
            <v>4488297.0199999996</v>
          </cell>
          <cell r="I128">
            <v>4488297.0199999996</v>
          </cell>
          <cell r="J128">
            <v>4488297.0199999996</v>
          </cell>
          <cell r="K128">
            <v>4488297.0199999996</v>
          </cell>
          <cell r="L128">
            <v>4488297.0199999996</v>
          </cell>
          <cell r="M128">
            <v>4488297.0199999996</v>
          </cell>
          <cell r="N128">
            <v>4488297.0199999996</v>
          </cell>
        </row>
        <row r="129">
          <cell r="B129" t="str">
            <v>Processado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31878.15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POR CONTA DE DESPESA - DESPESA CAPITAL</v>
          </cell>
        </row>
        <row r="131">
          <cell r="A131" t="str">
            <v>SALDO TRANSFERIDO</v>
          </cell>
          <cell r="B131" t="str">
            <v>Não Processado</v>
          </cell>
          <cell r="C131">
            <v>31770.02</v>
          </cell>
          <cell r="D131">
            <v>31770.02</v>
          </cell>
          <cell r="E131">
            <v>31770.02</v>
          </cell>
          <cell r="F131">
            <v>31770.02</v>
          </cell>
          <cell r="G131">
            <v>31770.02</v>
          </cell>
          <cell r="H131">
            <v>31770.02</v>
          </cell>
          <cell r="I131">
            <v>31770.02</v>
          </cell>
          <cell r="J131">
            <v>31770.02</v>
          </cell>
          <cell r="K131">
            <v>31770.02</v>
          </cell>
          <cell r="L131">
            <v>31770.02</v>
          </cell>
          <cell r="M131">
            <v>31770.02</v>
          </cell>
          <cell r="N131">
            <v>31770.02</v>
          </cell>
        </row>
        <row r="132">
          <cell r="B132" t="str">
            <v>Processado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PAGAMENTO</v>
          </cell>
          <cell r="B133" t="str">
            <v>Não Processado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Processado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CANCELAMENTO</v>
          </cell>
          <cell r="B135" t="str">
            <v>Não Processado</v>
          </cell>
          <cell r="C135">
            <v>0</v>
          </cell>
          <cell r="D135">
            <v>0.33</v>
          </cell>
          <cell r="E135">
            <v>31770.02</v>
          </cell>
          <cell r="F135">
            <v>31770.02</v>
          </cell>
          <cell r="G135">
            <v>31770.02</v>
          </cell>
          <cell r="H135">
            <v>31770.02</v>
          </cell>
          <cell r="I135">
            <v>31770.02</v>
          </cell>
          <cell r="J135">
            <v>31770.02</v>
          </cell>
          <cell r="K135">
            <v>31770.02</v>
          </cell>
          <cell r="L135">
            <v>31770.02</v>
          </cell>
          <cell r="M135">
            <v>31770.02</v>
          </cell>
          <cell r="N135">
            <v>31770.02</v>
          </cell>
        </row>
        <row r="136">
          <cell r="B136" t="str">
            <v>Processado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8">
          <cell r="A138" t="str">
            <v>A.E.O. - RESTO A PAGAR - COMPETÊNCIAS ANTERIORES</v>
          </cell>
        </row>
        <row r="139">
          <cell r="A139" t="str">
            <v>POR CONTA DE DESPESA - DESPESA CORRENTE</v>
          </cell>
        </row>
        <row r="140">
          <cell r="A140" t="str">
            <v>SALDO TRANSFERIDO</v>
          </cell>
          <cell r="B140" t="str">
            <v>Não Processado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Processado</v>
          </cell>
          <cell r="C141">
            <v>33664.910000000003</v>
          </cell>
          <cell r="D141">
            <v>33664.910000000003</v>
          </cell>
          <cell r="E141">
            <v>33664.910000000003</v>
          </cell>
          <cell r="F141">
            <v>33664.910000000003</v>
          </cell>
          <cell r="G141">
            <v>33664.910000000003</v>
          </cell>
          <cell r="H141">
            <v>33664.910000000003</v>
          </cell>
          <cell r="I141">
            <v>33664.910000000003</v>
          </cell>
          <cell r="J141">
            <v>33664.910000000003</v>
          </cell>
          <cell r="K141">
            <v>33664.910000000003</v>
          </cell>
          <cell r="L141">
            <v>33664.910000000003</v>
          </cell>
          <cell r="M141">
            <v>33664.910000000003</v>
          </cell>
          <cell r="N141">
            <v>33664.910000000003</v>
          </cell>
        </row>
        <row r="142">
          <cell r="A142" t="str">
            <v>PAGAMENTO</v>
          </cell>
          <cell r="B142" t="str">
            <v>Não Processado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Processado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CANCELAMENTO</v>
          </cell>
          <cell r="B144" t="str">
            <v>Não Processado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Processado</v>
          </cell>
          <cell r="C145">
            <v>0</v>
          </cell>
          <cell r="D145">
            <v>0</v>
          </cell>
          <cell r="E145">
            <v>0</v>
          </cell>
          <cell r="G145">
            <v>31878.15</v>
          </cell>
          <cell r="H145">
            <v>31878.15</v>
          </cell>
          <cell r="I145">
            <v>31878.15</v>
          </cell>
          <cell r="J145">
            <v>31878.15</v>
          </cell>
          <cell r="K145">
            <v>31878.15</v>
          </cell>
          <cell r="L145">
            <v>31878.15</v>
          </cell>
          <cell r="M145">
            <v>31878.15</v>
          </cell>
          <cell r="N145">
            <v>31878.15</v>
          </cell>
        </row>
        <row r="146">
          <cell r="A146" t="str">
            <v>POR CONTA DE DESPESA - DESPESA CAPITAL</v>
          </cell>
        </row>
        <row r="147">
          <cell r="A147" t="str">
            <v>SALDO TRANSFERIDO</v>
          </cell>
          <cell r="B147" t="str">
            <v>Não Processado</v>
          </cell>
          <cell r="C147">
            <v>0</v>
          </cell>
          <cell r="D147">
            <v>0</v>
          </cell>
          <cell r="E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Processado</v>
          </cell>
          <cell r="C148">
            <v>0</v>
          </cell>
          <cell r="D148">
            <v>0</v>
          </cell>
          <cell r="E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PAGAMENTO</v>
          </cell>
          <cell r="B149" t="str">
            <v>Não Processado</v>
          </cell>
          <cell r="C149">
            <v>0</v>
          </cell>
          <cell r="D149">
            <v>0</v>
          </cell>
          <cell r="E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 t="str">
            <v>Processado</v>
          </cell>
          <cell r="C150">
            <v>0</v>
          </cell>
          <cell r="D150">
            <v>0</v>
          </cell>
          <cell r="E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CANCELAMENTO</v>
          </cell>
          <cell r="B151" t="str">
            <v>Não Processado</v>
          </cell>
          <cell r="C151">
            <v>0</v>
          </cell>
          <cell r="D151">
            <v>0</v>
          </cell>
          <cell r="E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Processado</v>
          </cell>
          <cell r="C152">
            <v>0</v>
          </cell>
          <cell r="D152">
            <v>0</v>
          </cell>
          <cell r="E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5">
          <cell r="A155" t="str">
            <v>TRANSFERÊNCIAS FINANCEIRAS RECEBIDAS (II)</v>
          </cell>
        </row>
        <row r="156">
          <cell r="A156" t="str">
            <v>PARA  EXECUÇÃO ORÇAMENTÁRIA</v>
          </cell>
        </row>
        <row r="163">
          <cell r="B163" t="str">
            <v>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6">
          <cell r="A166" t="str">
            <v>TRANSFERÊNCIAS FINANCEIRAS CONCEDIDAS (VII)</v>
          </cell>
        </row>
        <row r="167">
          <cell r="A167" t="str">
            <v>PARA  EXECUÇÃO ORÇAMENTÁRIA</v>
          </cell>
        </row>
        <row r="168">
          <cell r="A168" t="str">
            <v>RENDIMENTO FINANCEIRO DA TRANSFERÊNCIA PARA EDUCAÇÃO</v>
          </cell>
          <cell r="C168">
            <v>100070.48</v>
          </cell>
          <cell r="D168">
            <v>85110.17</v>
          </cell>
          <cell r="E168">
            <v>75164.160000000003</v>
          </cell>
          <cell r="F168">
            <v>82720.19</v>
          </cell>
          <cell r="G168">
            <v>87364.27</v>
          </cell>
          <cell r="H168">
            <v>73918.039999999994</v>
          </cell>
          <cell r="I168">
            <v>87879.05</v>
          </cell>
          <cell r="J168">
            <v>75052.679999999993</v>
          </cell>
          <cell r="K168">
            <v>72605.39</v>
          </cell>
          <cell r="L168">
            <v>72492.649999999994</v>
          </cell>
          <cell r="M168">
            <v>53647</v>
          </cell>
          <cell r="N168">
            <v>54529.1</v>
          </cell>
          <cell r="O168">
            <v>920553.18</v>
          </cell>
          <cell r="P168" t="str">
            <v>total de rendimentos transferidos para educação</v>
          </cell>
        </row>
        <row r="169">
          <cell r="A169" t="str">
            <v>DESVINCULAÇÃO ADICIONAL DA RECEITA - R$5.158.455,99</v>
          </cell>
          <cell r="I169">
            <v>3275601.22</v>
          </cell>
          <cell r="N169">
            <v>7288706.7699999996</v>
          </cell>
        </row>
        <row r="170">
          <cell r="A170" t="str">
            <v>DESVINCULAÇÃO ADICIONAL DA RECEITA - R$15.480.496,12</v>
          </cell>
        </row>
        <row r="171">
          <cell r="A171" t="str">
            <v>DESVINCULAÇÃO ADICIONAL DA RECEITA - R$15.262.094,25</v>
          </cell>
        </row>
        <row r="172">
          <cell r="A172" t="str">
            <v xml:space="preserve">transferencia mais escolas ( p SME) </v>
          </cell>
          <cell r="F172">
            <v>0</v>
          </cell>
        </row>
        <row r="174">
          <cell r="B174" t="str">
            <v>TOTAL</v>
          </cell>
          <cell r="C174">
            <v>100070.48</v>
          </cell>
          <cell r="D174">
            <v>185180.65</v>
          </cell>
          <cell r="E174">
            <v>260344.81</v>
          </cell>
          <cell r="F174">
            <v>343065</v>
          </cell>
          <cell r="G174">
            <v>430429.27</v>
          </cell>
          <cell r="H174">
            <v>504347.31</v>
          </cell>
          <cell r="I174">
            <v>3867827.58</v>
          </cell>
          <cell r="J174">
            <v>3942880.2600000002</v>
          </cell>
          <cell r="K174">
            <v>4015485.6500000004</v>
          </cell>
          <cell r="L174">
            <v>4087978.3000000003</v>
          </cell>
          <cell r="M174">
            <v>4141625.3000000003</v>
          </cell>
          <cell r="N174">
            <v>11484861.17</v>
          </cell>
        </row>
      </sheetData>
      <sheetData sheetId="1">
        <row r="5">
          <cell r="A5">
            <v>43800</v>
          </cell>
        </row>
        <row r="10">
          <cell r="D10">
            <v>13839909.210000001</v>
          </cell>
        </row>
        <row r="18">
          <cell r="D18">
            <v>21374450.820000008</v>
          </cell>
          <cell r="K18">
            <v>44663790.340000004</v>
          </cell>
        </row>
        <row r="20">
          <cell r="D20">
            <v>452198.98</v>
          </cell>
        </row>
        <row r="22">
          <cell r="D22">
            <v>0</v>
          </cell>
          <cell r="K22">
            <v>11484861.17</v>
          </cell>
        </row>
        <row r="28">
          <cell r="D28">
            <v>1692193.46</v>
          </cell>
          <cell r="K28">
            <v>1075558.0900000001</v>
          </cell>
        </row>
        <row r="30">
          <cell r="D30">
            <v>0</v>
          </cell>
          <cell r="K30">
            <v>150253.07</v>
          </cell>
        </row>
        <row r="32">
          <cell r="D32">
            <v>13116709.039999999</v>
          </cell>
          <cell r="K32">
            <v>5483106.29</v>
          </cell>
        </row>
        <row r="35">
          <cell r="D35">
            <v>230058548.22</v>
          </cell>
          <cell r="K35">
            <v>217676440.76999998</v>
          </cell>
        </row>
      </sheetData>
      <sheetData sheetId="2">
        <row r="8">
          <cell r="K8">
            <v>1152846.43</v>
          </cell>
        </row>
        <row r="20">
          <cell r="D20">
            <v>1147499.55</v>
          </cell>
        </row>
        <row r="25">
          <cell r="D25">
            <v>311210.33</v>
          </cell>
          <cell r="K25">
            <v>314505.18</v>
          </cell>
        </row>
        <row r="27">
          <cell r="D27">
            <v>8641.73</v>
          </cell>
          <cell r="K27">
            <v>0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530B9-5715-4DE4-92C5-21926B3506F5}">
  <sheetPr codeName="Plan9">
    <tabColor indexed="42"/>
  </sheetPr>
  <dimension ref="A1:IU66"/>
  <sheetViews>
    <sheetView showGridLines="0" tabSelected="1" showOutlineSymbols="0" zoomScaleNormal="100" workbookViewId="0">
      <selection activeCell="P32" sqref="P32:Q34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4" customWidth="1"/>
    <col min="15" max="15" width="16.7109375" style="72" customWidth="1"/>
    <col min="16" max="16" width="14.28515625" style="2" bestFit="1" customWidth="1"/>
    <col min="17" max="17" width="12.140625" style="2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35666559.010000005</v>
      </c>
      <c r="H7" s="29">
        <v>60131287.829999998</v>
      </c>
      <c r="I7" s="25" t="s">
        <v>11</v>
      </c>
      <c r="J7" s="26"/>
      <c r="K7" s="26"/>
      <c r="L7" s="26"/>
      <c r="M7" s="27"/>
      <c r="N7" s="28">
        <f>SUBTOTAL(9,N8:N19)</f>
        <v>45816636.770000003</v>
      </c>
      <c r="O7" s="29">
        <v>53666590.829999998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13839909.210000001</v>
      </c>
      <c r="H8" s="28">
        <v>6734630.3000000007</v>
      </c>
      <c r="I8" s="31" t="s">
        <v>12</v>
      </c>
      <c r="J8" s="32"/>
      <c r="K8" s="32"/>
      <c r="L8" s="32"/>
      <c r="M8" s="33"/>
      <c r="N8" s="28">
        <f>SUBTOTAL(9,N9:N11)</f>
        <v>1152846.43</v>
      </c>
      <c r="O8" s="28">
        <v>571481.29</v>
      </c>
    </row>
    <row r="9" spans="1:20" ht="13.5" customHeight="1" x14ac:dyDescent="0.2">
      <c r="A9" s="34" t="s">
        <v>13</v>
      </c>
      <c r="B9" s="35"/>
      <c r="C9" s="35"/>
      <c r="D9" s="35"/>
      <c r="E9" s="35"/>
      <c r="F9" s="36"/>
      <c r="G9" s="37">
        <f>+'[1]B.F. 00 '!D8+'[1]B.F. 05 '!D10</f>
        <v>13839909.210000001</v>
      </c>
      <c r="H9" s="37">
        <v>6734630.3000000007</v>
      </c>
      <c r="I9" s="34" t="s">
        <v>13</v>
      </c>
      <c r="J9" s="35"/>
      <c r="K9" s="35"/>
      <c r="L9" s="35"/>
      <c r="M9" s="36"/>
      <c r="N9" s="37">
        <f>+'[1]B.F. 00 '!K8+'[1]B.F. 05 '!K10</f>
        <v>1152846.43</v>
      </c>
      <c r="O9" s="37">
        <v>571481.29</v>
      </c>
      <c r="P9" s="4"/>
    </row>
    <row r="10" spans="1:20" ht="13.5" customHeight="1" x14ac:dyDescent="0.2">
      <c r="A10" s="34" t="s">
        <v>14</v>
      </c>
      <c r="B10" s="35"/>
      <c r="C10" s="35"/>
      <c r="D10" s="35"/>
      <c r="E10" s="35"/>
      <c r="F10" s="36"/>
      <c r="G10" s="37">
        <f>+'[1]B.F. 00 '!D9+'[1]B.F. 05 '!D11</f>
        <v>0</v>
      </c>
      <c r="H10" s="37">
        <v>0</v>
      </c>
      <c r="I10" s="34" t="s">
        <v>14</v>
      </c>
      <c r="J10" s="35"/>
      <c r="K10" s="35"/>
      <c r="L10" s="35"/>
      <c r="M10" s="36"/>
      <c r="N10" s="37">
        <f>+'[1]B.F. 00 '!K9+'[1]B.F. 05 '!K11</f>
        <v>0</v>
      </c>
      <c r="O10" s="37">
        <v>0</v>
      </c>
      <c r="Q10" s="6"/>
      <c r="R10" s="6"/>
      <c r="S10" s="6"/>
      <c r="T10" s="6"/>
    </row>
    <row r="11" spans="1:20" ht="13.5" customHeight="1" x14ac:dyDescent="0.2">
      <c r="A11" s="34" t="s">
        <v>15</v>
      </c>
      <c r="B11" s="35"/>
      <c r="C11" s="35"/>
      <c r="D11" s="35"/>
      <c r="E11" s="35"/>
      <c r="F11" s="36"/>
      <c r="G11" s="37">
        <f>+'[1]B.F. 00 '!D10+'[1]B.F. 05 '!D12</f>
        <v>0</v>
      </c>
      <c r="H11" s="37">
        <v>0</v>
      </c>
      <c r="I11" s="34" t="s">
        <v>15</v>
      </c>
      <c r="J11" s="35"/>
      <c r="K11" s="35"/>
      <c r="L11" s="35"/>
      <c r="M11" s="36"/>
      <c r="N11" s="37">
        <f>+'[1]B.F. 00 '!K10+'[1]B.F. 05 '!K12</f>
        <v>0</v>
      </c>
      <c r="O11" s="37">
        <v>0</v>
      </c>
      <c r="P11" s="38"/>
    </row>
    <row r="12" spans="1:20" ht="13.5" customHeight="1" x14ac:dyDescent="0.2">
      <c r="A12" s="39" t="s">
        <v>16</v>
      </c>
      <c r="B12" s="40"/>
      <c r="C12" s="40"/>
      <c r="D12" s="40"/>
      <c r="E12" s="40"/>
      <c r="F12" s="41"/>
      <c r="G12" s="42">
        <f>SUBTOTAL(9,G13:G19)</f>
        <v>21826649.800000008</v>
      </c>
      <c r="H12" s="42">
        <v>53396657.530000001</v>
      </c>
      <c r="I12" s="39" t="s">
        <v>16</v>
      </c>
      <c r="J12" s="40"/>
      <c r="K12" s="40"/>
      <c r="L12" s="40"/>
      <c r="M12" s="41"/>
      <c r="N12" s="42">
        <f>SUBTOTAL(9,N13:N19)</f>
        <v>44663790.340000004</v>
      </c>
      <c r="O12" s="42">
        <v>53095109.539999999</v>
      </c>
      <c r="P12" s="4"/>
    </row>
    <row r="13" spans="1:20" ht="13.5" customHeight="1" x14ac:dyDescent="0.2">
      <c r="A13" s="34" t="s">
        <v>17</v>
      </c>
      <c r="B13" s="35"/>
      <c r="C13" s="35"/>
      <c r="D13" s="35"/>
      <c r="E13" s="35"/>
      <c r="F13" s="36"/>
      <c r="G13" s="37">
        <f>+'[1]B.F. 00 '!D12+'[1]B.F. 05 '!D14</f>
        <v>0</v>
      </c>
      <c r="H13" s="37">
        <v>0</v>
      </c>
      <c r="I13" s="34" t="s">
        <v>17</v>
      </c>
      <c r="J13" s="35"/>
      <c r="K13" s="35"/>
      <c r="L13" s="35"/>
      <c r="M13" s="36"/>
      <c r="N13" s="37">
        <f>+'[1]B.F. 00 '!K12+'[1]B.F. 05 '!K14</f>
        <v>0</v>
      </c>
      <c r="O13" s="37">
        <v>0</v>
      </c>
    </row>
    <row r="14" spans="1:20" ht="13.5" customHeight="1" x14ac:dyDescent="0.2">
      <c r="A14" s="34" t="s">
        <v>18</v>
      </c>
      <c r="B14" s="35"/>
      <c r="C14" s="35"/>
      <c r="D14" s="35"/>
      <c r="E14" s="35"/>
      <c r="F14" s="36"/>
      <c r="G14" s="37">
        <f>+'[1]B.F. 00 '!D13+'[1]B.F. 05 '!D15</f>
        <v>0</v>
      </c>
      <c r="H14" s="37">
        <v>0</v>
      </c>
      <c r="I14" s="34" t="s">
        <v>18</v>
      </c>
      <c r="J14" s="35"/>
      <c r="K14" s="35"/>
      <c r="L14" s="35"/>
      <c r="M14" s="36"/>
      <c r="N14" s="37">
        <f>+'[1]B.F. 00 '!K13+'[1]B.F. 05 '!K15</f>
        <v>0</v>
      </c>
      <c r="O14" s="37">
        <v>0</v>
      </c>
    </row>
    <row r="15" spans="1:20" ht="13.5" customHeight="1" x14ac:dyDescent="0.2">
      <c r="A15" s="34" t="s">
        <v>19</v>
      </c>
      <c r="B15" s="35"/>
      <c r="C15" s="35"/>
      <c r="D15" s="35"/>
      <c r="E15" s="35"/>
      <c r="F15" s="36"/>
      <c r="G15" s="37">
        <f>+'[1]B.F. 00 '!D14+'[1]B.F. 05 '!D16</f>
        <v>0</v>
      </c>
      <c r="H15" s="37">
        <v>0</v>
      </c>
      <c r="I15" s="34" t="s">
        <v>19</v>
      </c>
      <c r="J15" s="35"/>
      <c r="K15" s="35"/>
      <c r="L15" s="35"/>
      <c r="M15" s="36"/>
      <c r="N15" s="37">
        <f>+'[1]B.F. 00 '!K14+'[1]B.F. 05 '!K16</f>
        <v>0</v>
      </c>
      <c r="O15" s="37">
        <v>0</v>
      </c>
    </row>
    <row r="16" spans="1:20" ht="13.5" customHeight="1" x14ac:dyDescent="0.2">
      <c r="A16" s="34" t="s">
        <v>20</v>
      </c>
      <c r="B16" s="35"/>
      <c r="C16" s="35"/>
      <c r="D16" s="35"/>
      <c r="E16" s="35"/>
      <c r="F16" s="36"/>
      <c r="G16" s="37">
        <f>+'[1]B.F. 00 '!D15+'[1]B.F. 05 '!D17</f>
        <v>0</v>
      </c>
      <c r="H16" s="37">
        <v>0</v>
      </c>
      <c r="I16" s="34" t="s">
        <v>20</v>
      </c>
      <c r="J16" s="35"/>
      <c r="K16" s="35"/>
      <c r="L16" s="35"/>
      <c r="M16" s="36"/>
      <c r="N16" s="37">
        <f>+'[1]B.F. 00 '!K15+'[1]B.F. 05 '!K17</f>
        <v>0</v>
      </c>
      <c r="O16" s="37">
        <v>0</v>
      </c>
    </row>
    <row r="17" spans="1:17" ht="13.5" customHeight="1" x14ac:dyDescent="0.2">
      <c r="A17" s="34" t="s">
        <v>21</v>
      </c>
      <c r="B17" s="35"/>
      <c r="C17" s="35"/>
      <c r="D17" s="35"/>
      <c r="E17" s="35"/>
      <c r="F17" s="36"/>
      <c r="G17" s="37">
        <f>-'[1]B.F. 00 '!D16+'[1]B.F. 05 '!D18</f>
        <v>21374450.820000008</v>
      </c>
      <c r="H17" s="37">
        <v>17640666.370000001</v>
      </c>
      <c r="I17" s="34" t="s">
        <v>21</v>
      </c>
      <c r="J17" s="35"/>
      <c r="K17" s="35"/>
      <c r="L17" s="35"/>
      <c r="M17" s="36"/>
      <c r="N17" s="37">
        <f>+'[1]B.F. 00 '!K16+'[1]B.F. 05 '!K18</f>
        <v>44663790.340000004</v>
      </c>
      <c r="O17" s="37">
        <v>53095109.539999999</v>
      </c>
    </row>
    <row r="18" spans="1:17" ht="13.5" customHeight="1" x14ac:dyDescent="0.2">
      <c r="A18" s="34" t="s">
        <v>22</v>
      </c>
      <c r="B18" s="35"/>
      <c r="C18" s="35"/>
      <c r="D18" s="35"/>
      <c r="E18" s="35"/>
      <c r="F18" s="36"/>
      <c r="G18" s="37">
        <f>+'[1]B.F. 00 '!D17+'[1]B.F. 05 '!D19</f>
        <v>0</v>
      </c>
      <c r="H18" s="37">
        <v>0</v>
      </c>
      <c r="I18" s="34" t="s">
        <v>22</v>
      </c>
      <c r="J18" s="35"/>
      <c r="K18" s="35"/>
      <c r="L18" s="35"/>
      <c r="M18" s="36"/>
      <c r="N18" s="37">
        <f>+'[1]B.F. 00 '!K17+'[1]B.F. 05 '!K19</f>
        <v>0</v>
      </c>
      <c r="O18" s="37">
        <v>0</v>
      </c>
    </row>
    <row r="19" spans="1:17" ht="13.5" customHeight="1" x14ac:dyDescent="0.2">
      <c r="A19" s="43" t="s">
        <v>23</v>
      </c>
      <c r="B19" s="44"/>
      <c r="C19" s="44"/>
      <c r="D19" s="44"/>
      <c r="E19" s="44"/>
      <c r="F19" s="45"/>
      <c r="G19" s="46">
        <f>+'[1]B.F. 00 '!D18+'[1]B.F. 05 '!D20</f>
        <v>452198.98</v>
      </c>
      <c r="H19" s="46">
        <v>35755991.159999996</v>
      </c>
      <c r="I19" s="43" t="s">
        <v>23</v>
      </c>
      <c r="J19" s="44"/>
      <c r="K19" s="44"/>
      <c r="L19" s="44"/>
      <c r="M19" s="45"/>
      <c r="N19" s="37">
        <f>+'[1]B.F. 00 '!K18+'[1]B.F. 05 '!K20</f>
        <v>0</v>
      </c>
      <c r="O19" s="46">
        <v>0</v>
      </c>
    </row>
    <row r="20" spans="1:17" ht="16.350000000000001" customHeight="1" x14ac:dyDescent="0.2">
      <c r="A20" s="25" t="s">
        <v>24</v>
      </c>
      <c r="B20" s="26"/>
      <c r="C20" s="26"/>
      <c r="D20" s="26"/>
      <c r="E20" s="26"/>
      <c r="F20" s="27"/>
      <c r="G20" s="47">
        <f>SUM(G21:G24)</f>
        <v>1147499.55</v>
      </c>
      <c r="H20" s="48">
        <v>190791.55</v>
      </c>
      <c r="I20" s="25" t="s">
        <v>25</v>
      </c>
      <c r="J20" s="26"/>
      <c r="K20" s="26"/>
      <c r="L20" s="26"/>
      <c r="M20" s="27"/>
      <c r="N20" s="49">
        <f>SUM(N21:N24)</f>
        <v>11484861.17</v>
      </c>
      <c r="O20" s="50">
        <v>25258696.440000001</v>
      </c>
      <c r="P20" s="4"/>
    </row>
    <row r="21" spans="1:17" ht="13.5" customHeight="1" x14ac:dyDescent="0.2">
      <c r="A21" s="31" t="s">
        <v>26</v>
      </c>
      <c r="B21" s="32"/>
      <c r="C21" s="32"/>
      <c r="D21" s="32"/>
      <c r="E21" s="32"/>
      <c r="F21" s="33"/>
      <c r="G21" s="37">
        <f>'[1]B.F. 00 '!D20+'[1]B.F. 05 '!D22</f>
        <v>1147499.55</v>
      </c>
      <c r="H21" s="37">
        <v>190791.55</v>
      </c>
      <c r="I21" s="31" t="s">
        <v>26</v>
      </c>
      <c r="J21" s="32"/>
      <c r="K21" s="32"/>
      <c r="L21" s="32"/>
      <c r="M21" s="33"/>
      <c r="N21" s="37">
        <f>+'[1]B.F. 00 '!K20+'[1]B.F. 05 '!K22</f>
        <v>11484861.17</v>
      </c>
      <c r="O21" s="37">
        <v>25258696.440000001</v>
      </c>
    </row>
    <row r="22" spans="1:17" ht="13.5" customHeight="1" x14ac:dyDescent="0.2">
      <c r="A22" s="39" t="s">
        <v>27</v>
      </c>
      <c r="B22" s="40"/>
      <c r="C22" s="40"/>
      <c r="D22" s="40"/>
      <c r="E22" s="40"/>
      <c r="F22" s="41"/>
      <c r="G22" s="37">
        <f>+'[1]B.F. 00 '!D21+'[1]B.F. 05 '!D23</f>
        <v>0</v>
      </c>
      <c r="H22" s="37">
        <v>0</v>
      </c>
      <c r="I22" s="39" t="s">
        <v>27</v>
      </c>
      <c r="J22" s="40"/>
      <c r="K22" s="40"/>
      <c r="L22" s="40"/>
      <c r="M22" s="41"/>
      <c r="N22" s="37">
        <f>+'[1]B.F. 00 '!K21+'[1]B.F. 05 '!K23</f>
        <v>0</v>
      </c>
      <c r="O22" s="37">
        <v>0</v>
      </c>
    </row>
    <row r="23" spans="1:17" ht="13.5" customHeight="1" x14ac:dyDescent="0.2">
      <c r="A23" s="39" t="s">
        <v>28</v>
      </c>
      <c r="B23" s="40"/>
      <c r="C23" s="40"/>
      <c r="D23" s="40"/>
      <c r="E23" s="40"/>
      <c r="F23" s="41"/>
      <c r="G23" s="37">
        <f>+'[1]B.F. 00 '!D22+'[1]B.F. 05 '!D24</f>
        <v>0</v>
      </c>
      <c r="H23" s="37">
        <v>0</v>
      </c>
      <c r="I23" s="39" t="s">
        <v>28</v>
      </c>
      <c r="J23" s="40"/>
      <c r="K23" s="40"/>
      <c r="L23" s="40"/>
      <c r="M23" s="41"/>
      <c r="N23" s="37">
        <f>+'[1]B.F. 00 '!K22+'[1]B.F. 05 '!K24</f>
        <v>0</v>
      </c>
      <c r="O23" s="37">
        <v>0</v>
      </c>
    </row>
    <row r="24" spans="1:17" ht="13.5" customHeight="1" x14ac:dyDescent="0.2">
      <c r="A24" s="51" t="s">
        <v>29</v>
      </c>
      <c r="B24" s="52"/>
      <c r="C24" s="52"/>
      <c r="D24" s="52"/>
      <c r="E24" s="52"/>
      <c r="F24" s="53"/>
      <c r="G24" s="37">
        <f>+'[1]B.F. 00 '!D23+'[1]B.F. 05 '!D25</f>
        <v>0</v>
      </c>
      <c r="H24" s="37">
        <v>0</v>
      </c>
      <c r="I24" s="51" t="s">
        <v>29</v>
      </c>
      <c r="J24" s="52"/>
      <c r="K24" s="52"/>
      <c r="L24" s="52"/>
      <c r="M24" s="53"/>
      <c r="N24" s="37">
        <f>+'[1]B.F. 00 '!K23+'[1]B.F. 05 '!K25</f>
        <v>0</v>
      </c>
      <c r="O24" s="37">
        <v>0</v>
      </c>
    </row>
    <row r="25" spans="1:17" ht="16.350000000000001" customHeight="1" x14ac:dyDescent="0.2">
      <c r="A25" s="25" t="s">
        <v>30</v>
      </c>
      <c r="B25" s="26"/>
      <c r="C25" s="26"/>
      <c r="D25" s="26"/>
      <c r="E25" s="26"/>
      <c r="F25" s="27"/>
      <c r="G25" s="49">
        <f>SUBTOTAL(9,G26:G29)</f>
        <v>15128754.559999999</v>
      </c>
      <c r="H25" s="49">
        <v>14664793.270000001</v>
      </c>
      <c r="I25" s="25" t="s">
        <v>31</v>
      </c>
      <c r="J25" s="26"/>
      <c r="K25" s="26"/>
      <c r="L25" s="26"/>
      <c r="M25" s="27"/>
      <c r="N25" s="49">
        <f>SUBTOTAL(9,N26:N29)</f>
        <v>7023422.6299999999</v>
      </c>
      <c r="O25" s="49">
        <v>16464995.35</v>
      </c>
    </row>
    <row r="26" spans="1:17" ht="13.5" customHeight="1" x14ac:dyDescent="0.2">
      <c r="A26" s="31" t="s">
        <v>32</v>
      </c>
      <c r="B26" s="32"/>
      <c r="C26" s="32"/>
      <c r="D26" s="32"/>
      <c r="E26" s="32"/>
      <c r="F26" s="33"/>
      <c r="G26" s="54">
        <f>+'[1]B.F. 00 '!D25+'[1]B.F. 05 '!D28</f>
        <v>2003403.79</v>
      </c>
      <c r="H26" s="55">
        <v>5910130.3100000005</v>
      </c>
      <c r="I26" s="31" t="s">
        <v>33</v>
      </c>
      <c r="J26" s="32"/>
      <c r="K26" s="32"/>
      <c r="L26" s="32"/>
      <c r="M26" s="33"/>
      <c r="N26" s="37">
        <f>+'[1]B.F. 00 '!K25+'[1]B.F. 05 '!K28</f>
        <v>1390063.27</v>
      </c>
      <c r="O26" s="56">
        <v>3031027.99</v>
      </c>
    </row>
    <row r="27" spans="1:17" ht="13.5" customHeight="1" x14ac:dyDescent="0.2">
      <c r="A27" s="39" t="s">
        <v>34</v>
      </c>
      <c r="B27" s="40"/>
      <c r="C27" s="40"/>
      <c r="D27" s="40"/>
      <c r="E27" s="40"/>
      <c r="F27" s="41"/>
      <c r="G27" s="37">
        <f>+'[1]B.F. 00 '!D27+'[1]B.F. 05 '!D30</f>
        <v>8641.73</v>
      </c>
      <c r="H27" s="56">
        <v>152288.07</v>
      </c>
      <c r="I27" s="39" t="s">
        <v>35</v>
      </c>
      <c r="J27" s="40"/>
      <c r="K27" s="40"/>
      <c r="L27" s="40"/>
      <c r="M27" s="41"/>
      <c r="N27" s="37">
        <f>+'[1]B.F. 00 '!K27+'[1]B.F. 05 '!K30</f>
        <v>150253.07</v>
      </c>
      <c r="O27" s="56">
        <v>334917.26999999996</v>
      </c>
    </row>
    <row r="28" spans="1:17" ht="13.5" customHeight="1" x14ac:dyDescent="0.2">
      <c r="A28" s="39" t="s">
        <v>36</v>
      </c>
      <c r="B28" s="40"/>
      <c r="C28" s="40"/>
      <c r="D28" s="40"/>
      <c r="E28" s="40"/>
      <c r="F28" s="41"/>
      <c r="G28" s="37">
        <f>+'[1]B.F. 00 '!D29+'[1]B.F. 05 '!D31</f>
        <v>0</v>
      </c>
      <c r="H28" s="37">
        <v>0</v>
      </c>
      <c r="I28" s="39" t="s">
        <v>36</v>
      </c>
      <c r="J28" s="40"/>
      <c r="K28" s="40"/>
      <c r="L28" s="40"/>
      <c r="M28" s="41"/>
      <c r="N28" s="37">
        <f>+'[1]B.F. 00 '!K29+'[1]B.F. 05 '!K31</f>
        <v>0</v>
      </c>
      <c r="O28" s="37">
        <v>0</v>
      </c>
    </row>
    <row r="29" spans="1:17" ht="13.5" customHeight="1" x14ac:dyDescent="0.2">
      <c r="A29" s="51" t="s">
        <v>37</v>
      </c>
      <c r="B29" s="52"/>
      <c r="C29" s="52"/>
      <c r="D29" s="52"/>
      <c r="E29" s="52"/>
      <c r="F29" s="53"/>
      <c r="G29" s="46">
        <f>+'[1]B.F. 00 '!D30+'[1]B.F. 05 '!D32</f>
        <v>13116709.039999999</v>
      </c>
      <c r="H29" s="57">
        <v>8602374.8900000006</v>
      </c>
      <c r="I29" s="51" t="s">
        <v>38</v>
      </c>
      <c r="J29" s="52"/>
      <c r="K29" s="52"/>
      <c r="L29" s="52"/>
      <c r="M29" s="53"/>
      <c r="N29" s="37">
        <f>+'[1]B.F. 00 '!K30+'[1]B.F. 05 '!K32</f>
        <v>5483106.29</v>
      </c>
      <c r="O29" s="37">
        <v>13099050.09</v>
      </c>
    </row>
    <row r="30" spans="1:17" ht="16.350000000000001" customHeight="1" x14ac:dyDescent="0.2">
      <c r="A30" s="25" t="s">
        <v>39</v>
      </c>
      <c r="B30" s="26"/>
      <c r="C30" s="26"/>
      <c r="D30" s="26"/>
      <c r="E30" s="26"/>
      <c r="F30" s="27"/>
      <c r="G30" s="49">
        <f>SUBTOTAL(9,G31:G32)</f>
        <v>230058548.22</v>
      </c>
      <c r="H30" s="49">
        <v>250461958.19</v>
      </c>
      <c r="I30" s="25" t="s">
        <v>40</v>
      </c>
      <c r="J30" s="26"/>
      <c r="K30" s="26"/>
      <c r="L30" s="26"/>
      <c r="M30" s="27"/>
      <c r="N30" s="49">
        <f>SUM(N31:N32)</f>
        <v>217676440.76999998</v>
      </c>
      <c r="O30" s="49">
        <v>230058548.22</v>
      </c>
      <c r="Q30" s="58"/>
    </row>
    <row r="31" spans="1:17" ht="13.5" customHeight="1" x14ac:dyDescent="0.2">
      <c r="A31" s="31" t="s">
        <v>41</v>
      </c>
      <c r="B31" s="32"/>
      <c r="C31" s="32"/>
      <c r="D31" s="32"/>
      <c r="E31" s="32"/>
      <c r="F31" s="33"/>
      <c r="G31" s="59">
        <f>+'[1]B.F. 05 '!D35</f>
        <v>230058548.22</v>
      </c>
      <c r="H31" s="60">
        <v>250461958.19</v>
      </c>
      <c r="I31" s="31" t="s">
        <v>41</v>
      </c>
      <c r="J31" s="32"/>
      <c r="K31" s="32"/>
      <c r="L31" s="32"/>
      <c r="M31" s="33"/>
      <c r="N31" s="59">
        <f>+'[1]B.F. 00 '!K33+'[1]B.F. 05 '!K35</f>
        <v>217676440.76999998</v>
      </c>
      <c r="O31" s="59">
        <v>230058548.22</v>
      </c>
    </row>
    <row r="32" spans="1:17" ht="13.5" customHeight="1" x14ac:dyDescent="0.2">
      <c r="A32" s="51" t="s">
        <v>36</v>
      </c>
      <c r="B32" s="52"/>
      <c r="C32" s="52"/>
      <c r="D32" s="52"/>
      <c r="E32" s="52"/>
      <c r="F32" s="53"/>
      <c r="G32" s="61">
        <v>0</v>
      </c>
      <c r="H32" s="61">
        <v>0</v>
      </c>
      <c r="I32" s="51" t="s">
        <v>36</v>
      </c>
      <c r="J32" s="52"/>
      <c r="K32" s="52"/>
      <c r="L32" s="52"/>
      <c r="M32" s="53"/>
      <c r="N32" s="62"/>
      <c r="O32" s="62"/>
      <c r="P32" s="63"/>
      <c r="Q32" s="64"/>
    </row>
    <row r="33" spans="1:255" ht="16.350000000000001" customHeight="1" x14ac:dyDescent="0.2">
      <c r="A33" s="25" t="s">
        <v>42</v>
      </c>
      <c r="B33" s="26"/>
      <c r="C33" s="26"/>
      <c r="D33" s="26"/>
      <c r="E33" s="26"/>
      <c r="F33" s="27"/>
      <c r="G33" s="65">
        <f>G7+G20+G25+G30</f>
        <v>282001361.34000003</v>
      </c>
      <c r="H33" s="65">
        <v>325448830.83999997</v>
      </c>
      <c r="I33" s="25" t="s">
        <v>43</v>
      </c>
      <c r="J33" s="26"/>
      <c r="K33" s="26"/>
      <c r="L33" s="26"/>
      <c r="M33" s="27"/>
      <c r="N33" s="65">
        <f>N7+N20+N25+N30</f>
        <v>282001361.33999997</v>
      </c>
      <c r="O33" s="65">
        <v>325448830.83999997</v>
      </c>
      <c r="P33" s="66"/>
      <c r="Q33" s="67"/>
    </row>
    <row r="34" spans="1:255" s="73" customFormat="1" ht="15.75" customHeight="1" x14ac:dyDescent="0.2">
      <c r="A34" s="68" t="s">
        <v>44</v>
      </c>
      <c r="B34" s="69"/>
      <c r="C34" s="69"/>
      <c r="D34" s="69"/>
      <c r="E34" s="70"/>
      <c r="F34" s="70"/>
      <c r="G34" s="70"/>
      <c r="H34" s="70"/>
      <c r="I34" s="69"/>
      <c r="J34" s="69"/>
      <c r="K34" s="69"/>
      <c r="L34" s="70"/>
      <c r="M34" s="70"/>
      <c r="N34" s="71"/>
      <c r="O34" s="72"/>
    </row>
    <row r="35" spans="1:255" s="73" customFormat="1" ht="12.75" customHeight="1" x14ac:dyDescent="0.2">
      <c r="A35" s="74" t="s">
        <v>45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76"/>
      <c r="O35" s="72"/>
    </row>
    <row r="36" spans="1:255" s="72" customFormat="1" ht="14.25" customHeight="1" x14ac:dyDescent="0.2">
      <c r="A36" s="77" t="s">
        <v>46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8"/>
    </row>
    <row r="37" spans="1:255" s="79" customFormat="1" ht="14.25" customHeight="1" x14ac:dyDescent="0.2">
      <c r="A37" s="77" t="s">
        <v>47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8"/>
      <c r="O37" s="72"/>
    </row>
    <row r="38" spans="1:255" s="79" customFormat="1" ht="14.25" customHeight="1" x14ac:dyDescent="0.2">
      <c r="A38" s="77" t="s">
        <v>48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8"/>
      <c r="O38" s="72"/>
    </row>
    <row r="39" spans="1:255" s="79" customFormat="1" ht="14.25" customHeight="1" x14ac:dyDescent="0.2">
      <c r="A39" s="80" t="s">
        <v>49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72"/>
    </row>
    <row r="40" spans="1:255" s="79" customFormat="1" ht="14.25" customHeight="1" x14ac:dyDescent="0.2">
      <c r="A40" s="80" t="s">
        <v>50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</row>
    <row r="41" spans="1:255" s="79" customFormat="1" ht="14.25" customHeight="1" x14ac:dyDescent="0.2">
      <c r="A41" s="81" t="s">
        <v>51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72"/>
      <c r="P41" s="83"/>
    </row>
    <row r="42" spans="1:255" s="79" customFormat="1" ht="14.25" customHeight="1" x14ac:dyDescent="0.2">
      <c r="A42" s="80" t="s">
        <v>52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2"/>
      <c r="O42" s="72"/>
      <c r="P42" s="83"/>
    </row>
    <row r="43" spans="1:255" s="79" customFormat="1" ht="14.25" customHeight="1" x14ac:dyDescent="0.2">
      <c r="A43" s="80" t="s">
        <v>53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72"/>
      <c r="P43" s="83"/>
    </row>
    <row r="44" spans="1:255" s="79" customFormat="1" ht="14.25" customHeight="1" x14ac:dyDescent="0.2">
      <c r="A44" s="81" t="s">
        <v>54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4"/>
      <c r="O44" s="82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</row>
    <row r="45" spans="1:255" s="79" customFormat="1" ht="14.25" customHeight="1" x14ac:dyDescent="0.2">
      <c r="A45" s="80" t="s">
        <v>55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2"/>
      <c r="O45" s="72"/>
      <c r="P45" s="83"/>
    </row>
    <row r="46" spans="1:255" s="87" customFormat="1" ht="14.25" customHeight="1" x14ac:dyDescent="0.2">
      <c r="A46" s="80" t="s">
        <v>56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6"/>
    </row>
    <row r="47" spans="1:255" s="87" customFormat="1" ht="14.25" customHeight="1" x14ac:dyDescent="0.2">
      <c r="A47" s="81" t="s">
        <v>57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4"/>
      <c r="O47" s="72"/>
      <c r="P47" s="86"/>
    </row>
    <row r="48" spans="1:255" s="87" customFormat="1" ht="14.25" customHeight="1" x14ac:dyDescent="0.2">
      <c r="A48" s="80" t="s">
        <v>58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6"/>
    </row>
    <row r="49" spans="1:255" s="87" customFormat="1" ht="14.25" customHeight="1" x14ac:dyDescent="0.2">
      <c r="A49" s="78" t="s">
        <v>59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6"/>
    </row>
    <row r="50" spans="1:255" s="87" customFormat="1" ht="14.25" customHeight="1" x14ac:dyDescent="0.2">
      <c r="A50" s="80" t="s">
        <v>60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</row>
    <row r="51" spans="1:255" s="79" customFormat="1" ht="14.25" customHeight="1" x14ac:dyDescent="0.2">
      <c r="A51" s="80" t="s">
        <v>61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4"/>
      <c r="N51" s="84"/>
      <c r="O51" s="72"/>
      <c r="P51" s="88"/>
    </row>
    <row r="52" spans="1:255" s="79" customFormat="1" ht="14.25" customHeight="1" x14ac:dyDescent="0.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72"/>
      <c r="P52" s="88"/>
    </row>
    <row r="53" spans="1:255" s="79" customFormat="1" ht="14.25" customHeight="1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72"/>
      <c r="P53" s="88"/>
    </row>
    <row r="54" spans="1:255" s="73" customFormat="1" ht="11.25" customHeight="1" x14ac:dyDescent="0.2">
      <c r="A54" s="89"/>
      <c r="B54" s="89"/>
      <c r="C54" s="90"/>
      <c r="D54" s="90"/>
      <c r="E54" s="90"/>
      <c r="F54" s="89"/>
      <c r="G54" s="91"/>
      <c r="H54" s="90"/>
      <c r="I54" s="92" t="s">
        <v>62</v>
      </c>
      <c r="J54" s="92"/>
      <c r="K54" s="91"/>
      <c r="L54" s="91"/>
      <c r="M54" s="92"/>
      <c r="N54" s="90" t="s">
        <v>63</v>
      </c>
      <c r="O54" s="93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4"/>
      <c r="ER54" s="94"/>
      <c r="ES54" s="94"/>
      <c r="ET54" s="94"/>
      <c r="EU54" s="94"/>
      <c r="EV54" s="94"/>
      <c r="EW54" s="94"/>
      <c r="EX54" s="94"/>
      <c r="EY54" s="94"/>
      <c r="EZ54" s="94"/>
      <c r="FA54" s="94"/>
      <c r="FB54" s="94"/>
      <c r="FC54" s="94"/>
      <c r="FD54" s="94"/>
      <c r="FE54" s="94"/>
      <c r="FF54" s="94"/>
      <c r="FG54" s="94"/>
      <c r="FH54" s="94"/>
      <c r="FI54" s="94"/>
      <c r="FJ54" s="94"/>
      <c r="FK54" s="94"/>
      <c r="FL54" s="94"/>
      <c r="FM54" s="94"/>
      <c r="FN54" s="94"/>
      <c r="FO54" s="94"/>
      <c r="FP54" s="94"/>
      <c r="FQ54" s="94"/>
      <c r="FR54" s="94"/>
      <c r="FS54" s="94"/>
      <c r="FT54" s="94"/>
      <c r="FU54" s="94"/>
      <c r="FV54" s="94"/>
      <c r="FW54" s="94"/>
      <c r="FX54" s="94"/>
      <c r="FY54" s="94"/>
      <c r="FZ54" s="94"/>
      <c r="GA54" s="94"/>
      <c r="GB54" s="94"/>
      <c r="GC54" s="94"/>
      <c r="GD54" s="94"/>
      <c r="GE54" s="94"/>
      <c r="GF54" s="94"/>
      <c r="GG54" s="94"/>
      <c r="GH54" s="94"/>
      <c r="GI54" s="94"/>
      <c r="GJ54" s="94"/>
      <c r="GK54" s="94"/>
      <c r="GL54" s="94"/>
      <c r="GM54" s="94"/>
      <c r="GN54" s="94"/>
      <c r="GO54" s="94"/>
      <c r="GP54" s="94"/>
      <c r="GQ54" s="94"/>
      <c r="GR54" s="94"/>
      <c r="GS54" s="94"/>
      <c r="GT54" s="94"/>
      <c r="GU54" s="94"/>
      <c r="GV54" s="94"/>
      <c r="GW54" s="94"/>
      <c r="GX54" s="94"/>
      <c r="GY54" s="94"/>
      <c r="GZ54" s="94"/>
      <c r="HA54" s="94"/>
      <c r="HB54" s="94"/>
      <c r="HC54" s="94"/>
      <c r="HD54" s="94"/>
      <c r="HE54" s="94"/>
      <c r="HF54" s="94"/>
      <c r="HG54" s="94"/>
      <c r="HH54" s="94"/>
      <c r="HI54" s="94"/>
      <c r="HJ54" s="94"/>
      <c r="HK54" s="94"/>
      <c r="HL54" s="94"/>
      <c r="HM54" s="94"/>
      <c r="HN54" s="94"/>
      <c r="HO54" s="94"/>
      <c r="HP54" s="94"/>
      <c r="HQ54" s="94"/>
      <c r="HR54" s="94"/>
      <c r="HS54" s="94"/>
      <c r="HT54" s="94"/>
      <c r="HU54" s="94"/>
      <c r="HV54" s="94"/>
      <c r="HW54" s="94"/>
      <c r="HX54" s="94"/>
      <c r="HY54" s="94"/>
      <c r="HZ54" s="94"/>
      <c r="IA54" s="94"/>
      <c r="IB54" s="94"/>
      <c r="IC54" s="94"/>
      <c r="ID54" s="94"/>
      <c r="IE54" s="94"/>
      <c r="IF54" s="94"/>
      <c r="IG54" s="94"/>
      <c r="IH54" s="94"/>
      <c r="II54" s="94"/>
      <c r="IJ54" s="94"/>
      <c r="IK54" s="94"/>
      <c r="IL54" s="94"/>
      <c r="IM54" s="94"/>
      <c r="IN54" s="94"/>
      <c r="IO54" s="94"/>
      <c r="IP54" s="94"/>
      <c r="IQ54" s="94"/>
      <c r="IR54" s="94"/>
      <c r="IS54" s="94"/>
      <c r="IT54" s="94"/>
      <c r="IU54" s="94"/>
    </row>
    <row r="55" spans="1:255" s="99" customFormat="1" ht="13.5" customHeight="1" x14ac:dyDescent="0.2">
      <c r="A55" s="90"/>
      <c r="B55" s="90"/>
      <c r="C55" s="95"/>
      <c r="D55" s="95"/>
      <c r="E55" s="95"/>
      <c r="F55" s="90"/>
      <c r="G55" s="96"/>
      <c r="H55" s="97"/>
      <c r="I55" s="95" t="s">
        <v>64</v>
      </c>
      <c r="J55" s="95"/>
      <c r="K55" s="96"/>
      <c r="L55" s="96"/>
      <c r="M55" s="95"/>
      <c r="N55" s="95" t="s">
        <v>65</v>
      </c>
      <c r="O55" s="98"/>
    </row>
    <row r="56" spans="1:255" ht="13.5" customHeight="1" x14ac:dyDescent="0.2">
      <c r="A56" s="89"/>
      <c r="B56" s="89"/>
      <c r="C56" s="97"/>
      <c r="D56" s="97"/>
      <c r="E56" s="97"/>
      <c r="F56" s="89"/>
      <c r="G56" s="63"/>
      <c r="I56" s="97" t="s">
        <v>66</v>
      </c>
      <c r="J56" s="97"/>
      <c r="K56" s="63"/>
      <c r="L56" s="63"/>
      <c r="M56" s="97"/>
      <c r="N56" s="100" t="s">
        <v>67</v>
      </c>
      <c r="O56" s="101"/>
    </row>
    <row r="57" spans="1:255" ht="13.5" customHeight="1" x14ac:dyDescent="0.2">
      <c r="A57" s="89"/>
      <c r="B57" s="89"/>
      <c r="C57" s="89"/>
      <c r="D57" s="89"/>
      <c r="E57" s="89"/>
      <c r="F57" s="89"/>
      <c r="G57" s="63"/>
      <c r="H57" s="89"/>
      <c r="I57" s="97" t="s">
        <v>68</v>
      </c>
      <c r="J57" s="97"/>
      <c r="K57" s="63"/>
      <c r="L57" s="63"/>
      <c r="M57" s="97"/>
      <c r="N57" s="97" t="s">
        <v>68</v>
      </c>
      <c r="O57" s="102"/>
    </row>
    <row r="58" spans="1:255" ht="13.5" customHeight="1" x14ac:dyDescent="0.2">
      <c r="A58" s="63"/>
      <c r="B58" s="63"/>
      <c r="C58" s="63"/>
      <c r="D58" s="63"/>
      <c r="E58" s="63"/>
      <c r="F58" s="63"/>
      <c r="G58" s="63"/>
      <c r="H58" s="63"/>
      <c r="J58" s="63"/>
      <c r="K58" s="63"/>
      <c r="L58" s="63"/>
      <c r="M58" s="63"/>
      <c r="N58" s="63"/>
      <c r="O58" s="102"/>
    </row>
    <row r="59" spans="1:255" ht="13.5" customHeight="1" x14ac:dyDescent="0.2">
      <c r="N59" s="2"/>
    </row>
    <row r="61" spans="1:255" ht="13.5" customHeight="1" x14ac:dyDescent="0.2">
      <c r="E61" s="103"/>
      <c r="F61" s="99"/>
      <c r="G61" s="99"/>
      <c r="H61" s="99"/>
      <c r="I61" s="99"/>
      <c r="J61" s="99"/>
      <c r="K61" s="99"/>
    </row>
    <row r="63" spans="1:255" ht="13.5" customHeight="1" x14ac:dyDescent="0.2">
      <c r="B63" s="4"/>
    </row>
    <row r="64" spans="1:255" ht="11.25" customHeight="1" x14ac:dyDescent="0.2">
      <c r="B64" s="105"/>
    </row>
    <row r="65" spans="1:14" ht="24" customHeight="1" x14ac:dyDescent="0.2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</row>
    <row r="66" spans="1:14" ht="34.5" customHeight="1" x14ac:dyDescent="0.2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</row>
  </sheetData>
  <mergeCells count="78">
    <mergeCell ref="A48:O48"/>
    <mergeCell ref="A50:O50"/>
    <mergeCell ref="A51:L51"/>
    <mergeCell ref="A65:N65"/>
    <mergeCell ref="A66:N66"/>
    <mergeCell ref="A42:M42"/>
    <mergeCell ref="A43:N43"/>
    <mergeCell ref="A44:M44"/>
    <mergeCell ref="A45:M45"/>
    <mergeCell ref="A46:O46"/>
    <mergeCell ref="A47:M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DBCE-4511-48DC-B0C0-9E8EC0879C8F}">
  <sheetPr codeName="Plan10">
    <tabColor indexed="42"/>
    <pageSetUpPr fitToPage="1"/>
  </sheetPr>
  <dimension ref="A1:P80"/>
  <sheetViews>
    <sheetView zoomScale="110" zoomScaleNormal="110" workbookViewId="0">
      <pane ySplit="8" topLeftCell="A45" activePane="bottomLeft" state="frozen"/>
      <selection activeCell="G19" sqref="G19"/>
      <selection pane="bottomLeft" activeCell="I63" sqref="I63:J66"/>
    </sheetView>
  </sheetViews>
  <sheetFormatPr defaultRowHeight="15" x14ac:dyDescent="0.25"/>
  <cols>
    <col min="1" max="1" width="49.140625" style="109" bestFit="1" customWidth="1"/>
    <col min="2" max="5" width="18" style="109" customWidth="1"/>
    <col min="6" max="6" width="22.140625" style="109" bestFit="1" customWidth="1"/>
    <col min="7" max="7" width="25.7109375" style="109" customWidth="1"/>
    <col min="8" max="8" width="9.140625" style="109" customWidth="1"/>
    <col min="9" max="9" width="16.140625" style="111" customWidth="1"/>
    <col min="10" max="13" width="9.140625" style="109" customWidth="1"/>
    <col min="14" max="14" width="1.28515625" style="109" customWidth="1"/>
    <col min="15" max="256" width="9.140625" style="109"/>
    <col min="257" max="257" width="49.140625" style="109" bestFit="1" customWidth="1"/>
    <col min="258" max="261" width="18" style="109" customWidth="1"/>
    <col min="262" max="262" width="22.140625" style="109" bestFit="1" customWidth="1"/>
    <col min="263" max="263" width="25.7109375" style="109" customWidth="1"/>
    <col min="264" max="264" width="9.140625" style="109"/>
    <col min="265" max="265" width="16.140625" style="109" customWidth="1"/>
    <col min="266" max="269" width="9.140625" style="109"/>
    <col min="270" max="270" width="1.28515625" style="109" customWidth="1"/>
    <col min="271" max="512" width="9.140625" style="109"/>
    <col min="513" max="513" width="49.140625" style="109" bestFit="1" customWidth="1"/>
    <col min="514" max="517" width="18" style="109" customWidth="1"/>
    <col min="518" max="518" width="22.140625" style="109" bestFit="1" customWidth="1"/>
    <col min="519" max="519" width="25.7109375" style="109" customWidth="1"/>
    <col min="520" max="520" width="9.140625" style="109"/>
    <col min="521" max="521" width="16.140625" style="109" customWidth="1"/>
    <col min="522" max="525" width="9.140625" style="109"/>
    <col min="526" max="526" width="1.28515625" style="109" customWidth="1"/>
    <col min="527" max="768" width="9.140625" style="109"/>
    <col min="769" max="769" width="49.140625" style="109" bestFit="1" customWidth="1"/>
    <col min="770" max="773" width="18" style="109" customWidth="1"/>
    <col min="774" max="774" width="22.140625" style="109" bestFit="1" customWidth="1"/>
    <col min="775" max="775" width="25.7109375" style="109" customWidth="1"/>
    <col min="776" max="776" width="9.140625" style="109"/>
    <col min="777" max="777" width="16.140625" style="109" customWidth="1"/>
    <col min="778" max="781" width="9.140625" style="109"/>
    <col min="782" max="782" width="1.28515625" style="109" customWidth="1"/>
    <col min="783" max="1024" width="9.140625" style="109"/>
    <col min="1025" max="1025" width="49.140625" style="109" bestFit="1" customWidth="1"/>
    <col min="1026" max="1029" width="18" style="109" customWidth="1"/>
    <col min="1030" max="1030" width="22.140625" style="109" bestFit="1" customWidth="1"/>
    <col min="1031" max="1031" width="25.7109375" style="109" customWidth="1"/>
    <col min="1032" max="1032" width="9.140625" style="109"/>
    <col min="1033" max="1033" width="16.140625" style="109" customWidth="1"/>
    <col min="1034" max="1037" width="9.140625" style="109"/>
    <col min="1038" max="1038" width="1.28515625" style="109" customWidth="1"/>
    <col min="1039" max="1280" width="9.140625" style="109"/>
    <col min="1281" max="1281" width="49.140625" style="109" bestFit="1" customWidth="1"/>
    <col min="1282" max="1285" width="18" style="109" customWidth="1"/>
    <col min="1286" max="1286" width="22.140625" style="109" bestFit="1" customWidth="1"/>
    <col min="1287" max="1287" width="25.7109375" style="109" customWidth="1"/>
    <col min="1288" max="1288" width="9.140625" style="109"/>
    <col min="1289" max="1289" width="16.140625" style="109" customWidth="1"/>
    <col min="1290" max="1293" width="9.140625" style="109"/>
    <col min="1294" max="1294" width="1.28515625" style="109" customWidth="1"/>
    <col min="1295" max="1536" width="9.140625" style="109"/>
    <col min="1537" max="1537" width="49.140625" style="109" bestFit="1" customWidth="1"/>
    <col min="1538" max="1541" width="18" style="109" customWidth="1"/>
    <col min="1542" max="1542" width="22.140625" style="109" bestFit="1" customWidth="1"/>
    <col min="1543" max="1543" width="25.7109375" style="109" customWidth="1"/>
    <col min="1544" max="1544" width="9.140625" style="109"/>
    <col min="1545" max="1545" width="16.140625" style="109" customWidth="1"/>
    <col min="1546" max="1549" width="9.140625" style="109"/>
    <col min="1550" max="1550" width="1.28515625" style="109" customWidth="1"/>
    <col min="1551" max="1792" width="9.140625" style="109"/>
    <col min="1793" max="1793" width="49.140625" style="109" bestFit="1" customWidth="1"/>
    <col min="1794" max="1797" width="18" style="109" customWidth="1"/>
    <col min="1798" max="1798" width="22.140625" style="109" bestFit="1" customWidth="1"/>
    <col min="1799" max="1799" width="25.7109375" style="109" customWidth="1"/>
    <col min="1800" max="1800" width="9.140625" style="109"/>
    <col min="1801" max="1801" width="16.140625" style="109" customWidth="1"/>
    <col min="1802" max="1805" width="9.140625" style="109"/>
    <col min="1806" max="1806" width="1.28515625" style="109" customWidth="1"/>
    <col min="1807" max="2048" width="9.140625" style="109"/>
    <col min="2049" max="2049" width="49.140625" style="109" bestFit="1" customWidth="1"/>
    <col min="2050" max="2053" width="18" style="109" customWidth="1"/>
    <col min="2054" max="2054" width="22.140625" style="109" bestFit="1" customWidth="1"/>
    <col min="2055" max="2055" width="25.7109375" style="109" customWidth="1"/>
    <col min="2056" max="2056" width="9.140625" style="109"/>
    <col min="2057" max="2057" width="16.140625" style="109" customWidth="1"/>
    <col min="2058" max="2061" width="9.140625" style="109"/>
    <col min="2062" max="2062" width="1.28515625" style="109" customWidth="1"/>
    <col min="2063" max="2304" width="9.140625" style="109"/>
    <col min="2305" max="2305" width="49.140625" style="109" bestFit="1" customWidth="1"/>
    <col min="2306" max="2309" width="18" style="109" customWidth="1"/>
    <col min="2310" max="2310" width="22.140625" style="109" bestFit="1" customWidth="1"/>
    <col min="2311" max="2311" width="25.7109375" style="109" customWidth="1"/>
    <col min="2312" max="2312" width="9.140625" style="109"/>
    <col min="2313" max="2313" width="16.140625" style="109" customWidth="1"/>
    <col min="2314" max="2317" width="9.140625" style="109"/>
    <col min="2318" max="2318" width="1.28515625" style="109" customWidth="1"/>
    <col min="2319" max="2560" width="9.140625" style="109"/>
    <col min="2561" max="2561" width="49.140625" style="109" bestFit="1" customWidth="1"/>
    <col min="2562" max="2565" width="18" style="109" customWidth="1"/>
    <col min="2566" max="2566" width="22.140625" style="109" bestFit="1" customWidth="1"/>
    <col min="2567" max="2567" width="25.7109375" style="109" customWidth="1"/>
    <col min="2568" max="2568" width="9.140625" style="109"/>
    <col min="2569" max="2569" width="16.140625" style="109" customWidth="1"/>
    <col min="2570" max="2573" width="9.140625" style="109"/>
    <col min="2574" max="2574" width="1.28515625" style="109" customWidth="1"/>
    <col min="2575" max="2816" width="9.140625" style="109"/>
    <col min="2817" max="2817" width="49.140625" style="109" bestFit="1" customWidth="1"/>
    <col min="2818" max="2821" width="18" style="109" customWidth="1"/>
    <col min="2822" max="2822" width="22.140625" style="109" bestFit="1" customWidth="1"/>
    <col min="2823" max="2823" width="25.7109375" style="109" customWidth="1"/>
    <col min="2824" max="2824" width="9.140625" style="109"/>
    <col min="2825" max="2825" width="16.140625" style="109" customWidth="1"/>
    <col min="2826" max="2829" width="9.140625" style="109"/>
    <col min="2830" max="2830" width="1.28515625" style="109" customWidth="1"/>
    <col min="2831" max="3072" width="9.140625" style="109"/>
    <col min="3073" max="3073" width="49.140625" style="109" bestFit="1" customWidth="1"/>
    <col min="3074" max="3077" width="18" style="109" customWidth="1"/>
    <col min="3078" max="3078" width="22.140625" style="109" bestFit="1" customWidth="1"/>
    <col min="3079" max="3079" width="25.7109375" style="109" customWidth="1"/>
    <col min="3080" max="3080" width="9.140625" style="109"/>
    <col min="3081" max="3081" width="16.140625" style="109" customWidth="1"/>
    <col min="3082" max="3085" width="9.140625" style="109"/>
    <col min="3086" max="3086" width="1.28515625" style="109" customWidth="1"/>
    <col min="3087" max="3328" width="9.140625" style="109"/>
    <col min="3329" max="3329" width="49.140625" style="109" bestFit="1" customWidth="1"/>
    <col min="3330" max="3333" width="18" style="109" customWidth="1"/>
    <col min="3334" max="3334" width="22.140625" style="109" bestFit="1" customWidth="1"/>
    <col min="3335" max="3335" width="25.7109375" style="109" customWidth="1"/>
    <col min="3336" max="3336" width="9.140625" style="109"/>
    <col min="3337" max="3337" width="16.140625" style="109" customWidth="1"/>
    <col min="3338" max="3341" width="9.140625" style="109"/>
    <col min="3342" max="3342" width="1.28515625" style="109" customWidth="1"/>
    <col min="3343" max="3584" width="9.140625" style="109"/>
    <col min="3585" max="3585" width="49.140625" style="109" bestFit="1" customWidth="1"/>
    <col min="3586" max="3589" width="18" style="109" customWidth="1"/>
    <col min="3590" max="3590" width="22.140625" style="109" bestFit="1" customWidth="1"/>
    <col min="3591" max="3591" width="25.7109375" style="109" customWidth="1"/>
    <col min="3592" max="3592" width="9.140625" style="109"/>
    <col min="3593" max="3593" width="16.140625" style="109" customWidth="1"/>
    <col min="3594" max="3597" width="9.140625" style="109"/>
    <col min="3598" max="3598" width="1.28515625" style="109" customWidth="1"/>
    <col min="3599" max="3840" width="9.140625" style="109"/>
    <col min="3841" max="3841" width="49.140625" style="109" bestFit="1" customWidth="1"/>
    <col min="3842" max="3845" width="18" style="109" customWidth="1"/>
    <col min="3846" max="3846" width="22.140625" style="109" bestFit="1" customWidth="1"/>
    <col min="3847" max="3847" width="25.7109375" style="109" customWidth="1"/>
    <col min="3848" max="3848" width="9.140625" style="109"/>
    <col min="3849" max="3849" width="16.140625" style="109" customWidth="1"/>
    <col min="3850" max="3853" width="9.140625" style="109"/>
    <col min="3854" max="3854" width="1.28515625" style="109" customWidth="1"/>
    <col min="3855" max="4096" width="9.140625" style="109"/>
    <col min="4097" max="4097" width="49.140625" style="109" bestFit="1" customWidth="1"/>
    <col min="4098" max="4101" width="18" style="109" customWidth="1"/>
    <col min="4102" max="4102" width="22.140625" style="109" bestFit="1" customWidth="1"/>
    <col min="4103" max="4103" width="25.7109375" style="109" customWidth="1"/>
    <col min="4104" max="4104" width="9.140625" style="109"/>
    <col min="4105" max="4105" width="16.140625" style="109" customWidth="1"/>
    <col min="4106" max="4109" width="9.140625" style="109"/>
    <col min="4110" max="4110" width="1.28515625" style="109" customWidth="1"/>
    <col min="4111" max="4352" width="9.140625" style="109"/>
    <col min="4353" max="4353" width="49.140625" style="109" bestFit="1" customWidth="1"/>
    <col min="4354" max="4357" width="18" style="109" customWidth="1"/>
    <col min="4358" max="4358" width="22.140625" style="109" bestFit="1" customWidth="1"/>
    <col min="4359" max="4359" width="25.7109375" style="109" customWidth="1"/>
    <col min="4360" max="4360" width="9.140625" style="109"/>
    <col min="4361" max="4361" width="16.140625" style="109" customWidth="1"/>
    <col min="4362" max="4365" width="9.140625" style="109"/>
    <col min="4366" max="4366" width="1.28515625" style="109" customWidth="1"/>
    <col min="4367" max="4608" width="9.140625" style="109"/>
    <col min="4609" max="4609" width="49.140625" style="109" bestFit="1" customWidth="1"/>
    <col min="4610" max="4613" width="18" style="109" customWidth="1"/>
    <col min="4614" max="4614" width="22.140625" style="109" bestFit="1" customWidth="1"/>
    <col min="4615" max="4615" width="25.7109375" style="109" customWidth="1"/>
    <col min="4616" max="4616" width="9.140625" style="109"/>
    <col min="4617" max="4617" width="16.140625" style="109" customWidth="1"/>
    <col min="4618" max="4621" width="9.140625" style="109"/>
    <col min="4622" max="4622" width="1.28515625" style="109" customWidth="1"/>
    <col min="4623" max="4864" width="9.140625" style="109"/>
    <col min="4865" max="4865" width="49.140625" style="109" bestFit="1" customWidth="1"/>
    <col min="4866" max="4869" width="18" style="109" customWidth="1"/>
    <col min="4870" max="4870" width="22.140625" style="109" bestFit="1" customWidth="1"/>
    <col min="4871" max="4871" width="25.7109375" style="109" customWidth="1"/>
    <col min="4872" max="4872" width="9.140625" style="109"/>
    <col min="4873" max="4873" width="16.140625" style="109" customWidth="1"/>
    <col min="4874" max="4877" width="9.140625" style="109"/>
    <col min="4878" max="4878" width="1.28515625" style="109" customWidth="1"/>
    <col min="4879" max="5120" width="9.140625" style="109"/>
    <col min="5121" max="5121" width="49.140625" style="109" bestFit="1" customWidth="1"/>
    <col min="5122" max="5125" width="18" style="109" customWidth="1"/>
    <col min="5126" max="5126" width="22.140625" style="109" bestFit="1" customWidth="1"/>
    <col min="5127" max="5127" width="25.7109375" style="109" customWidth="1"/>
    <col min="5128" max="5128" width="9.140625" style="109"/>
    <col min="5129" max="5129" width="16.140625" style="109" customWidth="1"/>
    <col min="5130" max="5133" width="9.140625" style="109"/>
    <col min="5134" max="5134" width="1.28515625" style="109" customWidth="1"/>
    <col min="5135" max="5376" width="9.140625" style="109"/>
    <col min="5377" max="5377" width="49.140625" style="109" bestFit="1" customWidth="1"/>
    <col min="5378" max="5381" width="18" style="109" customWidth="1"/>
    <col min="5382" max="5382" width="22.140625" style="109" bestFit="1" customWidth="1"/>
    <col min="5383" max="5383" width="25.7109375" style="109" customWidth="1"/>
    <col min="5384" max="5384" width="9.140625" style="109"/>
    <col min="5385" max="5385" width="16.140625" style="109" customWidth="1"/>
    <col min="5386" max="5389" width="9.140625" style="109"/>
    <col min="5390" max="5390" width="1.28515625" style="109" customWidth="1"/>
    <col min="5391" max="5632" width="9.140625" style="109"/>
    <col min="5633" max="5633" width="49.140625" style="109" bestFit="1" customWidth="1"/>
    <col min="5634" max="5637" width="18" style="109" customWidth="1"/>
    <col min="5638" max="5638" width="22.140625" style="109" bestFit="1" customWidth="1"/>
    <col min="5639" max="5639" width="25.7109375" style="109" customWidth="1"/>
    <col min="5640" max="5640" width="9.140625" style="109"/>
    <col min="5641" max="5641" width="16.140625" style="109" customWidth="1"/>
    <col min="5642" max="5645" width="9.140625" style="109"/>
    <col min="5646" max="5646" width="1.28515625" style="109" customWidth="1"/>
    <col min="5647" max="5888" width="9.140625" style="109"/>
    <col min="5889" max="5889" width="49.140625" style="109" bestFit="1" customWidth="1"/>
    <col min="5890" max="5893" width="18" style="109" customWidth="1"/>
    <col min="5894" max="5894" width="22.140625" style="109" bestFit="1" customWidth="1"/>
    <col min="5895" max="5895" width="25.7109375" style="109" customWidth="1"/>
    <col min="5896" max="5896" width="9.140625" style="109"/>
    <col min="5897" max="5897" width="16.140625" style="109" customWidth="1"/>
    <col min="5898" max="5901" width="9.140625" style="109"/>
    <col min="5902" max="5902" width="1.28515625" style="109" customWidth="1"/>
    <col min="5903" max="6144" width="9.140625" style="109"/>
    <col min="6145" max="6145" width="49.140625" style="109" bestFit="1" customWidth="1"/>
    <col min="6146" max="6149" width="18" style="109" customWidth="1"/>
    <col min="6150" max="6150" width="22.140625" style="109" bestFit="1" customWidth="1"/>
    <col min="6151" max="6151" width="25.7109375" style="109" customWidth="1"/>
    <col min="6152" max="6152" width="9.140625" style="109"/>
    <col min="6153" max="6153" width="16.140625" style="109" customWidth="1"/>
    <col min="6154" max="6157" width="9.140625" style="109"/>
    <col min="6158" max="6158" width="1.28515625" style="109" customWidth="1"/>
    <col min="6159" max="6400" width="9.140625" style="109"/>
    <col min="6401" max="6401" width="49.140625" style="109" bestFit="1" customWidth="1"/>
    <col min="6402" max="6405" width="18" style="109" customWidth="1"/>
    <col min="6406" max="6406" width="22.140625" style="109" bestFit="1" customWidth="1"/>
    <col min="6407" max="6407" width="25.7109375" style="109" customWidth="1"/>
    <col min="6408" max="6408" width="9.140625" style="109"/>
    <col min="6409" max="6409" width="16.140625" style="109" customWidth="1"/>
    <col min="6410" max="6413" width="9.140625" style="109"/>
    <col min="6414" max="6414" width="1.28515625" style="109" customWidth="1"/>
    <col min="6415" max="6656" width="9.140625" style="109"/>
    <col min="6657" max="6657" width="49.140625" style="109" bestFit="1" customWidth="1"/>
    <col min="6658" max="6661" width="18" style="109" customWidth="1"/>
    <col min="6662" max="6662" width="22.140625" style="109" bestFit="1" customWidth="1"/>
    <col min="6663" max="6663" width="25.7109375" style="109" customWidth="1"/>
    <col min="6664" max="6664" width="9.140625" style="109"/>
    <col min="6665" max="6665" width="16.140625" style="109" customWidth="1"/>
    <col min="6666" max="6669" width="9.140625" style="109"/>
    <col min="6670" max="6670" width="1.28515625" style="109" customWidth="1"/>
    <col min="6671" max="6912" width="9.140625" style="109"/>
    <col min="6913" max="6913" width="49.140625" style="109" bestFit="1" customWidth="1"/>
    <col min="6914" max="6917" width="18" style="109" customWidth="1"/>
    <col min="6918" max="6918" width="22.140625" style="109" bestFit="1" customWidth="1"/>
    <col min="6919" max="6919" width="25.7109375" style="109" customWidth="1"/>
    <col min="6920" max="6920" width="9.140625" style="109"/>
    <col min="6921" max="6921" width="16.140625" style="109" customWidth="1"/>
    <col min="6922" max="6925" width="9.140625" style="109"/>
    <col min="6926" max="6926" width="1.28515625" style="109" customWidth="1"/>
    <col min="6927" max="7168" width="9.140625" style="109"/>
    <col min="7169" max="7169" width="49.140625" style="109" bestFit="1" customWidth="1"/>
    <col min="7170" max="7173" width="18" style="109" customWidth="1"/>
    <col min="7174" max="7174" width="22.140625" style="109" bestFit="1" customWidth="1"/>
    <col min="7175" max="7175" width="25.7109375" style="109" customWidth="1"/>
    <col min="7176" max="7176" width="9.140625" style="109"/>
    <col min="7177" max="7177" width="16.140625" style="109" customWidth="1"/>
    <col min="7178" max="7181" width="9.140625" style="109"/>
    <col min="7182" max="7182" width="1.28515625" style="109" customWidth="1"/>
    <col min="7183" max="7424" width="9.140625" style="109"/>
    <col min="7425" max="7425" width="49.140625" style="109" bestFit="1" customWidth="1"/>
    <col min="7426" max="7429" width="18" style="109" customWidth="1"/>
    <col min="7430" max="7430" width="22.140625" style="109" bestFit="1" customWidth="1"/>
    <col min="7431" max="7431" width="25.7109375" style="109" customWidth="1"/>
    <col min="7432" max="7432" width="9.140625" style="109"/>
    <col min="7433" max="7433" width="16.140625" style="109" customWidth="1"/>
    <col min="7434" max="7437" width="9.140625" style="109"/>
    <col min="7438" max="7438" width="1.28515625" style="109" customWidth="1"/>
    <col min="7439" max="7680" width="9.140625" style="109"/>
    <col min="7681" max="7681" width="49.140625" style="109" bestFit="1" customWidth="1"/>
    <col min="7682" max="7685" width="18" style="109" customWidth="1"/>
    <col min="7686" max="7686" width="22.140625" style="109" bestFit="1" customWidth="1"/>
    <col min="7687" max="7687" width="25.7109375" style="109" customWidth="1"/>
    <col min="7688" max="7688" width="9.140625" style="109"/>
    <col min="7689" max="7689" width="16.140625" style="109" customWidth="1"/>
    <col min="7690" max="7693" width="9.140625" style="109"/>
    <col min="7694" max="7694" width="1.28515625" style="109" customWidth="1"/>
    <col min="7695" max="7936" width="9.140625" style="109"/>
    <col min="7937" max="7937" width="49.140625" style="109" bestFit="1" customWidth="1"/>
    <col min="7938" max="7941" width="18" style="109" customWidth="1"/>
    <col min="7942" max="7942" width="22.140625" style="109" bestFit="1" customWidth="1"/>
    <col min="7943" max="7943" width="25.7109375" style="109" customWidth="1"/>
    <col min="7944" max="7944" width="9.140625" style="109"/>
    <col min="7945" max="7945" width="16.140625" style="109" customWidth="1"/>
    <col min="7946" max="7949" width="9.140625" style="109"/>
    <col min="7950" max="7950" width="1.28515625" style="109" customWidth="1"/>
    <col min="7951" max="8192" width="9.140625" style="109"/>
    <col min="8193" max="8193" width="49.140625" style="109" bestFit="1" customWidth="1"/>
    <col min="8194" max="8197" width="18" style="109" customWidth="1"/>
    <col min="8198" max="8198" width="22.140625" style="109" bestFit="1" customWidth="1"/>
    <col min="8199" max="8199" width="25.7109375" style="109" customWidth="1"/>
    <col min="8200" max="8200" width="9.140625" style="109"/>
    <col min="8201" max="8201" width="16.140625" style="109" customWidth="1"/>
    <col min="8202" max="8205" width="9.140625" style="109"/>
    <col min="8206" max="8206" width="1.28515625" style="109" customWidth="1"/>
    <col min="8207" max="8448" width="9.140625" style="109"/>
    <col min="8449" max="8449" width="49.140625" style="109" bestFit="1" customWidth="1"/>
    <col min="8450" max="8453" width="18" style="109" customWidth="1"/>
    <col min="8454" max="8454" width="22.140625" style="109" bestFit="1" customWidth="1"/>
    <col min="8455" max="8455" width="25.7109375" style="109" customWidth="1"/>
    <col min="8456" max="8456" width="9.140625" style="109"/>
    <col min="8457" max="8457" width="16.140625" style="109" customWidth="1"/>
    <col min="8458" max="8461" width="9.140625" style="109"/>
    <col min="8462" max="8462" width="1.28515625" style="109" customWidth="1"/>
    <col min="8463" max="8704" width="9.140625" style="109"/>
    <col min="8705" max="8705" width="49.140625" style="109" bestFit="1" customWidth="1"/>
    <col min="8706" max="8709" width="18" style="109" customWidth="1"/>
    <col min="8710" max="8710" width="22.140625" style="109" bestFit="1" customWidth="1"/>
    <col min="8711" max="8711" width="25.7109375" style="109" customWidth="1"/>
    <col min="8712" max="8712" width="9.140625" style="109"/>
    <col min="8713" max="8713" width="16.140625" style="109" customWidth="1"/>
    <col min="8714" max="8717" width="9.140625" style="109"/>
    <col min="8718" max="8718" width="1.28515625" style="109" customWidth="1"/>
    <col min="8719" max="8960" width="9.140625" style="109"/>
    <col min="8961" max="8961" width="49.140625" style="109" bestFit="1" customWidth="1"/>
    <col min="8962" max="8965" width="18" style="109" customWidth="1"/>
    <col min="8966" max="8966" width="22.140625" style="109" bestFit="1" customWidth="1"/>
    <col min="8967" max="8967" width="25.7109375" style="109" customWidth="1"/>
    <col min="8968" max="8968" width="9.140625" style="109"/>
    <col min="8969" max="8969" width="16.140625" style="109" customWidth="1"/>
    <col min="8970" max="8973" width="9.140625" style="109"/>
    <col min="8974" max="8974" width="1.28515625" style="109" customWidth="1"/>
    <col min="8975" max="9216" width="9.140625" style="109"/>
    <col min="9217" max="9217" width="49.140625" style="109" bestFit="1" customWidth="1"/>
    <col min="9218" max="9221" width="18" style="109" customWidth="1"/>
    <col min="9222" max="9222" width="22.140625" style="109" bestFit="1" customWidth="1"/>
    <col min="9223" max="9223" width="25.7109375" style="109" customWidth="1"/>
    <col min="9224" max="9224" width="9.140625" style="109"/>
    <col min="9225" max="9225" width="16.140625" style="109" customWidth="1"/>
    <col min="9226" max="9229" width="9.140625" style="109"/>
    <col min="9230" max="9230" width="1.28515625" style="109" customWidth="1"/>
    <col min="9231" max="9472" width="9.140625" style="109"/>
    <col min="9473" max="9473" width="49.140625" style="109" bestFit="1" customWidth="1"/>
    <col min="9474" max="9477" width="18" style="109" customWidth="1"/>
    <col min="9478" max="9478" width="22.140625" style="109" bestFit="1" customWidth="1"/>
    <col min="9479" max="9479" width="25.7109375" style="109" customWidth="1"/>
    <col min="9480" max="9480" width="9.140625" style="109"/>
    <col min="9481" max="9481" width="16.140625" style="109" customWidth="1"/>
    <col min="9482" max="9485" width="9.140625" style="109"/>
    <col min="9486" max="9486" width="1.28515625" style="109" customWidth="1"/>
    <col min="9487" max="9728" width="9.140625" style="109"/>
    <col min="9729" max="9729" width="49.140625" style="109" bestFit="1" customWidth="1"/>
    <col min="9730" max="9733" width="18" style="109" customWidth="1"/>
    <col min="9734" max="9734" width="22.140625" style="109" bestFit="1" customWidth="1"/>
    <col min="9735" max="9735" width="25.7109375" style="109" customWidth="1"/>
    <col min="9736" max="9736" width="9.140625" style="109"/>
    <col min="9737" max="9737" width="16.140625" style="109" customWidth="1"/>
    <col min="9738" max="9741" width="9.140625" style="109"/>
    <col min="9742" max="9742" width="1.28515625" style="109" customWidth="1"/>
    <col min="9743" max="9984" width="9.140625" style="109"/>
    <col min="9985" max="9985" width="49.140625" style="109" bestFit="1" customWidth="1"/>
    <col min="9986" max="9989" width="18" style="109" customWidth="1"/>
    <col min="9990" max="9990" width="22.140625" style="109" bestFit="1" customWidth="1"/>
    <col min="9991" max="9991" width="25.7109375" style="109" customWidth="1"/>
    <col min="9992" max="9992" width="9.140625" style="109"/>
    <col min="9993" max="9993" width="16.140625" style="109" customWidth="1"/>
    <col min="9994" max="9997" width="9.140625" style="109"/>
    <col min="9998" max="9998" width="1.28515625" style="109" customWidth="1"/>
    <col min="9999" max="10240" width="9.140625" style="109"/>
    <col min="10241" max="10241" width="49.140625" style="109" bestFit="1" customWidth="1"/>
    <col min="10242" max="10245" width="18" style="109" customWidth="1"/>
    <col min="10246" max="10246" width="22.140625" style="109" bestFit="1" customWidth="1"/>
    <col min="10247" max="10247" width="25.7109375" style="109" customWidth="1"/>
    <col min="10248" max="10248" width="9.140625" style="109"/>
    <col min="10249" max="10249" width="16.140625" style="109" customWidth="1"/>
    <col min="10250" max="10253" width="9.140625" style="109"/>
    <col min="10254" max="10254" width="1.28515625" style="109" customWidth="1"/>
    <col min="10255" max="10496" width="9.140625" style="109"/>
    <col min="10497" max="10497" width="49.140625" style="109" bestFit="1" customWidth="1"/>
    <col min="10498" max="10501" width="18" style="109" customWidth="1"/>
    <col min="10502" max="10502" width="22.140625" style="109" bestFit="1" customWidth="1"/>
    <col min="10503" max="10503" width="25.7109375" style="109" customWidth="1"/>
    <col min="10504" max="10504" width="9.140625" style="109"/>
    <col min="10505" max="10505" width="16.140625" style="109" customWidth="1"/>
    <col min="10506" max="10509" width="9.140625" style="109"/>
    <col min="10510" max="10510" width="1.28515625" style="109" customWidth="1"/>
    <col min="10511" max="10752" width="9.140625" style="109"/>
    <col min="10753" max="10753" width="49.140625" style="109" bestFit="1" customWidth="1"/>
    <col min="10754" max="10757" width="18" style="109" customWidth="1"/>
    <col min="10758" max="10758" width="22.140625" style="109" bestFit="1" customWidth="1"/>
    <col min="10759" max="10759" width="25.7109375" style="109" customWidth="1"/>
    <col min="10760" max="10760" width="9.140625" style="109"/>
    <col min="10761" max="10761" width="16.140625" style="109" customWidth="1"/>
    <col min="10762" max="10765" width="9.140625" style="109"/>
    <col min="10766" max="10766" width="1.28515625" style="109" customWidth="1"/>
    <col min="10767" max="11008" width="9.140625" style="109"/>
    <col min="11009" max="11009" width="49.140625" style="109" bestFit="1" customWidth="1"/>
    <col min="11010" max="11013" width="18" style="109" customWidth="1"/>
    <col min="11014" max="11014" width="22.140625" style="109" bestFit="1" customWidth="1"/>
    <col min="11015" max="11015" width="25.7109375" style="109" customWidth="1"/>
    <col min="11016" max="11016" width="9.140625" style="109"/>
    <col min="11017" max="11017" width="16.140625" style="109" customWidth="1"/>
    <col min="11018" max="11021" width="9.140625" style="109"/>
    <col min="11022" max="11022" width="1.28515625" style="109" customWidth="1"/>
    <col min="11023" max="11264" width="9.140625" style="109"/>
    <col min="11265" max="11265" width="49.140625" style="109" bestFit="1" customWidth="1"/>
    <col min="11266" max="11269" width="18" style="109" customWidth="1"/>
    <col min="11270" max="11270" width="22.140625" style="109" bestFit="1" customWidth="1"/>
    <col min="11271" max="11271" width="25.7109375" style="109" customWidth="1"/>
    <col min="11272" max="11272" width="9.140625" style="109"/>
    <col min="11273" max="11273" width="16.140625" style="109" customWidth="1"/>
    <col min="11274" max="11277" width="9.140625" style="109"/>
    <col min="11278" max="11278" width="1.28515625" style="109" customWidth="1"/>
    <col min="11279" max="11520" width="9.140625" style="109"/>
    <col min="11521" max="11521" width="49.140625" style="109" bestFit="1" customWidth="1"/>
    <col min="11522" max="11525" width="18" style="109" customWidth="1"/>
    <col min="11526" max="11526" width="22.140625" style="109" bestFit="1" customWidth="1"/>
    <col min="11527" max="11527" width="25.7109375" style="109" customWidth="1"/>
    <col min="11528" max="11528" width="9.140625" style="109"/>
    <col min="11529" max="11529" width="16.140625" style="109" customWidth="1"/>
    <col min="11530" max="11533" width="9.140625" style="109"/>
    <col min="11534" max="11534" width="1.28515625" style="109" customWidth="1"/>
    <col min="11535" max="11776" width="9.140625" style="109"/>
    <col min="11777" max="11777" width="49.140625" style="109" bestFit="1" customWidth="1"/>
    <col min="11778" max="11781" width="18" style="109" customWidth="1"/>
    <col min="11782" max="11782" width="22.140625" style="109" bestFit="1" customWidth="1"/>
    <col min="11783" max="11783" width="25.7109375" style="109" customWidth="1"/>
    <col min="11784" max="11784" width="9.140625" style="109"/>
    <col min="11785" max="11785" width="16.140625" style="109" customWidth="1"/>
    <col min="11786" max="11789" width="9.140625" style="109"/>
    <col min="11790" max="11790" width="1.28515625" style="109" customWidth="1"/>
    <col min="11791" max="12032" width="9.140625" style="109"/>
    <col min="12033" max="12033" width="49.140625" style="109" bestFit="1" customWidth="1"/>
    <col min="12034" max="12037" width="18" style="109" customWidth="1"/>
    <col min="12038" max="12038" width="22.140625" style="109" bestFit="1" customWidth="1"/>
    <col min="12039" max="12039" width="25.7109375" style="109" customWidth="1"/>
    <col min="12040" max="12040" width="9.140625" style="109"/>
    <col min="12041" max="12041" width="16.140625" style="109" customWidth="1"/>
    <col min="12042" max="12045" width="9.140625" style="109"/>
    <col min="12046" max="12046" width="1.28515625" style="109" customWidth="1"/>
    <col min="12047" max="12288" width="9.140625" style="109"/>
    <col min="12289" max="12289" width="49.140625" style="109" bestFit="1" customWidth="1"/>
    <col min="12290" max="12293" width="18" style="109" customWidth="1"/>
    <col min="12294" max="12294" width="22.140625" style="109" bestFit="1" customWidth="1"/>
    <col min="12295" max="12295" width="25.7109375" style="109" customWidth="1"/>
    <col min="12296" max="12296" width="9.140625" style="109"/>
    <col min="12297" max="12297" width="16.140625" style="109" customWidth="1"/>
    <col min="12298" max="12301" width="9.140625" style="109"/>
    <col min="12302" max="12302" width="1.28515625" style="109" customWidth="1"/>
    <col min="12303" max="12544" width="9.140625" style="109"/>
    <col min="12545" max="12545" width="49.140625" style="109" bestFit="1" customWidth="1"/>
    <col min="12546" max="12549" width="18" style="109" customWidth="1"/>
    <col min="12550" max="12550" width="22.140625" style="109" bestFit="1" customWidth="1"/>
    <col min="12551" max="12551" width="25.7109375" style="109" customWidth="1"/>
    <col min="12552" max="12552" width="9.140625" style="109"/>
    <col min="12553" max="12553" width="16.140625" style="109" customWidth="1"/>
    <col min="12554" max="12557" width="9.140625" style="109"/>
    <col min="12558" max="12558" width="1.28515625" style="109" customWidth="1"/>
    <col min="12559" max="12800" width="9.140625" style="109"/>
    <col min="12801" max="12801" width="49.140625" style="109" bestFit="1" customWidth="1"/>
    <col min="12802" max="12805" width="18" style="109" customWidth="1"/>
    <col min="12806" max="12806" width="22.140625" style="109" bestFit="1" customWidth="1"/>
    <col min="12807" max="12807" width="25.7109375" style="109" customWidth="1"/>
    <col min="12808" max="12808" width="9.140625" style="109"/>
    <col min="12809" max="12809" width="16.140625" style="109" customWidth="1"/>
    <col min="12810" max="12813" width="9.140625" style="109"/>
    <col min="12814" max="12814" width="1.28515625" style="109" customWidth="1"/>
    <col min="12815" max="13056" width="9.140625" style="109"/>
    <col min="13057" max="13057" width="49.140625" style="109" bestFit="1" customWidth="1"/>
    <col min="13058" max="13061" width="18" style="109" customWidth="1"/>
    <col min="13062" max="13062" width="22.140625" style="109" bestFit="1" customWidth="1"/>
    <col min="13063" max="13063" width="25.7109375" style="109" customWidth="1"/>
    <col min="13064" max="13064" width="9.140625" style="109"/>
    <col min="13065" max="13065" width="16.140625" style="109" customWidth="1"/>
    <col min="13066" max="13069" width="9.140625" style="109"/>
    <col min="13070" max="13070" width="1.28515625" style="109" customWidth="1"/>
    <col min="13071" max="13312" width="9.140625" style="109"/>
    <col min="13313" max="13313" width="49.140625" style="109" bestFit="1" customWidth="1"/>
    <col min="13314" max="13317" width="18" style="109" customWidth="1"/>
    <col min="13318" max="13318" width="22.140625" style="109" bestFit="1" customWidth="1"/>
    <col min="13319" max="13319" width="25.7109375" style="109" customWidth="1"/>
    <col min="13320" max="13320" width="9.140625" style="109"/>
    <col min="13321" max="13321" width="16.140625" style="109" customWidth="1"/>
    <col min="13322" max="13325" width="9.140625" style="109"/>
    <col min="13326" max="13326" width="1.28515625" style="109" customWidth="1"/>
    <col min="13327" max="13568" width="9.140625" style="109"/>
    <col min="13569" max="13569" width="49.140625" style="109" bestFit="1" customWidth="1"/>
    <col min="13570" max="13573" width="18" style="109" customWidth="1"/>
    <col min="13574" max="13574" width="22.140625" style="109" bestFit="1" customWidth="1"/>
    <col min="13575" max="13575" width="25.7109375" style="109" customWidth="1"/>
    <col min="13576" max="13576" width="9.140625" style="109"/>
    <col min="13577" max="13577" width="16.140625" style="109" customWidth="1"/>
    <col min="13578" max="13581" width="9.140625" style="109"/>
    <col min="13582" max="13582" width="1.28515625" style="109" customWidth="1"/>
    <col min="13583" max="13824" width="9.140625" style="109"/>
    <col min="13825" max="13825" width="49.140625" style="109" bestFit="1" customWidth="1"/>
    <col min="13826" max="13829" width="18" style="109" customWidth="1"/>
    <col min="13830" max="13830" width="22.140625" style="109" bestFit="1" customWidth="1"/>
    <col min="13831" max="13831" width="25.7109375" style="109" customWidth="1"/>
    <col min="13832" max="13832" width="9.140625" style="109"/>
    <col min="13833" max="13833" width="16.140625" style="109" customWidth="1"/>
    <col min="13834" max="13837" width="9.140625" style="109"/>
    <col min="13838" max="13838" width="1.28515625" style="109" customWidth="1"/>
    <col min="13839" max="14080" width="9.140625" style="109"/>
    <col min="14081" max="14081" width="49.140625" style="109" bestFit="1" customWidth="1"/>
    <col min="14082" max="14085" width="18" style="109" customWidth="1"/>
    <col min="14086" max="14086" width="22.140625" style="109" bestFit="1" customWidth="1"/>
    <col min="14087" max="14087" width="25.7109375" style="109" customWidth="1"/>
    <col min="14088" max="14088" width="9.140625" style="109"/>
    <col min="14089" max="14089" width="16.140625" style="109" customWidth="1"/>
    <col min="14090" max="14093" width="9.140625" style="109"/>
    <col min="14094" max="14094" width="1.28515625" style="109" customWidth="1"/>
    <col min="14095" max="14336" width="9.140625" style="109"/>
    <col min="14337" max="14337" width="49.140625" style="109" bestFit="1" customWidth="1"/>
    <col min="14338" max="14341" width="18" style="109" customWidth="1"/>
    <col min="14342" max="14342" width="22.140625" style="109" bestFit="1" customWidth="1"/>
    <col min="14343" max="14343" width="25.7109375" style="109" customWidth="1"/>
    <col min="14344" max="14344" width="9.140625" style="109"/>
    <col min="14345" max="14345" width="16.140625" style="109" customWidth="1"/>
    <col min="14346" max="14349" width="9.140625" style="109"/>
    <col min="14350" max="14350" width="1.28515625" style="109" customWidth="1"/>
    <col min="14351" max="14592" width="9.140625" style="109"/>
    <col min="14593" max="14593" width="49.140625" style="109" bestFit="1" customWidth="1"/>
    <col min="14594" max="14597" width="18" style="109" customWidth="1"/>
    <col min="14598" max="14598" width="22.140625" style="109" bestFit="1" customWidth="1"/>
    <col min="14599" max="14599" width="25.7109375" style="109" customWidth="1"/>
    <col min="14600" max="14600" width="9.140625" style="109"/>
    <col min="14601" max="14601" width="16.140625" style="109" customWidth="1"/>
    <col min="14602" max="14605" width="9.140625" style="109"/>
    <col min="14606" max="14606" width="1.28515625" style="109" customWidth="1"/>
    <col min="14607" max="14848" width="9.140625" style="109"/>
    <col min="14849" max="14849" width="49.140625" style="109" bestFit="1" customWidth="1"/>
    <col min="14850" max="14853" width="18" style="109" customWidth="1"/>
    <col min="14854" max="14854" width="22.140625" style="109" bestFit="1" customWidth="1"/>
    <col min="14855" max="14855" width="25.7109375" style="109" customWidth="1"/>
    <col min="14856" max="14856" width="9.140625" style="109"/>
    <col min="14857" max="14857" width="16.140625" style="109" customWidth="1"/>
    <col min="14858" max="14861" width="9.140625" style="109"/>
    <col min="14862" max="14862" width="1.28515625" style="109" customWidth="1"/>
    <col min="14863" max="15104" width="9.140625" style="109"/>
    <col min="15105" max="15105" width="49.140625" style="109" bestFit="1" customWidth="1"/>
    <col min="15106" max="15109" width="18" style="109" customWidth="1"/>
    <col min="15110" max="15110" width="22.140625" style="109" bestFit="1" customWidth="1"/>
    <col min="15111" max="15111" width="25.7109375" style="109" customWidth="1"/>
    <col min="15112" max="15112" width="9.140625" style="109"/>
    <col min="15113" max="15113" width="16.140625" style="109" customWidth="1"/>
    <col min="15114" max="15117" width="9.140625" style="109"/>
    <col min="15118" max="15118" width="1.28515625" style="109" customWidth="1"/>
    <col min="15119" max="15360" width="9.140625" style="109"/>
    <col min="15361" max="15361" width="49.140625" style="109" bestFit="1" customWidth="1"/>
    <col min="15362" max="15365" width="18" style="109" customWidth="1"/>
    <col min="15366" max="15366" width="22.140625" style="109" bestFit="1" customWidth="1"/>
    <col min="15367" max="15367" width="25.7109375" style="109" customWidth="1"/>
    <col min="15368" max="15368" width="9.140625" style="109"/>
    <col min="15369" max="15369" width="16.140625" style="109" customWidth="1"/>
    <col min="15370" max="15373" width="9.140625" style="109"/>
    <col min="15374" max="15374" width="1.28515625" style="109" customWidth="1"/>
    <col min="15375" max="15616" width="9.140625" style="109"/>
    <col min="15617" max="15617" width="49.140625" style="109" bestFit="1" customWidth="1"/>
    <col min="15618" max="15621" width="18" style="109" customWidth="1"/>
    <col min="15622" max="15622" width="22.140625" style="109" bestFit="1" customWidth="1"/>
    <col min="15623" max="15623" width="25.7109375" style="109" customWidth="1"/>
    <col min="15624" max="15624" width="9.140625" style="109"/>
    <col min="15625" max="15625" width="16.140625" style="109" customWidth="1"/>
    <col min="15626" max="15629" width="9.140625" style="109"/>
    <col min="15630" max="15630" width="1.28515625" style="109" customWidth="1"/>
    <col min="15631" max="15872" width="9.140625" style="109"/>
    <col min="15873" max="15873" width="49.140625" style="109" bestFit="1" customWidth="1"/>
    <col min="15874" max="15877" width="18" style="109" customWidth="1"/>
    <col min="15878" max="15878" width="22.140625" style="109" bestFit="1" customWidth="1"/>
    <col min="15879" max="15879" width="25.7109375" style="109" customWidth="1"/>
    <col min="15880" max="15880" width="9.140625" style="109"/>
    <col min="15881" max="15881" width="16.140625" style="109" customWidth="1"/>
    <col min="15882" max="15885" width="9.140625" style="109"/>
    <col min="15886" max="15886" width="1.28515625" style="109" customWidth="1"/>
    <col min="15887" max="16128" width="9.140625" style="109"/>
    <col min="16129" max="16129" width="49.140625" style="109" bestFit="1" customWidth="1"/>
    <col min="16130" max="16133" width="18" style="109" customWidth="1"/>
    <col min="16134" max="16134" width="22.140625" style="109" bestFit="1" customWidth="1"/>
    <col min="16135" max="16135" width="25.7109375" style="109" customWidth="1"/>
    <col min="16136" max="16136" width="9.140625" style="109"/>
    <col min="16137" max="16137" width="16.140625" style="109" customWidth="1"/>
    <col min="16138" max="16141" width="9.140625" style="109"/>
    <col min="16142" max="16142" width="1.28515625" style="109" customWidth="1"/>
    <col min="16143" max="16384" width="9.140625" style="109"/>
  </cols>
  <sheetData>
    <row r="1" spans="1:9" x14ac:dyDescent="0.25">
      <c r="A1" s="108">
        <f>'[1]B.F. 05 '!A5:K5</f>
        <v>43800</v>
      </c>
      <c r="D1" s="110"/>
    </row>
    <row r="2" spans="1:9" ht="15.75" x14ac:dyDescent="0.25">
      <c r="A2" s="112" t="s">
        <v>0</v>
      </c>
      <c r="B2" s="112"/>
      <c r="C2" s="112"/>
      <c r="D2" s="112"/>
      <c r="E2" s="112"/>
      <c r="F2" s="112"/>
      <c r="G2" s="112"/>
    </row>
    <row r="3" spans="1:9" ht="15.75" x14ac:dyDescent="0.25">
      <c r="A3" s="112" t="s">
        <v>69</v>
      </c>
      <c r="B3" s="112"/>
      <c r="C3" s="112"/>
      <c r="D3" s="112"/>
      <c r="E3" s="112"/>
      <c r="F3" s="112"/>
      <c r="G3" s="112"/>
    </row>
    <row r="4" spans="1:9" ht="15.75" x14ac:dyDescent="0.25">
      <c r="A4" s="112" t="s">
        <v>70</v>
      </c>
      <c r="B4" s="112"/>
      <c r="C4" s="112"/>
      <c r="D4" s="112"/>
      <c r="E4" s="112"/>
      <c r="F4" s="112"/>
      <c r="G4" s="112"/>
      <c r="I4" s="113"/>
    </row>
    <row r="5" spans="1:9" ht="15.75" x14ac:dyDescent="0.25">
      <c r="A5" s="112" t="s">
        <v>71</v>
      </c>
      <c r="B5" s="112"/>
      <c r="C5" s="112"/>
      <c r="D5" s="112"/>
      <c r="E5" s="112"/>
      <c r="F5" s="112"/>
      <c r="G5" s="112"/>
    </row>
    <row r="6" spans="1:9" x14ac:dyDescent="0.25">
      <c r="A6" s="114"/>
      <c r="B6" s="114"/>
      <c r="C6" s="114"/>
      <c r="D6" s="114"/>
      <c r="E6" s="114"/>
    </row>
    <row r="7" spans="1:9" x14ac:dyDescent="0.25">
      <c r="A7" s="115" t="s">
        <v>72</v>
      </c>
      <c r="B7" s="116" t="s">
        <v>73</v>
      </c>
      <c r="C7" s="116"/>
      <c r="D7" s="116" t="s">
        <v>74</v>
      </c>
      <c r="E7" s="116"/>
      <c r="F7" s="117" t="s">
        <v>75</v>
      </c>
      <c r="G7" s="117" t="s">
        <v>76</v>
      </c>
    </row>
    <row r="8" spans="1:9" ht="15.75" x14ac:dyDescent="0.25">
      <c r="A8" s="118" t="s">
        <v>77</v>
      </c>
      <c r="B8" s="119">
        <f>SUM(B9:B16)</f>
        <v>131476289</v>
      </c>
      <c r="C8" s="119"/>
      <c r="D8" s="119">
        <f>SUM(D9:D16)</f>
        <v>131476289</v>
      </c>
      <c r="E8" s="119"/>
      <c r="F8" s="120">
        <f>SUM(F9:F16)</f>
        <v>35666559.010000005</v>
      </c>
      <c r="G8" s="120">
        <f>F8-D8</f>
        <v>-95809729.989999995</v>
      </c>
    </row>
    <row r="9" spans="1:9" ht="15.75" x14ac:dyDescent="0.25">
      <c r="A9" s="121" t="s">
        <v>78</v>
      </c>
      <c r="B9" s="122"/>
      <c r="C9" s="123"/>
      <c r="D9" s="122"/>
      <c r="E9" s="123"/>
      <c r="F9" s="124"/>
      <c r="G9" s="124">
        <f t="shared" ref="G9:G22" si="0">F9-D9</f>
        <v>0</v>
      </c>
    </row>
    <row r="10" spans="1:9" ht="15.75" x14ac:dyDescent="0.25">
      <c r="A10" s="121" t="s">
        <v>79</v>
      </c>
      <c r="B10" s="125"/>
      <c r="C10" s="126"/>
      <c r="D10" s="122"/>
      <c r="E10" s="123"/>
      <c r="F10" s="124"/>
      <c r="G10" s="124">
        <f t="shared" si="0"/>
        <v>0</v>
      </c>
    </row>
    <row r="11" spans="1:9" ht="15.75" x14ac:dyDescent="0.25">
      <c r="A11" s="121" t="s">
        <v>80</v>
      </c>
      <c r="B11" s="125">
        <f>HLOOKUP($A$1,[1]DADOS!$A1:$IV174,4,0)</f>
        <v>17476289</v>
      </c>
      <c r="C11" s="126"/>
      <c r="D11" s="122">
        <f>$B$11</f>
        <v>17476289</v>
      </c>
      <c r="E11" s="123"/>
      <c r="F11" s="127">
        <f>HLOOKUP($A$1,[1]DADOS!$A1:$IV174,8,0)</f>
        <v>13777647.48</v>
      </c>
      <c r="G11" s="124">
        <f>F11-D11</f>
        <v>-3698641.5199999996</v>
      </c>
    </row>
    <row r="12" spans="1:9" ht="15.75" x14ac:dyDescent="0.25">
      <c r="A12" s="121" t="s">
        <v>81</v>
      </c>
      <c r="B12" s="125"/>
      <c r="C12" s="126"/>
      <c r="D12" s="122">
        <f>B12</f>
        <v>0</v>
      </c>
      <c r="E12" s="123"/>
      <c r="F12" s="124"/>
      <c r="G12" s="124">
        <f t="shared" si="0"/>
        <v>0</v>
      </c>
    </row>
    <row r="13" spans="1:9" ht="15.75" x14ac:dyDescent="0.25">
      <c r="A13" s="121" t="s">
        <v>82</v>
      </c>
      <c r="B13" s="122"/>
      <c r="C13" s="123"/>
      <c r="D13" s="122">
        <f>B13</f>
        <v>0</v>
      </c>
      <c r="E13" s="123"/>
      <c r="F13" s="124"/>
      <c r="G13" s="124">
        <f t="shared" si="0"/>
        <v>0</v>
      </c>
    </row>
    <row r="14" spans="1:9" ht="15.75" x14ac:dyDescent="0.25">
      <c r="A14" s="121" t="s">
        <v>83</v>
      </c>
      <c r="B14" s="122"/>
      <c r="C14" s="123"/>
      <c r="D14" s="122">
        <f>B14</f>
        <v>0</v>
      </c>
      <c r="E14" s="123"/>
      <c r="F14" s="124"/>
      <c r="G14" s="124">
        <f t="shared" si="0"/>
        <v>0</v>
      </c>
    </row>
    <row r="15" spans="1:9" ht="15.75" x14ac:dyDescent="0.25">
      <c r="A15" s="121" t="s">
        <v>84</v>
      </c>
      <c r="B15" s="122"/>
      <c r="C15" s="123"/>
      <c r="D15" s="122">
        <f>B15</f>
        <v>0</v>
      </c>
      <c r="E15" s="123"/>
      <c r="F15" s="124">
        <f>HLOOKUP($A$1,[1]DADOS!$A1:$IV174,53,0)+HLOOKUP($A$1,[1]DADOS!$A1:$IV174,59,0)</f>
        <v>232210.64</v>
      </c>
      <c r="G15" s="124">
        <f>F15-D15</f>
        <v>232210.64</v>
      </c>
    </row>
    <row r="16" spans="1:9" ht="15.75" x14ac:dyDescent="0.25">
      <c r="A16" s="121" t="s">
        <v>85</v>
      </c>
      <c r="B16" s="125">
        <f>HLOOKUP($A$1,[1]DADOS!$A1:$IV174,12,0)</f>
        <v>114000000</v>
      </c>
      <c r="C16" s="126"/>
      <c r="D16" s="122">
        <f>$B$16</f>
        <v>114000000</v>
      </c>
      <c r="E16" s="123"/>
      <c r="F16" s="127">
        <f>HLOOKUP($A$1,[1]DADOS!$A1:$IV174,16,0)+HLOOKUP($A$1,[1]DADOS!$A1:$IV174,26,0)+HLOOKUP($A$1,[1]DADOS!$A1:$IV174,34,0)+HLOOKUP($A$1,[1]DADOS!$A1:$IV174,44,0)</f>
        <v>21656700.890000001</v>
      </c>
      <c r="G16" s="124">
        <f>F16-D16</f>
        <v>-92343299.109999999</v>
      </c>
    </row>
    <row r="17" spans="1:9" ht="15.75" x14ac:dyDescent="0.25">
      <c r="A17" s="128" t="s">
        <v>86</v>
      </c>
      <c r="B17" s="129">
        <f>SUM(B18:B22)</f>
        <v>0</v>
      </c>
      <c r="C17" s="129"/>
      <c r="D17" s="129">
        <f>SUM(D18:D22)</f>
        <v>0</v>
      </c>
      <c r="E17" s="129"/>
      <c r="F17" s="130">
        <f>SUM(F18:F22)</f>
        <v>0</v>
      </c>
      <c r="G17" s="130">
        <f t="shared" si="0"/>
        <v>0</v>
      </c>
    </row>
    <row r="18" spans="1:9" ht="15.75" x14ac:dyDescent="0.25">
      <c r="A18" s="121" t="s">
        <v>87</v>
      </c>
      <c r="B18" s="131"/>
      <c r="C18" s="132"/>
      <c r="D18" s="131"/>
      <c r="E18" s="132"/>
      <c r="F18" s="133"/>
      <c r="G18" s="134">
        <f t="shared" si="0"/>
        <v>0</v>
      </c>
    </row>
    <row r="19" spans="1:9" ht="15.75" x14ac:dyDescent="0.25">
      <c r="A19" s="121" t="s">
        <v>88</v>
      </c>
      <c r="B19" s="131"/>
      <c r="C19" s="132"/>
      <c r="D19" s="131"/>
      <c r="E19" s="132"/>
      <c r="F19" s="133"/>
      <c r="G19" s="134">
        <f t="shared" si="0"/>
        <v>0</v>
      </c>
    </row>
    <row r="20" spans="1:9" ht="15.75" x14ac:dyDescent="0.25">
      <c r="A20" s="121" t="s">
        <v>89</v>
      </c>
      <c r="B20" s="131"/>
      <c r="C20" s="132"/>
      <c r="D20" s="131"/>
      <c r="E20" s="132"/>
      <c r="F20" s="133"/>
      <c r="G20" s="134">
        <f t="shared" si="0"/>
        <v>0</v>
      </c>
    </row>
    <row r="21" spans="1:9" ht="15.75" x14ac:dyDescent="0.25">
      <c r="A21" s="121" t="s">
        <v>90</v>
      </c>
      <c r="B21" s="131"/>
      <c r="C21" s="132"/>
      <c r="D21" s="131"/>
      <c r="E21" s="132"/>
      <c r="F21" s="133"/>
      <c r="G21" s="134">
        <f t="shared" si="0"/>
        <v>0</v>
      </c>
    </row>
    <row r="22" spans="1:9" ht="15.75" x14ac:dyDescent="0.25">
      <c r="A22" s="121" t="s">
        <v>91</v>
      </c>
      <c r="B22" s="131"/>
      <c r="C22" s="132"/>
      <c r="D22" s="131"/>
      <c r="E22" s="132"/>
      <c r="F22" s="133"/>
      <c r="G22" s="134">
        <f t="shared" si="0"/>
        <v>0</v>
      </c>
    </row>
    <row r="23" spans="1:9" ht="15.75" hidden="1" x14ac:dyDescent="0.25">
      <c r="A23" s="135"/>
      <c r="B23" s="136"/>
      <c r="C23" s="137"/>
      <c r="D23" s="136"/>
      <c r="E23" s="137"/>
      <c r="F23" s="138"/>
      <c r="G23" s="138"/>
    </row>
    <row r="24" spans="1:9" s="141" customFormat="1" ht="15.75" x14ac:dyDescent="0.25">
      <c r="A24" s="128" t="s">
        <v>92</v>
      </c>
      <c r="B24" s="139">
        <f>B8+B17+B23</f>
        <v>131476289</v>
      </c>
      <c r="C24" s="139"/>
      <c r="D24" s="139">
        <f>D8+D17+D23</f>
        <v>131476289</v>
      </c>
      <c r="E24" s="139"/>
      <c r="F24" s="140">
        <f>F8+F17+F23</f>
        <v>35666559.010000005</v>
      </c>
      <c r="G24" s="140">
        <f>F24-D24</f>
        <v>-95809729.989999995</v>
      </c>
      <c r="I24" s="142"/>
    </row>
    <row r="25" spans="1:9" ht="15.75" x14ac:dyDescent="0.25">
      <c r="A25" s="118" t="s">
        <v>93</v>
      </c>
      <c r="B25" s="143">
        <f>SUM(B26:B31)</f>
        <v>0</v>
      </c>
      <c r="C25" s="143"/>
      <c r="D25" s="143">
        <f>SUM(D26:D31)</f>
        <v>0</v>
      </c>
      <c r="E25" s="143"/>
      <c r="F25" s="144">
        <f>SUM(F26:F31)</f>
        <v>0</v>
      </c>
      <c r="G25" s="144">
        <f>F25-D25</f>
        <v>0</v>
      </c>
    </row>
    <row r="26" spans="1:9" ht="15.75" x14ac:dyDescent="0.25">
      <c r="A26" s="121" t="s">
        <v>94</v>
      </c>
      <c r="B26" s="145"/>
      <c r="C26" s="146"/>
      <c r="D26" s="131"/>
      <c r="E26" s="132"/>
      <c r="F26" s="133"/>
      <c r="G26" s="133"/>
    </row>
    <row r="27" spans="1:9" ht="15.75" x14ac:dyDescent="0.25">
      <c r="A27" s="121" t="s">
        <v>95</v>
      </c>
      <c r="B27" s="131"/>
      <c r="C27" s="132"/>
      <c r="D27" s="131"/>
      <c r="E27" s="132"/>
      <c r="F27" s="133"/>
      <c r="G27" s="133"/>
    </row>
    <row r="28" spans="1:9" ht="15.75" x14ac:dyDescent="0.25">
      <c r="A28" s="121" t="s">
        <v>96</v>
      </c>
      <c r="B28" s="131"/>
      <c r="C28" s="132"/>
      <c r="D28" s="131"/>
      <c r="E28" s="132"/>
      <c r="F28" s="133"/>
      <c r="G28" s="133"/>
    </row>
    <row r="29" spans="1:9" ht="15.75" x14ac:dyDescent="0.25">
      <c r="A29" s="121" t="s">
        <v>97</v>
      </c>
      <c r="B29" s="131"/>
      <c r="C29" s="132"/>
      <c r="D29" s="131"/>
      <c r="E29" s="132"/>
      <c r="F29" s="133"/>
      <c r="G29" s="133"/>
    </row>
    <row r="30" spans="1:9" ht="15.75" x14ac:dyDescent="0.25">
      <c r="A30" s="121" t="s">
        <v>95</v>
      </c>
      <c r="B30" s="131"/>
      <c r="C30" s="132"/>
      <c r="D30" s="131"/>
      <c r="E30" s="132"/>
      <c r="F30" s="133"/>
      <c r="G30" s="133"/>
    </row>
    <row r="31" spans="1:9" ht="15.75" x14ac:dyDescent="0.25">
      <c r="A31" s="121" t="s">
        <v>96</v>
      </c>
      <c r="B31" s="131"/>
      <c r="C31" s="132"/>
      <c r="D31" s="131"/>
      <c r="E31" s="132"/>
      <c r="F31" s="133"/>
      <c r="G31" s="133"/>
    </row>
    <row r="32" spans="1:9" ht="15.75" x14ac:dyDescent="0.25">
      <c r="A32" s="128" t="s">
        <v>98</v>
      </c>
      <c r="B32" s="139">
        <f>B25+B24</f>
        <v>131476289</v>
      </c>
      <c r="C32" s="139"/>
      <c r="D32" s="139">
        <f>D25+D24</f>
        <v>131476289</v>
      </c>
      <c r="E32" s="139"/>
      <c r="F32" s="140">
        <f>F25+F24</f>
        <v>35666559.010000005</v>
      </c>
      <c r="G32" s="140">
        <f>F32-D32</f>
        <v>-95809729.989999995</v>
      </c>
    </row>
    <row r="33" spans="1:9" ht="15.75" x14ac:dyDescent="0.25">
      <c r="A33" s="135" t="s">
        <v>99</v>
      </c>
      <c r="B33" s="147">
        <f>IF(B32&gt;B59,0,B59-B32)</f>
        <v>0</v>
      </c>
      <c r="C33" s="147"/>
      <c r="D33" s="147">
        <f>IF(D32&gt;C59,0,C59-D32)</f>
        <v>0</v>
      </c>
      <c r="E33" s="147"/>
      <c r="F33" s="148">
        <f>IF(F32&gt;D59,0,D59-F32)</f>
        <v>10150077.759999998</v>
      </c>
      <c r="G33" s="148">
        <f>+F33-D33</f>
        <v>10150077.759999998</v>
      </c>
      <c r="H33" s="149"/>
    </row>
    <row r="34" spans="1:9" s="141" customFormat="1" ht="15.75" x14ac:dyDescent="0.25">
      <c r="A34" s="128" t="s">
        <v>100</v>
      </c>
      <c r="B34" s="139">
        <f>B32+B33</f>
        <v>131476289</v>
      </c>
      <c r="C34" s="139"/>
      <c r="D34" s="139">
        <f>D32+D33</f>
        <v>131476289</v>
      </c>
      <c r="E34" s="139"/>
      <c r="F34" s="140">
        <f>F32+F33</f>
        <v>45816636.770000003</v>
      </c>
      <c r="G34" s="140">
        <f>F34-D34</f>
        <v>-85659652.229999989</v>
      </c>
      <c r="I34" s="142"/>
    </row>
    <row r="35" spans="1:9" ht="15.75" x14ac:dyDescent="0.25">
      <c r="A35" s="150" t="s">
        <v>101</v>
      </c>
      <c r="B35" s="151">
        <f>SUM(B36:C38)</f>
        <v>0</v>
      </c>
      <c r="C35" s="152"/>
      <c r="D35" s="151">
        <f>SUM(D36:E38)</f>
        <v>0</v>
      </c>
      <c r="E35" s="152"/>
      <c r="F35" s="153">
        <f>SUM(F36:F38)</f>
        <v>0</v>
      </c>
      <c r="G35" s="153">
        <f>SUM(G36:G38)</f>
        <v>0</v>
      </c>
    </row>
    <row r="36" spans="1:9" x14ac:dyDescent="0.25">
      <c r="A36" s="154" t="s">
        <v>102</v>
      </c>
      <c r="B36" s="155"/>
      <c r="C36" s="156"/>
      <c r="D36" s="157"/>
      <c r="E36" s="157"/>
      <c r="F36" s="158"/>
      <c r="G36" s="158"/>
    </row>
    <row r="37" spans="1:9" ht="15.75" x14ac:dyDescent="0.25">
      <c r="A37" s="159" t="s">
        <v>103</v>
      </c>
      <c r="B37" s="145"/>
      <c r="C37" s="160"/>
      <c r="D37" s="145"/>
      <c r="E37" s="160"/>
      <c r="F37" s="161"/>
      <c r="G37" s="162"/>
      <c r="H37" s="161"/>
    </row>
    <row r="38" spans="1:9" ht="15.75" x14ac:dyDescent="0.25">
      <c r="A38" s="163" t="s">
        <v>104</v>
      </c>
      <c r="B38" s="164"/>
      <c r="C38" s="165"/>
      <c r="D38" s="164"/>
      <c r="E38" s="165"/>
      <c r="F38" s="164"/>
      <c r="G38" s="166"/>
      <c r="H38" s="161"/>
    </row>
    <row r="40" spans="1:9" s="169" customFormat="1" ht="30" x14ac:dyDescent="0.2">
      <c r="A40" s="167" t="s">
        <v>105</v>
      </c>
      <c r="B40" s="168" t="s">
        <v>106</v>
      </c>
      <c r="C40" s="168" t="s">
        <v>107</v>
      </c>
      <c r="D40" s="168" t="s">
        <v>108</v>
      </c>
      <c r="E40" s="168" t="s">
        <v>109</v>
      </c>
      <c r="F40" s="168" t="s">
        <v>110</v>
      </c>
      <c r="G40" s="168" t="s">
        <v>111</v>
      </c>
      <c r="I40" s="170"/>
    </row>
    <row r="41" spans="1:9" ht="15.75" x14ac:dyDescent="0.25">
      <c r="A41" s="118" t="s">
        <v>112</v>
      </c>
      <c r="B41" s="171">
        <f>SUM(B42:B44)</f>
        <v>111921421</v>
      </c>
      <c r="C41" s="171">
        <f>SUM(C42:C44)</f>
        <v>107023983.18000001</v>
      </c>
      <c r="D41" s="171">
        <f>SUM(D42:D44)</f>
        <v>45816636.770000003</v>
      </c>
      <c r="E41" s="171">
        <f>SUM(E42:E44)</f>
        <v>43813232.979999997</v>
      </c>
      <c r="F41" s="171">
        <f>SUM(F42:F44)</f>
        <v>43804591.25</v>
      </c>
      <c r="G41" s="171">
        <f>C41-D41</f>
        <v>61207346.410000004</v>
      </c>
    </row>
    <row r="42" spans="1:9" ht="15.75" x14ac:dyDescent="0.25">
      <c r="A42" s="121" t="s">
        <v>113</v>
      </c>
      <c r="B42" s="121"/>
      <c r="C42" s="121"/>
      <c r="D42" s="121"/>
      <c r="E42" s="121"/>
      <c r="F42" s="121"/>
      <c r="G42" s="121"/>
    </row>
    <row r="43" spans="1:9" ht="15.75" x14ac:dyDescent="0.25">
      <c r="A43" s="121" t="s">
        <v>114</v>
      </c>
      <c r="B43" s="121"/>
      <c r="C43" s="121"/>
      <c r="D43" s="121"/>
      <c r="E43" s="121"/>
      <c r="F43" s="121"/>
      <c r="G43" s="121"/>
    </row>
    <row r="44" spans="1:9" ht="15.75" x14ac:dyDescent="0.25">
      <c r="A44" s="121" t="s">
        <v>115</v>
      </c>
      <c r="B44" s="172">
        <f>HLOOKUP($A$1,[1]DADOS!$A1:$IV174,100,0)</f>
        <v>111921421</v>
      </c>
      <c r="C44" s="173">
        <f>HLOOKUP($A$1,[1]DADOS!$A1:$IV174,101,0)</f>
        <v>107023983.18000001</v>
      </c>
      <c r="D44" s="172">
        <f>HLOOKUP($A$1,[1]DADOS!$A1:$IV174,102,0)</f>
        <v>45816636.770000003</v>
      </c>
      <c r="E44" s="172">
        <f>HLOOKUP($A$1,[1]DADOS!$A1:$IV174,103,0)</f>
        <v>43813232.979999997</v>
      </c>
      <c r="F44" s="172">
        <f>HLOOKUP($A$1,[1]DADOS!$A1:$IV174,104,0)</f>
        <v>43804591.25</v>
      </c>
      <c r="G44" s="173">
        <f>C44-D44</f>
        <v>61207346.410000004</v>
      </c>
    </row>
    <row r="45" spans="1:9" ht="15.75" x14ac:dyDescent="0.25">
      <c r="A45" s="128" t="s">
        <v>116</v>
      </c>
      <c r="B45" s="174">
        <f>SUM(B46:B48)</f>
        <v>16412981</v>
      </c>
      <c r="C45" s="174">
        <f>SUM(C46:C48)</f>
        <v>15486710.939999999</v>
      </c>
      <c r="D45" s="174">
        <f>SUM(D46:D48)</f>
        <v>0</v>
      </c>
      <c r="E45" s="174">
        <f>SUM(E46:E48)</f>
        <v>0</v>
      </c>
      <c r="F45" s="174">
        <f>SUM(F46:F48)</f>
        <v>0</v>
      </c>
      <c r="G45" s="175">
        <f>C45-D45</f>
        <v>15486710.939999999</v>
      </c>
    </row>
    <row r="46" spans="1:9" ht="15.75" x14ac:dyDescent="0.25">
      <c r="A46" s="121" t="s">
        <v>117</v>
      </c>
      <c r="B46" s="172">
        <f>HLOOKUP($A$1,[1]DADOS!$A1:$IV174,106,0)</f>
        <v>16412981</v>
      </c>
      <c r="C46" s="173">
        <f>HLOOKUP($A$1,[1]DADOS!$A1:$IV174,107,0)</f>
        <v>15486710.939999999</v>
      </c>
      <c r="D46" s="172">
        <f>HLOOKUP($A$1,[1]DADOS!$A1:$IV174,108,0)</f>
        <v>0</v>
      </c>
      <c r="E46" s="172">
        <f>HLOOKUP($A$1,[1]DADOS!$A1:$IV174,109,0)</f>
        <v>0</v>
      </c>
      <c r="F46" s="172">
        <f>HLOOKUP($A$1,[1]DADOS!$A1:$IV174,110,0)</f>
        <v>0</v>
      </c>
      <c r="G46" s="173">
        <f>C46-D46</f>
        <v>15486710.939999999</v>
      </c>
    </row>
    <row r="47" spans="1:9" ht="15.75" x14ac:dyDescent="0.25">
      <c r="A47" s="121" t="s">
        <v>118</v>
      </c>
      <c r="B47" s="121"/>
      <c r="C47" s="121"/>
      <c r="D47" s="121"/>
      <c r="E47" s="121"/>
      <c r="F47" s="121"/>
      <c r="G47" s="121"/>
    </row>
    <row r="48" spans="1:9" ht="15.75" x14ac:dyDescent="0.25">
      <c r="A48" s="121" t="s">
        <v>119</v>
      </c>
      <c r="B48" s="121"/>
      <c r="C48" s="121"/>
      <c r="D48" s="121"/>
      <c r="E48" s="121"/>
      <c r="F48" s="121"/>
      <c r="G48" s="121"/>
    </row>
    <row r="49" spans="1:16" ht="15.75" x14ac:dyDescent="0.25">
      <c r="A49" s="176" t="s">
        <v>120</v>
      </c>
      <c r="B49" s="176"/>
      <c r="C49" s="176"/>
      <c r="D49" s="176"/>
      <c r="E49" s="176"/>
      <c r="F49" s="176"/>
      <c r="G49" s="176"/>
    </row>
    <row r="50" spans="1:16" ht="15.75" hidden="1" x14ac:dyDescent="0.25">
      <c r="A50" s="176" t="s">
        <v>121</v>
      </c>
      <c r="B50" s="176"/>
      <c r="C50" s="176"/>
      <c r="D50" s="176"/>
      <c r="E50" s="176"/>
      <c r="F50" s="176"/>
      <c r="G50" s="176"/>
    </row>
    <row r="51" spans="1:16" ht="15.75" x14ac:dyDescent="0.25">
      <c r="A51" s="128" t="s">
        <v>122</v>
      </c>
      <c r="B51" s="175">
        <f>B41+B45+B49+B50</f>
        <v>128334402</v>
      </c>
      <c r="C51" s="175">
        <f>C41+C45+C49+C50</f>
        <v>122510694.12</v>
      </c>
      <c r="D51" s="175">
        <f>D41+D45+D49+D50</f>
        <v>45816636.770000003</v>
      </c>
      <c r="E51" s="175">
        <f>E41+E45+E49+E50</f>
        <v>43813232.979999997</v>
      </c>
      <c r="F51" s="175">
        <f>F41+F45+F49+F50</f>
        <v>43804591.25</v>
      </c>
      <c r="G51" s="175">
        <f>C51-D51</f>
        <v>76694057.349999994</v>
      </c>
    </row>
    <row r="52" spans="1:16" ht="15.75" x14ac:dyDescent="0.25">
      <c r="A52" s="118" t="s">
        <v>123</v>
      </c>
      <c r="B52" s="153">
        <f>SUM(B53:B58)</f>
        <v>0</v>
      </c>
      <c r="C52" s="153">
        <f>SUM(C53:C58)</f>
        <v>0</v>
      </c>
      <c r="D52" s="153">
        <f>SUM(D53:D58)</f>
        <v>0</v>
      </c>
      <c r="E52" s="153">
        <f>SUM(E53:E58)</f>
        <v>0</v>
      </c>
      <c r="F52" s="153">
        <f>SUM(F53:F58)</f>
        <v>0</v>
      </c>
      <c r="G52" s="153">
        <f>(C52-D52)</f>
        <v>0</v>
      </c>
    </row>
    <row r="53" spans="1:16" ht="15.75" x14ac:dyDescent="0.25">
      <c r="A53" s="121" t="s">
        <v>124</v>
      </c>
      <c r="B53" s="121"/>
      <c r="C53" s="121"/>
      <c r="D53" s="121"/>
      <c r="E53" s="121"/>
      <c r="F53" s="121"/>
      <c r="G53" s="121"/>
    </row>
    <row r="54" spans="1:16" ht="15.75" x14ac:dyDescent="0.25">
      <c r="A54" s="121" t="s">
        <v>125</v>
      </c>
      <c r="B54" s="121"/>
      <c r="C54" s="121"/>
      <c r="D54" s="121"/>
      <c r="E54" s="121"/>
      <c r="F54" s="121"/>
      <c r="G54" s="121"/>
    </row>
    <row r="55" spans="1:16" ht="15.75" x14ac:dyDescent="0.25">
      <c r="A55" s="121" t="s">
        <v>126</v>
      </c>
      <c r="B55" s="121"/>
      <c r="C55" s="121"/>
      <c r="D55" s="121"/>
      <c r="E55" s="121"/>
      <c r="F55" s="121"/>
      <c r="G55" s="121"/>
    </row>
    <row r="56" spans="1:16" ht="15.75" x14ac:dyDescent="0.25">
      <c r="A56" s="121" t="s">
        <v>127</v>
      </c>
      <c r="B56" s="121"/>
      <c r="C56" s="121"/>
      <c r="D56" s="121"/>
      <c r="E56" s="121"/>
      <c r="F56" s="121"/>
      <c r="G56" s="121"/>
    </row>
    <row r="57" spans="1:16" ht="15.75" x14ac:dyDescent="0.25">
      <c r="A57" s="121" t="s">
        <v>128</v>
      </c>
      <c r="B57" s="121"/>
      <c r="C57" s="121"/>
      <c r="D57" s="121"/>
      <c r="E57" s="121"/>
      <c r="F57" s="121"/>
      <c r="G57" s="121"/>
    </row>
    <row r="58" spans="1:16" ht="15.75" x14ac:dyDescent="0.25">
      <c r="A58" s="121" t="s">
        <v>126</v>
      </c>
      <c r="B58" s="121"/>
      <c r="C58" s="121"/>
      <c r="D58" s="121"/>
      <c r="E58" s="121"/>
      <c r="F58" s="121"/>
      <c r="G58" s="121"/>
    </row>
    <row r="59" spans="1:16" ht="15.75" x14ac:dyDescent="0.25">
      <c r="A59" s="128" t="s">
        <v>129</v>
      </c>
      <c r="B59" s="175">
        <f>(B51+B52)</f>
        <v>128334402</v>
      </c>
      <c r="C59" s="175">
        <f>(C51+C52)</f>
        <v>122510694.12</v>
      </c>
      <c r="D59" s="175">
        <f>(D51+D52)</f>
        <v>45816636.770000003</v>
      </c>
      <c r="E59" s="175">
        <f>(E51+E52)</f>
        <v>43813232.979999997</v>
      </c>
      <c r="F59" s="175">
        <f>(F51+F52)</f>
        <v>43804591.25</v>
      </c>
      <c r="G59" s="174">
        <f>(C59-D59)</f>
        <v>76694057.349999994</v>
      </c>
    </row>
    <row r="60" spans="1:16" ht="15.75" x14ac:dyDescent="0.25">
      <c r="A60" s="128" t="s">
        <v>130</v>
      </c>
      <c r="B60" s="174">
        <f>IF(B32&gt;B59,B32-B59,0)</f>
        <v>3141887</v>
      </c>
      <c r="C60" s="174">
        <f>IF(D32&gt;C59,D32-C59,0)</f>
        <v>8965594.8799999952</v>
      </c>
      <c r="D60" s="174">
        <f>IF(F32&gt;D59,F32-D59,0)</f>
        <v>0</v>
      </c>
      <c r="E60" s="174">
        <f>IF(E32&gt;E59,E32-E59,0)</f>
        <v>0</v>
      </c>
      <c r="F60" s="174">
        <v>0</v>
      </c>
      <c r="G60" s="140">
        <f>+C60-D60</f>
        <v>8965594.8799999952</v>
      </c>
    </row>
    <row r="61" spans="1:16" ht="15.75" x14ac:dyDescent="0.25">
      <c r="A61" s="128" t="s">
        <v>131</v>
      </c>
      <c r="B61" s="175">
        <f>B59+B60</f>
        <v>131476289</v>
      </c>
      <c r="C61" s="175">
        <f>C59+C60</f>
        <v>131476289</v>
      </c>
      <c r="D61" s="175">
        <f>D59+D60</f>
        <v>45816636.770000003</v>
      </c>
      <c r="E61" s="175">
        <f>E59+E60</f>
        <v>43813232.979999997</v>
      </c>
      <c r="F61" s="175">
        <f>F59+F60</f>
        <v>43804591.25</v>
      </c>
      <c r="G61" s="174">
        <f>(C61-D61)</f>
        <v>85659652.229999989</v>
      </c>
    </row>
    <row r="62" spans="1:16" ht="15.75" x14ac:dyDescent="0.25">
      <c r="A62" s="177" t="s">
        <v>132</v>
      </c>
      <c r="B62" s="175"/>
      <c r="C62" s="175"/>
      <c r="D62" s="175"/>
      <c r="E62" s="175"/>
      <c r="F62" s="175"/>
      <c r="G62" s="174"/>
    </row>
    <row r="63" spans="1:16" s="73" customFormat="1" ht="13.5" customHeight="1" x14ac:dyDescent="0.2">
      <c r="A63" s="178" t="s">
        <v>44</v>
      </c>
      <c r="B63" s="69"/>
      <c r="C63" s="69"/>
      <c r="D63" s="69"/>
      <c r="E63" s="70"/>
      <c r="F63" s="70"/>
      <c r="G63" s="70"/>
      <c r="H63" s="69"/>
      <c r="I63" s="179"/>
      <c r="J63" s="69"/>
      <c r="K63" s="70"/>
      <c r="L63" s="70"/>
      <c r="M63" s="70"/>
      <c r="N63" s="71"/>
    </row>
    <row r="64" spans="1:16" s="73" customFormat="1" ht="15" customHeight="1" x14ac:dyDescent="0.2">
      <c r="A64" s="178" t="s">
        <v>45</v>
      </c>
      <c r="B64" s="75"/>
      <c r="C64" s="75"/>
      <c r="D64" s="75"/>
      <c r="E64" s="75"/>
      <c r="F64" s="75"/>
      <c r="G64" s="75"/>
      <c r="H64" s="75"/>
      <c r="I64" s="180"/>
      <c r="J64" s="181"/>
      <c r="K64" s="75"/>
      <c r="L64" s="75"/>
      <c r="M64" s="75"/>
      <c r="N64" s="182"/>
      <c r="P64" s="183"/>
    </row>
    <row r="65" spans="1:14" s="73" customFormat="1" ht="14.85" customHeight="1" x14ac:dyDescent="0.2">
      <c r="A65" s="184" t="s">
        <v>46</v>
      </c>
      <c r="B65" s="184"/>
      <c r="C65" s="184"/>
      <c r="D65" s="184"/>
      <c r="E65" s="184"/>
      <c r="F65" s="184"/>
      <c r="G65" s="184"/>
      <c r="H65" s="185"/>
      <c r="I65" s="186"/>
      <c r="J65" s="185"/>
      <c r="K65" s="185"/>
      <c r="L65" s="185"/>
      <c r="M65" s="187"/>
      <c r="N65" s="76"/>
    </row>
    <row r="66" spans="1:14" s="73" customFormat="1" ht="14.85" customHeight="1" x14ac:dyDescent="0.2">
      <c r="A66" s="188" t="s">
        <v>47</v>
      </c>
      <c r="B66" s="188"/>
      <c r="C66" s="188"/>
      <c r="D66" s="188"/>
      <c r="E66" s="188"/>
      <c r="F66" s="188"/>
      <c r="G66" s="188"/>
      <c r="H66" s="188"/>
      <c r="I66" s="189"/>
      <c r="J66" s="188"/>
      <c r="K66" s="188"/>
      <c r="L66" s="188"/>
      <c r="M66" s="190"/>
      <c r="N66" s="191"/>
    </row>
    <row r="67" spans="1:14" s="73" customFormat="1" ht="14.85" customHeight="1" x14ac:dyDescent="0.2">
      <c r="A67" s="184" t="s">
        <v>133</v>
      </c>
      <c r="B67" s="184"/>
      <c r="C67" s="184"/>
      <c r="D67" s="184"/>
      <c r="E67" s="184"/>
      <c r="F67" s="184"/>
      <c r="G67" s="184"/>
      <c r="H67" s="185"/>
      <c r="I67" s="185"/>
      <c r="J67" s="185"/>
      <c r="K67" s="185"/>
      <c r="L67" s="185"/>
      <c r="M67" s="187"/>
      <c r="N67" s="191"/>
    </row>
    <row r="68" spans="1:14" s="73" customFormat="1" ht="14.85" customHeight="1" x14ac:dyDescent="0.2">
      <c r="A68" s="192" t="s">
        <v>134</v>
      </c>
      <c r="B68" s="192"/>
      <c r="C68" s="192"/>
      <c r="D68" s="192"/>
      <c r="E68" s="192"/>
      <c r="F68" s="192"/>
      <c r="G68" s="192"/>
      <c r="H68" s="185"/>
      <c r="I68" s="185"/>
      <c r="J68" s="185"/>
      <c r="K68" s="185"/>
      <c r="L68" s="185"/>
      <c r="M68" s="187"/>
      <c r="N68" s="191"/>
    </row>
    <row r="69" spans="1:14" s="73" customFormat="1" ht="14.85" customHeight="1" x14ac:dyDescent="0.2">
      <c r="A69" s="193" t="s">
        <v>135</v>
      </c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N69" s="191"/>
    </row>
    <row r="70" spans="1:14" ht="12.75" customHeight="1" x14ac:dyDescent="0.25">
      <c r="A70" s="194"/>
    </row>
    <row r="71" spans="1:14" ht="12.75" customHeight="1" x14ac:dyDescent="0.25">
      <c r="A71" s="194"/>
    </row>
    <row r="72" spans="1:14" ht="12" customHeight="1" x14ac:dyDescent="0.25">
      <c r="A72" s="194"/>
    </row>
    <row r="75" spans="1:14" ht="18.75" customHeight="1" x14ac:dyDescent="0.25"/>
    <row r="76" spans="1:14" s="2" customFormat="1" ht="13.5" customHeight="1" x14ac:dyDescent="0.2">
      <c r="A76" s="89"/>
      <c r="B76" s="195"/>
      <c r="C76" s="195"/>
      <c r="D76" s="195"/>
      <c r="E76" s="195"/>
      <c r="F76" s="195"/>
      <c r="G76" s="195"/>
      <c r="H76" s="195"/>
      <c r="I76" s="4"/>
    </row>
    <row r="77" spans="1:14" x14ac:dyDescent="0.25">
      <c r="C77" s="92" t="s">
        <v>62</v>
      </c>
      <c r="F77" s="90" t="s">
        <v>63</v>
      </c>
    </row>
    <row r="78" spans="1:14" x14ac:dyDescent="0.25">
      <c r="C78" s="95" t="s">
        <v>64</v>
      </c>
      <c r="F78" s="95" t="s">
        <v>65</v>
      </c>
    </row>
    <row r="79" spans="1:14" x14ac:dyDescent="0.25">
      <c r="C79" s="97" t="s">
        <v>66</v>
      </c>
      <c r="F79" s="100" t="s">
        <v>67</v>
      </c>
    </row>
    <row r="80" spans="1:14" x14ac:dyDescent="0.25">
      <c r="C80" s="97" t="s">
        <v>68</v>
      </c>
      <c r="F80" s="97" t="s">
        <v>68</v>
      </c>
    </row>
  </sheetData>
  <mergeCells count="70">
    <mergeCell ref="A68:G68"/>
    <mergeCell ref="A69:L69"/>
    <mergeCell ref="B76:D76"/>
    <mergeCell ref="E76:H76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E14C-CD58-4DE3-8D9A-A1BC44BE1554}">
  <sheetPr codeName="Plan11">
    <tabColor indexed="42"/>
    <pageSetUpPr fitToPage="1"/>
  </sheetPr>
  <dimension ref="A1:O42"/>
  <sheetViews>
    <sheetView zoomScaleNormal="100" workbookViewId="0">
      <selection activeCell="G19" sqref="G19"/>
    </sheetView>
  </sheetViews>
  <sheetFormatPr defaultRowHeight="15" x14ac:dyDescent="0.25"/>
  <cols>
    <col min="1" max="1" width="47.7109375" style="109" bestFit="1" customWidth="1"/>
    <col min="2" max="2" width="21.42578125" style="109" customWidth="1"/>
    <col min="3" max="3" width="22.85546875" style="109" customWidth="1"/>
    <col min="4" max="4" width="16.42578125" style="109" bestFit="1" customWidth="1"/>
    <col min="5" max="5" width="15.140625" style="109" bestFit="1" customWidth="1"/>
    <col min="6" max="6" width="19.42578125" style="109" customWidth="1"/>
    <col min="7" max="7" width="19.140625" style="109" bestFit="1" customWidth="1"/>
    <col min="8" max="8" width="9.140625" style="109" hidden="1" customWidth="1"/>
    <col min="9" max="9" width="15.28515625" style="109" hidden="1" customWidth="1"/>
    <col min="10" max="10" width="14.140625" style="109" hidden="1" customWidth="1"/>
    <col min="11" max="11" width="18" style="109" hidden="1" customWidth="1"/>
    <col min="12" max="13" width="0" style="109" hidden="1" customWidth="1"/>
    <col min="14" max="256" width="9.140625" style="109"/>
    <col min="257" max="257" width="47.7109375" style="109" bestFit="1" customWidth="1"/>
    <col min="258" max="258" width="21.42578125" style="109" customWidth="1"/>
    <col min="259" max="259" width="22.85546875" style="109" customWidth="1"/>
    <col min="260" max="260" width="16.42578125" style="109" bestFit="1" customWidth="1"/>
    <col min="261" max="261" width="15.140625" style="109" bestFit="1" customWidth="1"/>
    <col min="262" max="262" width="19.42578125" style="109" customWidth="1"/>
    <col min="263" max="263" width="19.140625" style="109" bestFit="1" customWidth="1"/>
    <col min="264" max="269" width="0" style="109" hidden="1" customWidth="1"/>
    <col min="270" max="512" width="9.140625" style="109"/>
    <col min="513" max="513" width="47.7109375" style="109" bestFit="1" customWidth="1"/>
    <col min="514" max="514" width="21.42578125" style="109" customWidth="1"/>
    <col min="515" max="515" width="22.85546875" style="109" customWidth="1"/>
    <col min="516" max="516" width="16.42578125" style="109" bestFit="1" customWidth="1"/>
    <col min="517" max="517" width="15.140625" style="109" bestFit="1" customWidth="1"/>
    <col min="518" max="518" width="19.42578125" style="109" customWidth="1"/>
    <col min="519" max="519" width="19.140625" style="109" bestFit="1" customWidth="1"/>
    <col min="520" max="525" width="0" style="109" hidden="1" customWidth="1"/>
    <col min="526" max="768" width="9.140625" style="109"/>
    <col min="769" max="769" width="47.7109375" style="109" bestFit="1" customWidth="1"/>
    <col min="770" max="770" width="21.42578125" style="109" customWidth="1"/>
    <col min="771" max="771" width="22.85546875" style="109" customWidth="1"/>
    <col min="772" max="772" width="16.42578125" style="109" bestFit="1" customWidth="1"/>
    <col min="773" max="773" width="15.140625" style="109" bestFit="1" customWidth="1"/>
    <col min="774" max="774" width="19.42578125" style="109" customWidth="1"/>
    <col min="775" max="775" width="19.140625" style="109" bestFit="1" customWidth="1"/>
    <col min="776" max="781" width="0" style="109" hidden="1" customWidth="1"/>
    <col min="782" max="1024" width="9.140625" style="109"/>
    <col min="1025" max="1025" width="47.7109375" style="109" bestFit="1" customWidth="1"/>
    <col min="1026" max="1026" width="21.42578125" style="109" customWidth="1"/>
    <col min="1027" max="1027" width="22.85546875" style="109" customWidth="1"/>
    <col min="1028" max="1028" width="16.42578125" style="109" bestFit="1" customWidth="1"/>
    <col min="1029" max="1029" width="15.140625" style="109" bestFit="1" customWidth="1"/>
    <col min="1030" max="1030" width="19.42578125" style="109" customWidth="1"/>
    <col min="1031" max="1031" width="19.140625" style="109" bestFit="1" customWidth="1"/>
    <col min="1032" max="1037" width="0" style="109" hidden="1" customWidth="1"/>
    <col min="1038" max="1280" width="9.140625" style="109"/>
    <col min="1281" max="1281" width="47.7109375" style="109" bestFit="1" customWidth="1"/>
    <col min="1282" max="1282" width="21.42578125" style="109" customWidth="1"/>
    <col min="1283" max="1283" width="22.85546875" style="109" customWidth="1"/>
    <col min="1284" max="1284" width="16.42578125" style="109" bestFit="1" customWidth="1"/>
    <col min="1285" max="1285" width="15.140625" style="109" bestFit="1" customWidth="1"/>
    <col min="1286" max="1286" width="19.42578125" style="109" customWidth="1"/>
    <col min="1287" max="1287" width="19.140625" style="109" bestFit="1" customWidth="1"/>
    <col min="1288" max="1293" width="0" style="109" hidden="1" customWidth="1"/>
    <col min="1294" max="1536" width="9.140625" style="109"/>
    <col min="1537" max="1537" width="47.7109375" style="109" bestFit="1" customWidth="1"/>
    <col min="1538" max="1538" width="21.42578125" style="109" customWidth="1"/>
    <col min="1539" max="1539" width="22.85546875" style="109" customWidth="1"/>
    <col min="1540" max="1540" width="16.42578125" style="109" bestFit="1" customWidth="1"/>
    <col min="1541" max="1541" width="15.140625" style="109" bestFit="1" customWidth="1"/>
    <col min="1542" max="1542" width="19.42578125" style="109" customWidth="1"/>
    <col min="1543" max="1543" width="19.140625" style="109" bestFit="1" customWidth="1"/>
    <col min="1544" max="1549" width="0" style="109" hidden="1" customWidth="1"/>
    <col min="1550" max="1792" width="9.140625" style="109"/>
    <col min="1793" max="1793" width="47.7109375" style="109" bestFit="1" customWidth="1"/>
    <col min="1794" max="1794" width="21.42578125" style="109" customWidth="1"/>
    <col min="1795" max="1795" width="22.85546875" style="109" customWidth="1"/>
    <col min="1796" max="1796" width="16.42578125" style="109" bestFit="1" customWidth="1"/>
    <col min="1797" max="1797" width="15.140625" style="109" bestFit="1" customWidth="1"/>
    <col min="1798" max="1798" width="19.42578125" style="109" customWidth="1"/>
    <col min="1799" max="1799" width="19.140625" style="109" bestFit="1" customWidth="1"/>
    <col min="1800" max="1805" width="0" style="109" hidden="1" customWidth="1"/>
    <col min="1806" max="2048" width="9.140625" style="109"/>
    <col min="2049" max="2049" width="47.7109375" style="109" bestFit="1" customWidth="1"/>
    <col min="2050" max="2050" width="21.42578125" style="109" customWidth="1"/>
    <col min="2051" max="2051" width="22.85546875" style="109" customWidth="1"/>
    <col min="2052" max="2052" width="16.42578125" style="109" bestFit="1" customWidth="1"/>
    <col min="2053" max="2053" width="15.140625" style="109" bestFit="1" customWidth="1"/>
    <col min="2054" max="2054" width="19.42578125" style="109" customWidth="1"/>
    <col min="2055" max="2055" width="19.140625" style="109" bestFit="1" customWidth="1"/>
    <col min="2056" max="2061" width="0" style="109" hidden="1" customWidth="1"/>
    <col min="2062" max="2304" width="9.140625" style="109"/>
    <col min="2305" max="2305" width="47.7109375" style="109" bestFit="1" customWidth="1"/>
    <col min="2306" max="2306" width="21.42578125" style="109" customWidth="1"/>
    <col min="2307" max="2307" width="22.85546875" style="109" customWidth="1"/>
    <col min="2308" max="2308" width="16.42578125" style="109" bestFit="1" customWidth="1"/>
    <col min="2309" max="2309" width="15.140625" style="109" bestFit="1" customWidth="1"/>
    <col min="2310" max="2310" width="19.42578125" style="109" customWidth="1"/>
    <col min="2311" max="2311" width="19.140625" style="109" bestFit="1" customWidth="1"/>
    <col min="2312" max="2317" width="0" style="109" hidden="1" customWidth="1"/>
    <col min="2318" max="2560" width="9.140625" style="109"/>
    <col min="2561" max="2561" width="47.7109375" style="109" bestFit="1" customWidth="1"/>
    <col min="2562" max="2562" width="21.42578125" style="109" customWidth="1"/>
    <col min="2563" max="2563" width="22.85546875" style="109" customWidth="1"/>
    <col min="2564" max="2564" width="16.42578125" style="109" bestFit="1" customWidth="1"/>
    <col min="2565" max="2565" width="15.140625" style="109" bestFit="1" customWidth="1"/>
    <col min="2566" max="2566" width="19.42578125" style="109" customWidth="1"/>
    <col min="2567" max="2567" width="19.140625" style="109" bestFit="1" customWidth="1"/>
    <col min="2568" max="2573" width="0" style="109" hidden="1" customWidth="1"/>
    <col min="2574" max="2816" width="9.140625" style="109"/>
    <col min="2817" max="2817" width="47.7109375" style="109" bestFit="1" customWidth="1"/>
    <col min="2818" max="2818" width="21.42578125" style="109" customWidth="1"/>
    <col min="2819" max="2819" width="22.85546875" style="109" customWidth="1"/>
    <col min="2820" max="2820" width="16.42578125" style="109" bestFit="1" customWidth="1"/>
    <col min="2821" max="2821" width="15.140625" style="109" bestFit="1" customWidth="1"/>
    <col min="2822" max="2822" width="19.42578125" style="109" customWidth="1"/>
    <col min="2823" max="2823" width="19.140625" style="109" bestFit="1" customWidth="1"/>
    <col min="2824" max="2829" width="0" style="109" hidden="1" customWidth="1"/>
    <col min="2830" max="3072" width="9.140625" style="109"/>
    <col min="3073" max="3073" width="47.7109375" style="109" bestFit="1" customWidth="1"/>
    <col min="3074" max="3074" width="21.42578125" style="109" customWidth="1"/>
    <col min="3075" max="3075" width="22.85546875" style="109" customWidth="1"/>
    <col min="3076" max="3076" width="16.42578125" style="109" bestFit="1" customWidth="1"/>
    <col min="3077" max="3077" width="15.140625" style="109" bestFit="1" customWidth="1"/>
    <col min="3078" max="3078" width="19.42578125" style="109" customWidth="1"/>
    <col min="3079" max="3079" width="19.140625" style="109" bestFit="1" customWidth="1"/>
    <col min="3080" max="3085" width="0" style="109" hidden="1" customWidth="1"/>
    <col min="3086" max="3328" width="9.140625" style="109"/>
    <col min="3329" max="3329" width="47.7109375" style="109" bestFit="1" customWidth="1"/>
    <col min="3330" max="3330" width="21.42578125" style="109" customWidth="1"/>
    <col min="3331" max="3331" width="22.85546875" style="109" customWidth="1"/>
    <col min="3332" max="3332" width="16.42578125" style="109" bestFit="1" customWidth="1"/>
    <col min="3333" max="3333" width="15.140625" style="109" bestFit="1" customWidth="1"/>
    <col min="3334" max="3334" width="19.42578125" style="109" customWidth="1"/>
    <col min="3335" max="3335" width="19.140625" style="109" bestFit="1" customWidth="1"/>
    <col min="3336" max="3341" width="0" style="109" hidden="1" customWidth="1"/>
    <col min="3342" max="3584" width="9.140625" style="109"/>
    <col min="3585" max="3585" width="47.7109375" style="109" bestFit="1" customWidth="1"/>
    <col min="3586" max="3586" width="21.42578125" style="109" customWidth="1"/>
    <col min="3587" max="3587" width="22.85546875" style="109" customWidth="1"/>
    <col min="3588" max="3588" width="16.42578125" style="109" bestFit="1" customWidth="1"/>
    <col min="3589" max="3589" width="15.140625" style="109" bestFit="1" customWidth="1"/>
    <col min="3590" max="3590" width="19.42578125" style="109" customWidth="1"/>
    <col min="3591" max="3591" width="19.140625" style="109" bestFit="1" customWidth="1"/>
    <col min="3592" max="3597" width="0" style="109" hidden="1" customWidth="1"/>
    <col min="3598" max="3840" width="9.140625" style="109"/>
    <col min="3841" max="3841" width="47.7109375" style="109" bestFit="1" customWidth="1"/>
    <col min="3842" max="3842" width="21.42578125" style="109" customWidth="1"/>
    <col min="3843" max="3843" width="22.85546875" style="109" customWidth="1"/>
    <col min="3844" max="3844" width="16.42578125" style="109" bestFit="1" customWidth="1"/>
    <col min="3845" max="3845" width="15.140625" style="109" bestFit="1" customWidth="1"/>
    <col min="3846" max="3846" width="19.42578125" style="109" customWidth="1"/>
    <col min="3847" max="3847" width="19.140625" style="109" bestFit="1" customWidth="1"/>
    <col min="3848" max="3853" width="0" style="109" hidden="1" customWidth="1"/>
    <col min="3854" max="4096" width="9.140625" style="109"/>
    <col min="4097" max="4097" width="47.7109375" style="109" bestFit="1" customWidth="1"/>
    <col min="4098" max="4098" width="21.42578125" style="109" customWidth="1"/>
    <col min="4099" max="4099" width="22.85546875" style="109" customWidth="1"/>
    <col min="4100" max="4100" width="16.42578125" style="109" bestFit="1" customWidth="1"/>
    <col min="4101" max="4101" width="15.140625" style="109" bestFit="1" customWidth="1"/>
    <col min="4102" max="4102" width="19.42578125" style="109" customWidth="1"/>
    <col min="4103" max="4103" width="19.140625" style="109" bestFit="1" customWidth="1"/>
    <col min="4104" max="4109" width="0" style="109" hidden="1" customWidth="1"/>
    <col min="4110" max="4352" width="9.140625" style="109"/>
    <col min="4353" max="4353" width="47.7109375" style="109" bestFit="1" customWidth="1"/>
    <col min="4354" max="4354" width="21.42578125" style="109" customWidth="1"/>
    <col min="4355" max="4355" width="22.85546875" style="109" customWidth="1"/>
    <col min="4356" max="4356" width="16.42578125" style="109" bestFit="1" customWidth="1"/>
    <col min="4357" max="4357" width="15.140625" style="109" bestFit="1" customWidth="1"/>
    <col min="4358" max="4358" width="19.42578125" style="109" customWidth="1"/>
    <col min="4359" max="4359" width="19.140625" style="109" bestFit="1" customWidth="1"/>
    <col min="4360" max="4365" width="0" style="109" hidden="1" customWidth="1"/>
    <col min="4366" max="4608" width="9.140625" style="109"/>
    <col min="4609" max="4609" width="47.7109375" style="109" bestFit="1" customWidth="1"/>
    <col min="4610" max="4610" width="21.42578125" style="109" customWidth="1"/>
    <col min="4611" max="4611" width="22.85546875" style="109" customWidth="1"/>
    <col min="4612" max="4612" width="16.42578125" style="109" bestFit="1" customWidth="1"/>
    <col min="4613" max="4613" width="15.140625" style="109" bestFit="1" customWidth="1"/>
    <col min="4614" max="4614" width="19.42578125" style="109" customWidth="1"/>
    <col min="4615" max="4615" width="19.140625" style="109" bestFit="1" customWidth="1"/>
    <col min="4616" max="4621" width="0" style="109" hidden="1" customWidth="1"/>
    <col min="4622" max="4864" width="9.140625" style="109"/>
    <col min="4865" max="4865" width="47.7109375" style="109" bestFit="1" customWidth="1"/>
    <col min="4866" max="4866" width="21.42578125" style="109" customWidth="1"/>
    <col min="4867" max="4867" width="22.85546875" style="109" customWidth="1"/>
    <col min="4868" max="4868" width="16.42578125" style="109" bestFit="1" customWidth="1"/>
    <col min="4869" max="4869" width="15.140625" style="109" bestFit="1" customWidth="1"/>
    <col min="4870" max="4870" width="19.42578125" style="109" customWidth="1"/>
    <col min="4871" max="4871" width="19.140625" style="109" bestFit="1" customWidth="1"/>
    <col min="4872" max="4877" width="0" style="109" hidden="1" customWidth="1"/>
    <col min="4878" max="5120" width="9.140625" style="109"/>
    <col min="5121" max="5121" width="47.7109375" style="109" bestFit="1" customWidth="1"/>
    <col min="5122" max="5122" width="21.42578125" style="109" customWidth="1"/>
    <col min="5123" max="5123" width="22.85546875" style="109" customWidth="1"/>
    <col min="5124" max="5124" width="16.42578125" style="109" bestFit="1" customWidth="1"/>
    <col min="5125" max="5125" width="15.140625" style="109" bestFit="1" customWidth="1"/>
    <col min="5126" max="5126" width="19.42578125" style="109" customWidth="1"/>
    <col min="5127" max="5127" width="19.140625" style="109" bestFit="1" customWidth="1"/>
    <col min="5128" max="5133" width="0" style="109" hidden="1" customWidth="1"/>
    <col min="5134" max="5376" width="9.140625" style="109"/>
    <col min="5377" max="5377" width="47.7109375" style="109" bestFit="1" customWidth="1"/>
    <col min="5378" max="5378" width="21.42578125" style="109" customWidth="1"/>
    <col min="5379" max="5379" width="22.85546875" style="109" customWidth="1"/>
    <col min="5380" max="5380" width="16.42578125" style="109" bestFit="1" customWidth="1"/>
    <col min="5381" max="5381" width="15.140625" style="109" bestFit="1" customWidth="1"/>
    <col min="5382" max="5382" width="19.42578125" style="109" customWidth="1"/>
    <col min="5383" max="5383" width="19.140625" style="109" bestFit="1" customWidth="1"/>
    <col min="5384" max="5389" width="0" style="109" hidden="1" customWidth="1"/>
    <col min="5390" max="5632" width="9.140625" style="109"/>
    <col min="5633" max="5633" width="47.7109375" style="109" bestFit="1" customWidth="1"/>
    <col min="5634" max="5634" width="21.42578125" style="109" customWidth="1"/>
    <col min="5635" max="5635" width="22.85546875" style="109" customWidth="1"/>
    <col min="5636" max="5636" width="16.42578125" style="109" bestFit="1" customWidth="1"/>
    <col min="5637" max="5637" width="15.140625" style="109" bestFit="1" customWidth="1"/>
    <col min="5638" max="5638" width="19.42578125" style="109" customWidth="1"/>
    <col min="5639" max="5639" width="19.140625" style="109" bestFit="1" customWidth="1"/>
    <col min="5640" max="5645" width="0" style="109" hidden="1" customWidth="1"/>
    <col min="5646" max="5888" width="9.140625" style="109"/>
    <col min="5889" max="5889" width="47.7109375" style="109" bestFit="1" customWidth="1"/>
    <col min="5890" max="5890" width="21.42578125" style="109" customWidth="1"/>
    <col min="5891" max="5891" width="22.85546875" style="109" customWidth="1"/>
    <col min="5892" max="5892" width="16.42578125" style="109" bestFit="1" customWidth="1"/>
    <col min="5893" max="5893" width="15.140625" style="109" bestFit="1" customWidth="1"/>
    <col min="5894" max="5894" width="19.42578125" style="109" customWidth="1"/>
    <col min="5895" max="5895" width="19.140625" style="109" bestFit="1" customWidth="1"/>
    <col min="5896" max="5901" width="0" style="109" hidden="1" customWidth="1"/>
    <col min="5902" max="6144" width="9.140625" style="109"/>
    <col min="6145" max="6145" width="47.7109375" style="109" bestFit="1" customWidth="1"/>
    <col min="6146" max="6146" width="21.42578125" style="109" customWidth="1"/>
    <col min="6147" max="6147" width="22.85546875" style="109" customWidth="1"/>
    <col min="6148" max="6148" width="16.42578125" style="109" bestFit="1" customWidth="1"/>
    <col min="6149" max="6149" width="15.140625" style="109" bestFit="1" customWidth="1"/>
    <col min="6150" max="6150" width="19.42578125" style="109" customWidth="1"/>
    <col min="6151" max="6151" width="19.140625" style="109" bestFit="1" customWidth="1"/>
    <col min="6152" max="6157" width="0" style="109" hidden="1" customWidth="1"/>
    <col min="6158" max="6400" width="9.140625" style="109"/>
    <col min="6401" max="6401" width="47.7109375" style="109" bestFit="1" customWidth="1"/>
    <col min="6402" max="6402" width="21.42578125" style="109" customWidth="1"/>
    <col min="6403" max="6403" width="22.85546875" style="109" customWidth="1"/>
    <col min="6404" max="6404" width="16.42578125" style="109" bestFit="1" customWidth="1"/>
    <col min="6405" max="6405" width="15.140625" style="109" bestFit="1" customWidth="1"/>
    <col min="6406" max="6406" width="19.42578125" style="109" customWidth="1"/>
    <col min="6407" max="6407" width="19.140625" style="109" bestFit="1" customWidth="1"/>
    <col min="6408" max="6413" width="0" style="109" hidden="1" customWidth="1"/>
    <col min="6414" max="6656" width="9.140625" style="109"/>
    <col min="6657" max="6657" width="47.7109375" style="109" bestFit="1" customWidth="1"/>
    <col min="6658" max="6658" width="21.42578125" style="109" customWidth="1"/>
    <col min="6659" max="6659" width="22.85546875" style="109" customWidth="1"/>
    <col min="6660" max="6660" width="16.42578125" style="109" bestFit="1" customWidth="1"/>
    <col min="6661" max="6661" width="15.140625" style="109" bestFit="1" customWidth="1"/>
    <col min="6662" max="6662" width="19.42578125" style="109" customWidth="1"/>
    <col min="6663" max="6663" width="19.140625" style="109" bestFit="1" customWidth="1"/>
    <col min="6664" max="6669" width="0" style="109" hidden="1" customWidth="1"/>
    <col min="6670" max="6912" width="9.140625" style="109"/>
    <col min="6913" max="6913" width="47.7109375" style="109" bestFit="1" customWidth="1"/>
    <col min="6914" max="6914" width="21.42578125" style="109" customWidth="1"/>
    <col min="6915" max="6915" width="22.85546875" style="109" customWidth="1"/>
    <col min="6916" max="6916" width="16.42578125" style="109" bestFit="1" customWidth="1"/>
    <col min="6917" max="6917" width="15.140625" style="109" bestFit="1" customWidth="1"/>
    <col min="6918" max="6918" width="19.42578125" style="109" customWidth="1"/>
    <col min="6919" max="6919" width="19.140625" style="109" bestFit="1" customWidth="1"/>
    <col min="6920" max="6925" width="0" style="109" hidden="1" customWidth="1"/>
    <col min="6926" max="7168" width="9.140625" style="109"/>
    <col min="7169" max="7169" width="47.7109375" style="109" bestFit="1" customWidth="1"/>
    <col min="7170" max="7170" width="21.42578125" style="109" customWidth="1"/>
    <col min="7171" max="7171" width="22.85546875" style="109" customWidth="1"/>
    <col min="7172" max="7172" width="16.42578125" style="109" bestFit="1" customWidth="1"/>
    <col min="7173" max="7173" width="15.140625" style="109" bestFit="1" customWidth="1"/>
    <col min="7174" max="7174" width="19.42578125" style="109" customWidth="1"/>
    <col min="7175" max="7175" width="19.140625" style="109" bestFit="1" customWidth="1"/>
    <col min="7176" max="7181" width="0" style="109" hidden="1" customWidth="1"/>
    <col min="7182" max="7424" width="9.140625" style="109"/>
    <col min="7425" max="7425" width="47.7109375" style="109" bestFit="1" customWidth="1"/>
    <col min="7426" max="7426" width="21.42578125" style="109" customWidth="1"/>
    <col min="7427" max="7427" width="22.85546875" style="109" customWidth="1"/>
    <col min="7428" max="7428" width="16.42578125" style="109" bestFit="1" customWidth="1"/>
    <col min="7429" max="7429" width="15.140625" style="109" bestFit="1" customWidth="1"/>
    <col min="7430" max="7430" width="19.42578125" style="109" customWidth="1"/>
    <col min="7431" max="7431" width="19.140625" style="109" bestFit="1" customWidth="1"/>
    <col min="7432" max="7437" width="0" style="109" hidden="1" customWidth="1"/>
    <col min="7438" max="7680" width="9.140625" style="109"/>
    <col min="7681" max="7681" width="47.7109375" style="109" bestFit="1" customWidth="1"/>
    <col min="7682" max="7682" width="21.42578125" style="109" customWidth="1"/>
    <col min="7683" max="7683" width="22.85546875" style="109" customWidth="1"/>
    <col min="7684" max="7684" width="16.42578125" style="109" bestFit="1" customWidth="1"/>
    <col min="7685" max="7685" width="15.140625" style="109" bestFit="1" customWidth="1"/>
    <col min="7686" max="7686" width="19.42578125" style="109" customWidth="1"/>
    <col min="7687" max="7687" width="19.140625" style="109" bestFit="1" customWidth="1"/>
    <col min="7688" max="7693" width="0" style="109" hidden="1" customWidth="1"/>
    <col min="7694" max="7936" width="9.140625" style="109"/>
    <col min="7937" max="7937" width="47.7109375" style="109" bestFit="1" customWidth="1"/>
    <col min="7938" max="7938" width="21.42578125" style="109" customWidth="1"/>
    <col min="7939" max="7939" width="22.85546875" style="109" customWidth="1"/>
    <col min="7940" max="7940" width="16.42578125" style="109" bestFit="1" customWidth="1"/>
    <col min="7941" max="7941" width="15.140625" style="109" bestFit="1" customWidth="1"/>
    <col min="7942" max="7942" width="19.42578125" style="109" customWidth="1"/>
    <col min="7943" max="7943" width="19.140625" style="109" bestFit="1" customWidth="1"/>
    <col min="7944" max="7949" width="0" style="109" hidden="1" customWidth="1"/>
    <col min="7950" max="8192" width="9.140625" style="109"/>
    <col min="8193" max="8193" width="47.7109375" style="109" bestFit="1" customWidth="1"/>
    <col min="8194" max="8194" width="21.42578125" style="109" customWidth="1"/>
    <col min="8195" max="8195" width="22.85546875" style="109" customWidth="1"/>
    <col min="8196" max="8196" width="16.42578125" style="109" bestFit="1" customWidth="1"/>
    <col min="8197" max="8197" width="15.140625" style="109" bestFit="1" customWidth="1"/>
    <col min="8198" max="8198" width="19.42578125" style="109" customWidth="1"/>
    <col min="8199" max="8199" width="19.140625" style="109" bestFit="1" customWidth="1"/>
    <col min="8200" max="8205" width="0" style="109" hidden="1" customWidth="1"/>
    <col min="8206" max="8448" width="9.140625" style="109"/>
    <col min="8449" max="8449" width="47.7109375" style="109" bestFit="1" customWidth="1"/>
    <col min="8450" max="8450" width="21.42578125" style="109" customWidth="1"/>
    <col min="8451" max="8451" width="22.85546875" style="109" customWidth="1"/>
    <col min="8452" max="8452" width="16.42578125" style="109" bestFit="1" customWidth="1"/>
    <col min="8453" max="8453" width="15.140625" style="109" bestFit="1" customWidth="1"/>
    <col min="8454" max="8454" width="19.42578125" style="109" customWidth="1"/>
    <col min="8455" max="8455" width="19.140625" style="109" bestFit="1" customWidth="1"/>
    <col min="8456" max="8461" width="0" style="109" hidden="1" customWidth="1"/>
    <col min="8462" max="8704" width="9.140625" style="109"/>
    <col min="8705" max="8705" width="47.7109375" style="109" bestFit="1" customWidth="1"/>
    <col min="8706" max="8706" width="21.42578125" style="109" customWidth="1"/>
    <col min="8707" max="8707" width="22.85546875" style="109" customWidth="1"/>
    <col min="8708" max="8708" width="16.42578125" style="109" bestFit="1" customWidth="1"/>
    <col min="8709" max="8709" width="15.140625" style="109" bestFit="1" customWidth="1"/>
    <col min="8710" max="8710" width="19.42578125" style="109" customWidth="1"/>
    <col min="8711" max="8711" width="19.140625" style="109" bestFit="1" customWidth="1"/>
    <col min="8712" max="8717" width="0" style="109" hidden="1" customWidth="1"/>
    <col min="8718" max="8960" width="9.140625" style="109"/>
    <col min="8961" max="8961" width="47.7109375" style="109" bestFit="1" customWidth="1"/>
    <col min="8962" max="8962" width="21.42578125" style="109" customWidth="1"/>
    <col min="8963" max="8963" width="22.85546875" style="109" customWidth="1"/>
    <col min="8964" max="8964" width="16.42578125" style="109" bestFit="1" customWidth="1"/>
    <col min="8965" max="8965" width="15.140625" style="109" bestFit="1" customWidth="1"/>
    <col min="8966" max="8966" width="19.42578125" style="109" customWidth="1"/>
    <col min="8967" max="8967" width="19.140625" style="109" bestFit="1" customWidth="1"/>
    <col min="8968" max="8973" width="0" style="109" hidden="1" customWidth="1"/>
    <col min="8974" max="9216" width="9.140625" style="109"/>
    <col min="9217" max="9217" width="47.7109375" style="109" bestFit="1" customWidth="1"/>
    <col min="9218" max="9218" width="21.42578125" style="109" customWidth="1"/>
    <col min="9219" max="9219" width="22.85546875" style="109" customWidth="1"/>
    <col min="9220" max="9220" width="16.42578125" style="109" bestFit="1" customWidth="1"/>
    <col min="9221" max="9221" width="15.140625" style="109" bestFit="1" customWidth="1"/>
    <col min="9222" max="9222" width="19.42578125" style="109" customWidth="1"/>
    <col min="9223" max="9223" width="19.140625" style="109" bestFit="1" customWidth="1"/>
    <col min="9224" max="9229" width="0" style="109" hidden="1" customWidth="1"/>
    <col min="9230" max="9472" width="9.140625" style="109"/>
    <col min="9473" max="9473" width="47.7109375" style="109" bestFit="1" customWidth="1"/>
    <col min="9474" max="9474" width="21.42578125" style="109" customWidth="1"/>
    <col min="9475" max="9475" width="22.85546875" style="109" customWidth="1"/>
    <col min="9476" max="9476" width="16.42578125" style="109" bestFit="1" customWidth="1"/>
    <col min="9477" max="9477" width="15.140625" style="109" bestFit="1" customWidth="1"/>
    <col min="9478" max="9478" width="19.42578125" style="109" customWidth="1"/>
    <col min="9479" max="9479" width="19.140625" style="109" bestFit="1" customWidth="1"/>
    <col min="9480" max="9485" width="0" style="109" hidden="1" customWidth="1"/>
    <col min="9486" max="9728" width="9.140625" style="109"/>
    <col min="9729" max="9729" width="47.7109375" style="109" bestFit="1" customWidth="1"/>
    <col min="9730" max="9730" width="21.42578125" style="109" customWidth="1"/>
    <col min="9731" max="9731" width="22.85546875" style="109" customWidth="1"/>
    <col min="9732" max="9732" width="16.42578125" style="109" bestFit="1" customWidth="1"/>
    <col min="9733" max="9733" width="15.140625" style="109" bestFit="1" customWidth="1"/>
    <col min="9734" max="9734" width="19.42578125" style="109" customWidth="1"/>
    <col min="9735" max="9735" width="19.140625" style="109" bestFit="1" customWidth="1"/>
    <col min="9736" max="9741" width="0" style="109" hidden="1" customWidth="1"/>
    <col min="9742" max="9984" width="9.140625" style="109"/>
    <col min="9985" max="9985" width="47.7109375" style="109" bestFit="1" customWidth="1"/>
    <col min="9986" max="9986" width="21.42578125" style="109" customWidth="1"/>
    <col min="9987" max="9987" width="22.85546875" style="109" customWidth="1"/>
    <col min="9988" max="9988" width="16.42578125" style="109" bestFit="1" customWidth="1"/>
    <col min="9989" max="9989" width="15.140625" style="109" bestFit="1" customWidth="1"/>
    <col min="9990" max="9990" width="19.42578125" style="109" customWidth="1"/>
    <col min="9991" max="9991" width="19.140625" style="109" bestFit="1" customWidth="1"/>
    <col min="9992" max="9997" width="0" style="109" hidden="1" customWidth="1"/>
    <col min="9998" max="10240" width="9.140625" style="109"/>
    <col min="10241" max="10241" width="47.7109375" style="109" bestFit="1" customWidth="1"/>
    <col min="10242" max="10242" width="21.42578125" style="109" customWidth="1"/>
    <col min="10243" max="10243" width="22.85546875" style="109" customWidth="1"/>
    <col min="10244" max="10244" width="16.42578125" style="109" bestFit="1" customWidth="1"/>
    <col min="10245" max="10245" width="15.140625" style="109" bestFit="1" customWidth="1"/>
    <col min="10246" max="10246" width="19.42578125" style="109" customWidth="1"/>
    <col min="10247" max="10247" width="19.140625" style="109" bestFit="1" customWidth="1"/>
    <col min="10248" max="10253" width="0" style="109" hidden="1" customWidth="1"/>
    <col min="10254" max="10496" width="9.140625" style="109"/>
    <col min="10497" max="10497" width="47.7109375" style="109" bestFit="1" customWidth="1"/>
    <col min="10498" max="10498" width="21.42578125" style="109" customWidth="1"/>
    <col min="10499" max="10499" width="22.85546875" style="109" customWidth="1"/>
    <col min="10500" max="10500" width="16.42578125" style="109" bestFit="1" customWidth="1"/>
    <col min="10501" max="10501" width="15.140625" style="109" bestFit="1" customWidth="1"/>
    <col min="10502" max="10502" width="19.42578125" style="109" customWidth="1"/>
    <col min="10503" max="10503" width="19.140625" style="109" bestFit="1" customWidth="1"/>
    <col min="10504" max="10509" width="0" style="109" hidden="1" customWidth="1"/>
    <col min="10510" max="10752" width="9.140625" style="109"/>
    <col min="10753" max="10753" width="47.7109375" style="109" bestFit="1" customWidth="1"/>
    <col min="10754" max="10754" width="21.42578125" style="109" customWidth="1"/>
    <col min="10755" max="10755" width="22.85546875" style="109" customWidth="1"/>
    <col min="10756" max="10756" width="16.42578125" style="109" bestFit="1" customWidth="1"/>
    <col min="10757" max="10757" width="15.140625" style="109" bestFit="1" customWidth="1"/>
    <col min="10758" max="10758" width="19.42578125" style="109" customWidth="1"/>
    <col min="10759" max="10759" width="19.140625" style="109" bestFit="1" customWidth="1"/>
    <col min="10760" max="10765" width="0" style="109" hidden="1" customWidth="1"/>
    <col min="10766" max="11008" width="9.140625" style="109"/>
    <col min="11009" max="11009" width="47.7109375" style="109" bestFit="1" customWidth="1"/>
    <col min="11010" max="11010" width="21.42578125" style="109" customWidth="1"/>
    <col min="11011" max="11011" width="22.85546875" style="109" customWidth="1"/>
    <col min="11012" max="11012" width="16.42578125" style="109" bestFit="1" customWidth="1"/>
    <col min="11013" max="11013" width="15.140625" style="109" bestFit="1" customWidth="1"/>
    <col min="11014" max="11014" width="19.42578125" style="109" customWidth="1"/>
    <col min="11015" max="11015" width="19.140625" style="109" bestFit="1" customWidth="1"/>
    <col min="11016" max="11021" width="0" style="109" hidden="1" customWidth="1"/>
    <col min="11022" max="11264" width="9.140625" style="109"/>
    <col min="11265" max="11265" width="47.7109375" style="109" bestFit="1" customWidth="1"/>
    <col min="11266" max="11266" width="21.42578125" style="109" customWidth="1"/>
    <col min="11267" max="11267" width="22.85546875" style="109" customWidth="1"/>
    <col min="11268" max="11268" width="16.42578125" style="109" bestFit="1" customWidth="1"/>
    <col min="11269" max="11269" width="15.140625" style="109" bestFit="1" customWidth="1"/>
    <col min="11270" max="11270" width="19.42578125" style="109" customWidth="1"/>
    <col min="11271" max="11271" width="19.140625" style="109" bestFit="1" customWidth="1"/>
    <col min="11272" max="11277" width="0" style="109" hidden="1" customWidth="1"/>
    <col min="11278" max="11520" width="9.140625" style="109"/>
    <col min="11521" max="11521" width="47.7109375" style="109" bestFit="1" customWidth="1"/>
    <col min="11522" max="11522" width="21.42578125" style="109" customWidth="1"/>
    <col min="11523" max="11523" width="22.85546875" style="109" customWidth="1"/>
    <col min="11524" max="11524" width="16.42578125" style="109" bestFit="1" customWidth="1"/>
    <col min="11525" max="11525" width="15.140625" style="109" bestFit="1" customWidth="1"/>
    <col min="11526" max="11526" width="19.42578125" style="109" customWidth="1"/>
    <col min="11527" max="11527" width="19.140625" style="109" bestFit="1" customWidth="1"/>
    <col min="11528" max="11533" width="0" style="109" hidden="1" customWidth="1"/>
    <col min="11534" max="11776" width="9.140625" style="109"/>
    <col min="11777" max="11777" width="47.7109375" style="109" bestFit="1" customWidth="1"/>
    <col min="11778" max="11778" width="21.42578125" style="109" customWidth="1"/>
    <col min="11779" max="11779" width="22.85546875" style="109" customWidth="1"/>
    <col min="11780" max="11780" width="16.42578125" style="109" bestFit="1" customWidth="1"/>
    <col min="11781" max="11781" width="15.140625" style="109" bestFit="1" customWidth="1"/>
    <col min="11782" max="11782" width="19.42578125" style="109" customWidth="1"/>
    <col min="11783" max="11783" width="19.140625" style="109" bestFit="1" customWidth="1"/>
    <col min="11784" max="11789" width="0" style="109" hidden="1" customWidth="1"/>
    <col min="11790" max="12032" width="9.140625" style="109"/>
    <col min="12033" max="12033" width="47.7109375" style="109" bestFit="1" customWidth="1"/>
    <col min="12034" max="12034" width="21.42578125" style="109" customWidth="1"/>
    <col min="12035" max="12035" width="22.85546875" style="109" customWidth="1"/>
    <col min="12036" max="12036" width="16.42578125" style="109" bestFit="1" customWidth="1"/>
    <col min="12037" max="12037" width="15.140625" style="109" bestFit="1" customWidth="1"/>
    <col min="12038" max="12038" width="19.42578125" style="109" customWidth="1"/>
    <col min="12039" max="12039" width="19.140625" style="109" bestFit="1" customWidth="1"/>
    <col min="12040" max="12045" width="0" style="109" hidden="1" customWidth="1"/>
    <col min="12046" max="12288" width="9.140625" style="109"/>
    <col min="12289" max="12289" width="47.7109375" style="109" bestFit="1" customWidth="1"/>
    <col min="12290" max="12290" width="21.42578125" style="109" customWidth="1"/>
    <col min="12291" max="12291" width="22.85546875" style="109" customWidth="1"/>
    <col min="12292" max="12292" width="16.42578125" style="109" bestFit="1" customWidth="1"/>
    <col min="12293" max="12293" width="15.140625" style="109" bestFit="1" customWidth="1"/>
    <col min="12294" max="12294" width="19.42578125" style="109" customWidth="1"/>
    <col min="12295" max="12295" width="19.140625" style="109" bestFit="1" customWidth="1"/>
    <col min="12296" max="12301" width="0" style="109" hidden="1" customWidth="1"/>
    <col min="12302" max="12544" width="9.140625" style="109"/>
    <col min="12545" max="12545" width="47.7109375" style="109" bestFit="1" customWidth="1"/>
    <col min="12546" max="12546" width="21.42578125" style="109" customWidth="1"/>
    <col min="12547" max="12547" width="22.85546875" style="109" customWidth="1"/>
    <col min="12548" max="12548" width="16.42578125" style="109" bestFit="1" customWidth="1"/>
    <col min="12549" max="12549" width="15.140625" style="109" bestFit="1" customWidth="1"/>
    <col min="12550" max="12550" width="19.42578125" style="109" customWidth="1"/>
    <col min="12551" max="12551" width="19.140625" style="109" bestFit="1" customWidth="1"/>
    <col min="12552" max="12557" width="0" style="109" hidden="1" customWidth="1"/>
    <col min="12558" max="12800" width="9.140625" style="109"/>
    <col min="12801" max="12801" width="47.7109375" style="109" bestFit="1" customWidth="1"/>
    <col min="12802" max="12802" width="21.42578125" style="109" customWidth="1"/>
    <col min="12803" max="12803" width="22.85546875" style="109" customWidth="1"/>
    <col min="12804" max="12804" width="16.42578125" style="109" bestFit="1" customWidth="1"/>
    <col min="12805" max="12805" width="15.140625" style="109" bestFit="1" customWidth="1"/>
    <col min="12806" max="12806" width="19.42578125" style="109" customWidth="1"/>
    <col min="12807" max="12807" width="19.140625" style="109" bestFit="1" customWidth="1"/>
    <col min="12808" max="12813" width="0" style="109" hidden="1" customWidth="1"/>
    <col min="12814" max="13056" width="9.140625" style="109"/>
    <col min="13057" max="13057" width="47.7109375" style="109" bestFit="1" customWidth="1"/>
    <col min="13058" max="13058" width="21.42578125" style="109" customWidth="1"/>
    <col min="13059" max="13059" width="22.85546875" style="109" customWidth="1"/>
    <col min="13060" max="13060" width="16.42578125" style="109" bestFit="1" customWidth="1"/>
    <col min="13061" max="13061" width="15.140625" style="109" bestFit="1" customWidth="1"/>
    <col min="13062" max="13062" width="19.42578125" style="109" customWidth="1"/>
    <col min="13063" max="13063" width="19.140625" style="109" bestFit="1" customWidth="1"/>
    <col min="13064" max="13069" width="0" style="109" hidden="1" customWidth="1"/>
    <col min="13070" max="13312" width="9.140625" style="109"/>
    <col min="13313" max="13313" width="47.7109375" style="109" bestFit="1" customWidth="1"/>
    <col min="13314" max="13314" width="21.42578125" style="109" customWidth="1"/>
    <col min="13315" max="13315" width="22.85546875" style="109" customWidth="1"/>
    <col min="13316" max="13316" width="16.42578125" style="109" bestFit="1" customWidth="1"/>
    <col min="13317" max="13317" width="15.140625" style="109" bestFit="1" customWidth="1"/>
    <col min="13318" max="13318" width="19.42578125" style="109" customWidth="1"/>
    <col min="13319" max="13319" width="19.140625" style="109" bestFit="1" customWidth="1"/>
    <col min="13320" max="13325" width="0" style="109" hidden="1" customWidth="1"/>
    <col min="13326" max="13568" width="9.140625" style="109"/>
    <col min="13569" max="13569" width="47.7109375" style="109" bestFit="1" customWidth="1"/>
    <col min="13570" max="13570" width="21.42578125" style="109" customWidth="1"/>
    <col min="13571" max="13571" width="22.85546875" style="109" customWidth="1"/>
    <col min="13572" max="13572" width="16.42578125" style="109" bestFit="1" customWidth="1"/>
    <col min="13573" max="13573" width="15.140625" style="109" bestFit="1" customWidth="1"/>
    <col min="13574" max="13574" width="19.42578125" style="109" customWidth="1"/>
    <col min="13575" max="13575" width="19.140625" style="109" bestFit="1" customWidth="1"/>
    <col min="13576" max="13581" width="0" style="109" hidden="1" customWidth="1"/>
    <col min="13582" max="13824" width="9.140625" style="109"/>
    <col min="13825" max="13825" width="47.7109375" style="109" bestFit="1" customWidth="1"/>
    <col min="13826" max="13826" width="21.42578125" style="109" customWidth="1"/>
    <col min="13827" max="13827" width="22.85546875" style="109" customWidth="1"/>
    <col min="13828" max="13828" width="16.42578125" style="109" bestFit="1" customWidth="1"/>
    <col min="13829" max="13829" width="15.140625" style="109" bestFit="1" customWidth="1"/>
    <col min="13830" max="13830" width="19.42578125" style="109" customWidth="1"/>
    <col min="13831" max="13831" width="19.140625" style="109" bestFit="1" customWidth="1"/>
    <col min="13832" max="13837" width="0" style="109" hidden="1" customWidth="1"/>
    <col min="13838" max="14080" width="9.140625" style="109"/>
    <col min="14081" max="14081" width="47.7109375" style="109" bestFit="1" customWidth="1"/>
    <col min="14082" max="14082" width="21.42578125" style="109" customWidth="1"/>
    <col min="14083" max="14083" width="22.85546875" style="109" customWidth="1"/>
    <col min="14084" max="14084" width="16.42578125" style="109" bestFit="1" customWidth="1"/>
    <col min="14085" max="14085" width="15.140625" style="109" bestFit="1" customWidth="1"/>
    <col min="14086" max="14086" width="19.42578125" style="109" customWidth="1"/>
    <col min="14087" max="14087" width="19.140625" style="109" bestFit="1" customWidth="1"/>
    <col min="14088" max="14093" width="0" style="109" hidden="1" customWidth="1"/>
    <col min="14094" max="14336" width="9.140625" style="109"/>
    <col min="14337" max="14337" width="47.7109375" style="109" bestFit="1" customWidth="1"/>
    <col min="14338" max="14338" width="21.42578125" style="109" customWidth="1"/>
    <col min="14339" max="14339" width="22.85546875" style="109" customWidth="1"/>
    <col min="14340" max="14340" width="16.42578125" style="109" bestFit="1" customWidth="1"/>
    <col min="14341" max="14341" width="15.140625" style="109" bestFit="1" customWidth="1"/>
    <col min="14342" max="14342" width="19.42578125" style="109" customWidth="1"/>
    <col min="14343" max="14343" width="19.140625" style="109" bestFit="1" customWidth="1"/>
    <col min="14344" max="14349" width="0" style="109" hidden="1" customWidth="1"/>
    <col min="14350" max="14592" width="9.140625" style="109"/>
    <col min="14593" max="14593" width="47.7109375" style="109" bestFit="1" customWidth="1"/>
    <col min="14594" max="14594" width="21.42578125" style="109" customWidth="1"/>
    <col min="14595" max="14595" width="22.85546875" style="109" customWidth="1"/>
    <col min="14596" max="14596" width="16.42578125" style="109" bestFit="1" customWidth="1"/>
    <col min="14597" max="14597" width="15.140625" style="109" bestFit="1" customWidth="1"/>
    <col min="14598" max="14598" width="19.42578125" style="109" customWidth="1"/>
    <col min="14599" max="14599" width="19.140625" style="109" bestFit="1" customWidth="1"/>
    <col min="14600" max="14605" width="0" style="109" hidden="1" customWidth="1"/>
    <col min="14606" max="14848" width="9.140625" style="109"/>
    <col min="14849" max="14849" width="47.7109375" style="109" bestFit="1" customWidth="1"/>
    <col min="14850" max="14850" width="21.42578125" style="109" customWidth="1"/>
    <col min="14851" max="14851" width="22.85546875" style="109" customWidth="1"/>
    <col min="14852" max="14852" width="16.42578125" style="109" bestFit="1" customWidth="1"/>
    <col min="14853" max="14853" width="15.140625" style="109" bestFit="1" customWidth="1"/>
    <col min="14854" max="14854" width="19.42578125" style="109" customWidth="1"/>
    <col min="14855" max="14855" width="19.140625" style="109" bestFit="1" customWidth="1"/>
    <col min="14856" max="14861" width="0" style="109" hidden="1" customWidth="1"/>
    <col min="14862" max="15104" width="9.140625" style="109"/>
    <col min="15105" max="15105" width="47.7109375" style="109" bestFit="1" customWidth="1"/>
    <col min="15106" max="15106" width="21.42578125" style="109" customWidth="1"/>
    <col min="15107" max="15107" width="22.85546875" style="109" customWidth="1"/>
    <col min="15108" max="15108" width="16.42578125" style="109" bestFit="1" customWidth="1"/>
    <col min="15109" max="15109" width="15.140625" style="109" bestFit="1" customWidth="1"/>
    <col min="15110" max="15110" width="19.42578125" style="109" customWidth="1"/>
    <col min="15111" max="15111" width="19.140625" style="109" bestFit="1" customWidth="1"/>
    <col min="15112" max="15117" width="0" style="109" hidden="1" customWidth="1"/>
    <col min="15118" max="15360" width="9.140625" style="109"/>
    <col min="15361" max="15361" width="47.7109375" style="109" bestFit="1" customWidth="1"/>
    <col min="15362" max="15362" width="21.42578125" style="109" customWidth="1"/>
    <col min="15363" max="15363" width="22.85546875" style="109" customWidth="1"/>
    <col min="15364" max="15364" width="16.42578125" style="109" bestFit="1" customWidth="1"/>
    <col min="15365" max="15365" width="15.140625" style="109" bestFit="1" customWidth="1"/>
    <col min="15366" max="15366" width="19.42578125" style="109" customWidth="1"/>
    <col min="15367" max="15367" width="19.140625" style="109" bestFit="1" customWidth="1"/>
    <col min="15368" max="15373" width="0" style="109" hidden="1" customWidth="1"/>
    <col min="15374" max="15616" width="9.140625" style="109"/>
    <col min="15617" max="15617" width="47.7109375" style="109" bestFit="1" customWidth="1"/>
    <col min="15618" max="15618" width="21.42578125" style="109" customWidth="1"/>
    <col min="15619" max="15619" width="22.85546875" style="109" customWidth="1"/>
    <col min="15620" max="15620" width="16.42578125" style="109" bestFit="1" customWidth="1"/>
    <col min="15621" max="15621" width="15.140625" style="109" bestFit="1" customWidth="1"/>
    <col min="15622" max="15622" width="19.42578125" style="109" customWidth="1"/>
    <col min="15623" max="15623" width="19.140625" style="109" bestFit="1" customWidth="1"/>
    <col min="15624" max="15629" width="0" style="109" hidden="1" customWidth="1"/>
    <col min="15630" max="15872" width="9.140625" style="109"/>
    <col min="15873" max="15873" width="47.7109375" style="109" bestFit="1" customWidth="1"/>
    <col min="15874" max="15874" width="21.42578125" style="109" customWidth="1"/>
    <col min="15875" max="15875" width="22.85546875" style="109" customWidth="1"/>
    <col min="15876" max="15876" width="16.42578125" style="109" bestFit="1" customWidth="1"/>
    <col min="15877" max="15877" width="15.140625" style="109" bestFit="1" customWidth="1"/>
    <col min="15878" max="15878" width="19.42578125" style="109" customWidth="1"/>
    <col min="15879" max="15879" width="19.140625" style="109" bestFit="1" customWidth="1"/>
    <col min="15880" max="15885" width="0" style="109" hidden="1" customWidth="1"/>
    <col min="15886" max="16128" width="9.140625" style="109"/>
    <col min="16129" max="16129" width="47.7109375" style="109" bestFit="1" customWidth="1"/>
    <col min="16130" max="16130" width="21.42578125" style="109" customWidth="1"/>
    <col min="16131" max="16131" width="22.85546875" style="109" customWidth="1"/>
    <col min="16132" max="16132" width="16.42578125" style="109" bestFit="1" customWidth="1"/>
    <col min="16133" max="16133" width="15.140625" style="109" bestFit="1" customWidth="1"/>
    <col min="16134" max="16134" width="19.42578125" style="109" customWidth="1"/>
    <col min="16135" max="16135" width="19.140625" style="109" bestFit="1" customWidth="1"/>
    <col min="16136" max="16141" width="0" style="109" hidden="1" customWidth="1"/>
    <col min="16142" max="16384" width="9.140625" style="109"/>
  </cols>
  <sheetData>
    <row r="1" spans="1:7" x14ac:dyDescent="0.25">
      <c r="A1" s="108">
        <f>'Balanço Orçamentário MCASP'!A1</f>
        <v>43800</v>
      </c>
    </row>
    <row r="2" spans="1:7" x14ac:dyDescent="0.25">
      <c r="A2" s="196" t="s">
        <v>0</v>
      </c>
      <c r="B2" s="196"/>
      <c r="C2" s="196"/>
      <c r="D2" s="196"/>
      <c r="E2" s="196"/>
      <c r="F2" s="196"/>
      <c r="G2" s="196"/>
    </row>
    <row r="3" spans="1:7" x14ac:dyDescent="0.25">
      <c r="A3" s="196" t="s">
        <v>136</v>
      </c>
      <c r="B3" s="196"/>
      <c r="C3" s="196"/>
      <c r="D3" s="196"/>
      <c r="E3" s="196"/>
      <c r="F3" s="196"/>
      <c r="G3" s="196"/>
    </row>
    <row r="4" spans="1:7" x14ac:dyDescent="0.25">
      <c r="A4" s="196" t="s">
        <v>137</v>
      </c>
      <c r="B4" s="196"/>
      <c r="C4" s="196"/>
      <c r="D4" s="196"/>
      <c r="E4" s="196"/>
      <c r="F4" s="196"/>
      <c r="G4" s="196"/>
    </row>
    <row r="5" spans="1:7" x14ac:dyDescent="0.25">
      <c r="A5" s="114"/>
      <c r="B5" s="114"/>
      <c r="C5" s="114"/>
      <c r="D5" s="114"/>
      <c r="E5" s="114"/>
      <c r="F5" s="114"/>
      <c r="G5" s="197"/>
    </row>
    <row r="6" spans="1:7" ht="15.75" thickBot="1" x14ac:dyDescent="0.3">
      <c r="A6" s="114"/>
      <c r="B6" s="114"/>
      <c r="C6" s="114"/>
      <c r="D6" s="114"/>
      <c r="E6" s="114"/>
      <c r="F6" s="114"/>
      <c r="G6" s="114"/>
    </row>
    <row r="7" spans="1:7" ht="15.75" thickBot="1" x14ac:dyDescent="0.3">
      <c r="A7" s="198" t="s">
        <v>138</v>
      </c>
      <c r="B7" s="199" t="s">
        <v>139</v>
      </c>
      <c r="C7" s="200"/>
      <c r="D7" s="201" t="s">
        <v>140</v>
      </c>
      <c r="E7" s="202" t="s">
        <v>141</v>
      </c>
      <c r="F7" s="201" t="s">
        <v>142</v>
      </c>
      <c r="G7" s="203" t="s">
        <v>143</v>
      </c>
    </row>
    <row r="8" spans="1:7" ht="42" customHeight="1" thickBot="1" x14ac:dyDescent="0.3">
      <c r="A8" s="204"/>
      <c r="B8" s="205" t="s">
        <v>144</v>
      </c>
      <c r="C8" s="206" t="s">
        <v>145</v>
      </c>
      <c r="D8" s="207"/>
      <c r="E8" s="208"/>
      <c r="F8" s="207"/>
      <c r="G8" s="209"/>
    </row>
    <row r="9" spans="1:7" ht="16.5" thickBot="1" x14ac:dyDescent="0.3">
      <c r="A9" s="210" t="s">
        <v>146</v>
      </c>
      <c r="B9" s="211">
        <f>SUM(B10:B12)</f>
        <v>0</v>
      </c>
      <c r="C9" s="212">
        <f>SUM(C10:C12)</f>
        <v>5878360.29</v>
      </c>
      <c r="D9" s="212">
        <f>SUM(D10:D12)</f>
        <v>1390063.27</v>
      </c>
      <c r="E9" s="211">
        <f>SUM(E10:E12)</f>
        <v>1390063.27</v>
      </c>
      <c r="F9" s="212">
        <f>SUM(F10:F12)</f>
        <v>4488297.0199999996</v>
      </c>
      <c r="G9" s="213">
        <f t="shared" ref="G9:G16" si="0">B9+C9-E9-F9</f>
        <v>0</v>
      </c>
    </row>
    <row r="10" spans="1:7" ht="15.75" x14ac:dyDescent="0.25">
      <c r="A10" s="214" t="s">
        <v>113</v>
      </c>
      <c r="B10" s="215"/>
      <c r="C10" s="216"/>
      <c r="D10" s="216"/>
      <c r="E10" s="215"/>
      <c r="F10" s="216"/>
      <c r="G10" s="217">
        <f t="shared" si="0"/>
        <v>0</v>
      </c>
    </row>
    <row r="11" spans="1:7" ht="15.75" x14ac:dyDescent="0.25">
      <c r="A11" s="214" t="s">
        <v>114</v>
      </c>
      <c r="B11" s="215"/>
      <c r="C11" s="216"/>
      <c r="D11" s="218"/>
      <c r="E11" s="219"/>
      <c r="F11" s="216"/>
      <c r="G11" s="217">
        <f t="shared" si="0"/>
        <v>0</v>
      </c>
    </row>
    <row r="12" spans="1:7" ht="16.5" thickBot="1" x14ac:dyDescent="0.3">
      <c r="A12" s="214" t="s">
        <v>115</v>
      </c>
      <c r="B12" s="220">
        <f>HLOOKUP($A$1,[1]DADOS!$A1:$IV174,140,0)</f>
        <v>0</v>
      </c>
      <c r="C12" s="221">
        <f>HLOOKUP($A$1,[1]DADOS!$A1:$IV174,124,0)</f>
        <v>5878360.29</v>
      </c>
      <c r="D12" s="222">
        <f>$E$12</f>
        <v>1390063.27</v>
      </c>
      <c r="E12" s="223">
        <f>HLOOKUP($A$1,[1]DADOS!$A1:$IV174,126,0)+HLOOKUP($A$1,[1]DADOS!$A1:$IV174,142,0)</f>
        <v>1390063.27</v>
      </c>
      <c r="F12" s="224">
        <f>HLOOKUP($A$1,[1]DADOS!$A1:$IV174,128,0)+HLOOKUP($A$1,[1]DADOS!$A1:$IV174,136,0)+HLOOKUP($A$1,[1]DADOS!$A1:$IV174,144,0)</f>
        <v>4488297.0199999996</v>
      </c>
      <c r="G12" s="225">
        <f>B12+C12-E12-F12</f>
        <v>0</v>
      </c>
    </row>
    <row r="13" spans="1:7" ht="16.5" thickBot="1" x14ac:dyDescent="0.3">
      <c r="A13" s="210" t="s">
        <v>147</v>
      </c>
      <c r="B13" s="226">
        <f>SUM(B14:B16)</f>
        <v>0</v>
      </c>
      <c r="C13" s="212">
        <f>SUM(C14:C16)</f>
        <v>31770.02</v>
      </c>
      <c r="D13" s="212">
        <f>SUM(D14:D16)</f>
        <v>0</v>
      </c>
      <c r="E13" s="211">
        <f>SUM(E14:E16)</f>
        <v>0</v>
      </c>
      <c r="F13" s="212">
        <f>SUM(F14:F16)</f>
        <v>31770.02</v>
      </c>
      <c r="G13" s="213">
        <f t="shared" si="0"/>
        <v>0</v>
      </c>
    </row>
    <row r="14" spans="1:7" ht="15.75" x14ac:dyDescent="0.25">
      <c r="A14" s="214" t="s">
        <v>117</v>
      </c>
      <c r="B14" s="215">
        <f>HLOOKUP($A$1,[1]DADOS!$A1:$IV174,139,0)</f>
        <v>0</v>
      </c>
      <c r="C14" s="221">
        <f>HLOOKUP($A$1,[1]DADOS!$A1:$IV174,131,0)</f>
        <v>31770.02</v>
      </c>
      <c r="D14" s="224">
        <f>$E$14</f>
        <v>0</v>
      </c>
      <c r="E14" s="220">
        <f>HLOOKUP($A$1,[1]DADOS!$A1:$IV174,133,0)+HLOOKUP($A$1,[1]DADOS!$A1:$IV174,149,0)</f>
        <v>0</v>
      </c>
      <c r="F14" s="224">
        <f>HLOOKUP($A$1,[1]DADOS!$A1:$IV174,135,0)+HLOOKUP($A$1,[1]DADOS!$A1:$IV174,151,0)</f>
        <v>31770.02</v>
      </c>
      <c r="G14" s="217">
        <f t="shared" si="0"/>
        <v>0</v>
      </c>
    </row>
    <row r="15" spans="1:7" ht="15.75" x14ac:dyDescent="0.25">
      <c r="A15" s="214" t="s">
        <v>118</v>
      </c>
      <c r="B15" s="215"/>
      <c r="C15" s="216"/>
      <c r="D15" s="216"/>
      <c r="E15" s="215"/>
      <c r="F15" s="216"/>
      <c r="G15" s="217">
        <f t="shared" si="0"/>
        <v>0</v>
      </c>
    </row>
    <row r="16" spans="1:7" ht="16.5" thickBot="1" x14ac:dyDescent="0.3">
      <c r="A16" s="227" t="s">
        <v>119</v>
      </c>
      <c r="B16" s="215"/>
      <c r="C16" s="216"/>
      <c r="D16" s="216"/>
      <c r="E16" s="228"/>
      <c r="F16" s="216"/>
      <c r="G16" s="217">
        <f t="shared" si="0"/>
        <v>0</v>
      </c>
    </row>
    <row r="17" spans="1:15" s="141" customFormat="1" ht="16.5" thickBot="1" x14ac:dyDescent="0.3">
      <c r="A17" s="229" t="s">
        <v>148</v>
      </c>
      <c r="B17" s="230">
        <f t="shared" ref="B17:G17" si="1">B9+B13</f>
        <v>0</v>
      </c>
      <c r="C17" s="230">
        <f t="shared" si="1"/>
        <v>5910130.3099999996</v>
      </c>
      <c r="D17" s="230">
        <f t="shared" si="1"/>
        <v>1390063.27</v>
      </c>
      <c r="E17" s="230">
        <f t="shared" si="1"/>
        <v>1390063.27</v>
      </c>
      <c r="F17" s="230">
        <f t="shared" si="1"/>
        <v>4520067.0399999991</v>
      </c>
      <c r="G17" s="230">
        <f t="shared" si="1"/>
        <v>0</v>
      </c>
      <c r="I17" s="231">
        <f>G17</f>
        <v>0</v>
      </c>
      <c r="J17" s="232" t="s">
        <v>149</v>
      </c>
      <c r="K17" s="233"/>
    </row>
    <row r="18" spans="1:15" x14ac:dyDescent="0.25">
      <c r="I18" s="161"/>
      <c r="K18" s="234"/>
    </row>
    <row r="19" spans="1:15" ht="15.75" thickBot="1" x14ac:dyDescent="0.3">
      <c r="A19" s="114"/>
      <c r="B19" s="114"/>
      <c r="C19" s="114"/>
      <c r="D19" s="114"/>
      <c r="E19" s="114"/>
      <c r="F19" s="114"/>
      <c r="G19" s="114"/>
      <c r="I19" s="161"/>
      <c r="K19" s="234"/>
    </row>
    <row r="20" spans="1:15" ht="15.75" thickBot="1" x14ac:dyDescent="0.3">
      <c r="A20" s="198" t="s">
        <v>150</v>
      </c>
      <c r="B20" s="199" t="s">
        <v>139</v>
      </c>
      <c r="C20" s="200"/>
      <c r="D20" s="235" t="s">
        <v>151</v>
      </c>
      <c r="E20" s="235" t="s">
        <v>152</v>
      </c>
      <c r="F20" s="235" t="s">
        <v>153</v>
      </c>
      <c r="I20" s="161"/>
      <c r="K20" s="234"/>
    </row>
    <row r="21" spans="1:15" ht="30.75" thickBot="1" x14ac:dyDescent="0.3">
      <c r="A21" s="236"/>
      <c r="B21" s="205" t="s">
        <v>144</v>
      </c>
      <c r="C21" s="206" t="s">
        <v>145</v>
      </c>
      <c r="D21" s="237"/>
      <c r="E21" s="237"/>
      <c r="F21" s="237"/>
      <c r="I21" s="161"/>
      <c r="K21" s="234"/>
    </row>
    <row r="22" spans="1:15" ht="16.5" thickBot="1" x14ac:dyDescent="0.3">
      <c r="A22" s="229" t="s">
        <v>146</v>
      </c>
      <c r="B22" s="211">
        <f>SUM(B23:B25)</f>
        <v>33664.910000000003</v>
      </c>
      <c r="C22" s="212">
        <f>SUM(C23:C25)</f>
        <v>152288.07</v>
      </c>
      <c r="D22" s="212">
        <f>SUM(D23:D25)</f>
        <v>150253.07</v>
      </c>
      <c r="E22" s="212">
        <f>SUM(E23:E25)</f>
        <v>31878.15</v>
      </c>
      <c r="F22" s="212">
        <f t="shared" ref="F22:F27" si="2">B22+C22-D22-E22</f>
        <v>3821.760000000002</v>
      </c>
      <c r="I22" s="161"/>
      <c r="K22" s="234"/>
    </row>
    <row r="23" spans="1:15" ht="15.75" x14ac:dyDescent="0.25">
      <c r="A23" s="238" t="s">
        <v>113</v>
      </c>
      <c r="B23" s="215"/>
      <c r="C23" s="215"/>
      <c r="D23" s="218"/>
      <c r="E23" s="218"/>
      <c r="F23" s="216">
        <f t="shared" si="2"/>
        <v>0</v>
      </c>
      <c r="I23" s="161"/>
      <c r="K23" s="234"/>
    </row>
    <row r="24" spans="1:15" ht="15.75" x14ac:dyDescent="0.25">
      <c r="A24" s="238" t="s">
        <v>114</v>
      </c>
      <c r="B24" s="215"/>
      <c r="C24" s="216"/>
      <c r="D24" s="216"/>
      <c r="E24" s="216"/>
      <c r="F24" s="216">
        <f t="shared" si="2"/>
        <v>0</v>
      </c>
      <c r="I24" s="161"/>
      <c r="K24" s="234"/>
    </row>
    <row r="25" spans="1:15" ht="16.5" thickBot="1" x14ac:dyDescent="0.3">
      <c r="A25" s="238" t="s">
        <v>115</v>
      </c>
      <c r="B25" s="223">
        <f>HLOOKUP($A$1,[1]DADOS!$A1:$IV174,141,0)</f>
        <v>33664.910000000003</v>
      </c>
      <c r="C25" s="223">
        <f>HLOOKUP($A$1,[1]DADOS!$A1:$IV174,125,0)</f>
        <v>152288.07</v>
      </c>
      <c r="D25" s="224">
        <f>HLOOKUP($A$1,[1]DADOS!$A1:$IV174,127,0)+HLOOKUP($A$1,[1]DADOS!$A1:$IV174,143,0)</f>
        <v>150253.07</v>
      </c>
      <c r="E25" s="224">
        <f>HLOOKUP($A$1,[1]DADOS!$A1:$IV174,129,0)+HLOOKUP($A$1,[1]DADOS!$A1:$IV174,145,0)</f>
        <v>31878.15</v>
      </c>
      <c r="F25" s="221">
        <f t="shared" si="2"/>
        <v>3821.760000000002</v>
      </c>
      <c r="I25" s="161"/>
      <c r="K25" s="234"/>
    </row>
    <row r="26" spans="1:15" ht="15.75" thickBot="1" x14ac:dyDescent="0.3">
      <c r="A26" s="229" t="s">
        <v>147</v>
      </c>
      <c r="B26" s="226">
        <f>SUM(B27:B29)</f>
        <v>0</v>
      </c>
      <c r="C26" s="239">
        <f>SUM(C27:C29)</f>
        <v>0</v>
      </c>
      <c r="D26" s="239">
        <f>SUM(D27:D29)</f>
        <v>0</v>
      </c>
      <c r="E26" s="239">
        <f>SUM(E27:E29)</f>
        <v>0</v>
      </c>
      <c r="F26" s="239">
        <f t="shared" si="2"/>
        <v>0</v>
      </c>
      <c r="I26" s="161"/>
      <c r="K26" s="234"/>
    </row>
    <row r="27" spans="1:15" ht="15.75" x14ac:dyDescent="0.25">
      <c r="A27" s="238" t="s">
        <v>117</v>
      </c>
      <c r="B27" s="215">
        <f>HLOOKUP($A$1,[1]DADOS!$A1:$IV174,148,0)</f>
        <v>0</v>
      </c>
      <c r="C27" s="240">
        <f>HLOOKUP($A$1,[1]DADOS!$A1:$IV174,132,0)</f>
        <v>0</v>
      </c>
      <c r="D27" s="216">
        <f>HLOOKUP($A$1,[1]DADOS!$A1:$IV174,134,0)+HLOOKUP($A$1,[1]DADOS!$A1:$IV174,150,0)</f>
        <v>0</v>
      </c>
      <c r="E27" s="216">
        <f>HLOOKUP($A$1,[1]DADOS!$A1:$IV174,136,0)+HLOOKUP($A$1,[1]DADOS!$A1:$IV174,152,0)</f>
        <v>0</v>
      </c>
      <c r="F27" s="240">
        <f t="shared" si="2"/>
        <v>0</v>
      </c>
      <c r="I27" s="161"/>
      <c r="K27" s="234"/>
    </row>
    <row r="28" spans="1:15" ht="15.75" x14ac:dyDescent="0.25">
      <c r="A28" s="238" t="s">
        <v>118</v>
      </c>
      <c r="B28" s="215"/>
      <c r="C28" s="216"/>
      <c r="D28" s="216"/>
      <c r="E28" s="216"/>
      <c r="F28" s="216"/>
      <c r="I28" s="161"/>
      <c r="K28" s="234"/>
    </row>
    <row r="29" spans="1:15" ht="16.5" thickBot="1" x14ac:dyDescent="0.3">
      <c r="A29" s="238" t="s">
        <v>119</v>
      </c>
      <c r="B29" s="228"/>
      <c r="C29" s="216"/>
      <c r="D29" s="216"/>
      <c r="E29" s="216"/>
      <c r="F29" s="216"/>
      <c r="I29" s="161"/>
      <c r="K29" s="234"/>
    </row>
    <row r="30" spans="1:15" s="141" customFormat="1" ht="18.75" thickBot="1" x14ac:dyDescent="0.45">
      <c r="A30" s="229" t="s">
        <v>148</v>
      </c>
      <c r="B30" s="230">
        <f>B22+B26</f>
        <v>33664.910000000003</v>
      </c>
      <c r="C30" s="230">
        <f>C22+C26</f>
        <v>152288.07</v>
      </c>
      <c r="D30" s="230">
        <f>D22+D26</f>
        <v>150253.07</v>
      </c>
      <c r="E30" s="230">
        <f>E22+E26</f>
        <v>31878.15</v>
      </c>
      <c r="F30" s="230">
        <f>F22+F26</f>
        <v>3821.760000000002</v>
      </c>
      <c r="I30" s="241">
        <f>F30</f>
        <v>3821.760000000002</v>
      </c>
      <c r="J30" s="242" t="s">
        <v>154</v>
      </c>
      <c r="K30" s="243"/>
    </row>
    <row r="31" spans="1:15" s="73" customFormat="1" ht="13.5" customHeight="1" x14ac:dyDescent="0.25">
      <c r="A31" s="68" t="s">
        <v>44</v>
      </c>
      <c r="B31" s="69"/>
      <c r="C31" s="69"/>
      <c r="D31" s="69"/>
      <c r="E31" s="70"/>
      <c r="F31" s="70"/>
      <c r="G31" s="70"/>
      <c r="H31" s="69"/>
      <c r="I31" s="244">
        <f>I17+I30</f>
        <v>3821.760000000002</v>
      </c>
      <c r="J31" s="109" t="s">
        <v>155</v>
      </c>
      <c r="K31" s="245"/>
      <c r="L31" s="70"/>
      <c r="M31" s="71"/>
    </row>
    <row r="32" spans="1:15" s="73" customFormat="1" ht="13.5" customHeight="1" x14ac:dyDescent="0.2">
      <c r="A32" s="68" t="s">
        <v>45</v>
      </c>
      <c r="B32" s="75"/>
      <c r="C32" s="75"/>
      <c r="D32" s="75"/>
      <c r="E32" s="75"/>
      <c r="F32" s="75"/>
      <c r="G32" s="75"/>
      <c r="H32" s="75"/>
      <c r="I32" s="246">
        <v>-72409.919999999998</v>
      </c>
      <c r="J32" s="247" t="s">
        <v>156</v>
      </c>
      <c r="K32" s="248"/>
      <c r="L32" s="75"/>
      <c r="M32" s="76"/>
      <c r="O32" s="183"/>
    </row>
    <row r="33" spans="1:13" s="73" customFormat="1" ht="12.95" customHeight="1" x14ac:dyDescent="0.2">
      <c r="A33" s="249" t="s">
        <v>46</v>
      </c>
      <c r="B33" s="249"/>
      <c r="C33" s="249"/>
      <c r="D33" s="249"/>
      <c r="E33" s="249"/>
      <c r="F33" s="249"/>
      <c r="G33" s="249"/>
      <c r="H33" s="250"/>
      <c r="I33" s="251">
        <f>SUM(I31:I32)</f>
        <v>-68588.160000000003</v>
      </c>
      <c r="J33" s="252" t="s">
        <v>157</v>
      </c>
      <c r="K33" s="253"/>
      <c r="L33" s="250"/>
      <c r="M33" s="191"/>
    </row>
    <row r="34" spans="1:13" s="73" customFormat="1" ht="12.95" customHeight="1" x14ac:dyDescent="0.2">
      <c r="A34" s="254" t="s">
        <v>47</v>
      </c>
      <c r="B34" s="254"/>
      <c r="C34" s="254"/>
      <c r="D34" s="254"/>
      <c r="E34" s="254"/>
      <c r="F34" s="254"/>
      <c r="G34" s="254"/>
      <c r="H34" s="254"/>
      <c r="I34" s="255" t="s">
        <v>158</v>
      </c>
      <c r="J34" s="256"/>
      <c r="K34" s="257"/>
      <c r="L34" s="254"/>
      <c r="M34" s="190"/>
    </row>
    <row r="35" spans="1:13" s="73" customFormat="1" ht="12.95" customHeight="1" x14ac:dyDescent="0.25">
      <c r="A35" s="258" t="s">
        <v>159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109"/>
    </row>
    <row r="36" spans="1:13" ht="12.95" customHeight="1" x14ac:dyDescent="0.25">
      <c r="A36" s="259" t="s">
        <v>160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</row>
    <row r="38" spans="1:13" s="2" customFormat="1" ht="13.5" customHeight="1" x14ac:dyDescent="0.2">
      <c r="A38" s="95"/>
      <c r="B38" s="260"/>
      <c r="C38" s="260"/>
      <c r="D38" s="260"/>
      <c r="E38" s="260"/>
      <c r="F38" s="260"/>
      <c r="G38" s="260"/>
      <c r="H38" s="260"/>
    </row>
    <row r="39" spans="1:13" s="2" customFormat="1" ht="13.5" customHeight="1" x14ac:dyDescent="0.2">
      <c r="A39" s="97"/>
      <c r="B39" s="92"/>
      <c r="C39" s="92" t="s">
        <v>62</v>
      </c>
      <c r="D39" s="92"/>
      <c r="E39" s="261"/>
      <c r="F39" s="90" t="s">
        <v>63</v>
      </c>
      <c r="G39" s="261"/>
      <c r="H39" s="261"/>
    </row>
    <row r="40" spans="1:13" s="2" customFormat="1" ht="13.5" customHeight="1" x14ac:dyDescent="0.2">
      <c r="A40" s="89"/>
      <c r="B40" s="95"/>
      <c r="C40" s="95" t="s">
        <v>64</v>
      </c>
      <c r="D40" s="95"/>
      <c r="E40" s="262"/>
      <c r="F40" s="95" t="s">
        <v>65</v>
      </c>
      <c r="G40" s="262"/>
      <c r="H40" s="262"/>
    </row>
    <row r="41" spans="1:13" x14ac:dyDescent="0.25">
      <c r="B41" s="97"/>
      <c r="C41" s="97" t="s">
        <v>66</v>
      </c>
      <c r="D41" s="97"/>
      <c r="F41" s="100" t="s">
        <v>67</v>
      </c>
    </row>
    <row r="42" spans="1:13" x14ac:dyDescent="0.25">
      <c r="B42" s="97"/>
      <c r="C42" s="97" t="s">
        <v>68</v>
      </c>
      <c r="D42" s="97"/>
      <c r="F42" s="97" t="s">
        <v>68</v>
      </c>
    </row>
  </sheetData>
  <mergeCells count="17">
    <mergeCell ref="B38:D38"/>
    <mergeCell ref="E38:H38"/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4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2021-07-02T14:16:20Z</dcterms:created>
  <dcterms:modified xsi:type="dcterms:W3CDTF">2021-07-02T14:21:30Z</dcterms:modified>
</cp:coreProperties>
</file>