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2019\11. Novembro\Balancete para publicação\"/>
    </mc:Choice>
  </mc:AlternateContent>
  <xr:revisionPtr revIDLastSave="0" documentId="13_ncr:1_{77D63FCC-9AFF-4478-AE6A-262CF08B1998}" xr6:coauthVersionLast="47" xr6:coauthVersionMax="47" xr10:uidLastSave="{00000000-0000-0000-0000-000000000000}"/>
  <bookViews>
    <workbookView xWindow="-120" yWindow="-120" windowWidth="29040" windowHeight="15840" xr2:uid="{DB4459F8-ECA5-4A09-9D20-56AEFED4DB5C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'!$A$2:$G$43</definedName>
    <definedName name="_xlnm.Print_Area" localSheetId="0">'Balanço Financeiro '!$A$1:$O$62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/>
  <c r="G16" i="3"/>
  <c r="G15" i="3"/>
  <c r="G11" i="3"/>
  <c r="G10" i="3"/>
  <c r="F52" i="2"/>
  <c r="E52" i="2"/>
  <c r="D52" i="2"/>
  <c r="C52" i="2"/>
  <c r="G52" i="2" s="1"/>
  <c r="B52" i="2"/>
  <c r="C46" i="2"/>
  <c r="B46" i="2"/>
  <c r="B45" i="2"/>
  <c r="C44" i="2"/>
  <c r="B44" i="2"/>
  <c r="B41" i="2" s="1"/>
  <c r="B51" i="2" s="1"/>
  <c r="B59" i="2" s="1"/>
  <c r="G35" i="2"/>
  <c r="F35" i="2"/>
  <c r="D35" i="2"/>
  <c r="B35" i="2"/>
  <c r="G25" i="2"/>
  <c r="F25" i="2"/>
  <c r="D25" i="2"/>
  <c r="B25" i="2"/>
  <c r="G22" i="2"/>
  <c r="G21" i="2"/>
  <c r="G20" i="2"/>
  <c r="G19" i="2"/>
  <c r="G18" i="2"/>
  <c r="G17" i="2"/>
  <c r="F17" i="2"/>
  <c r="D17" i="2"/>
  <c r="B17" i="2"/>
  <c r="F16" i="2"/>
  <c r="D16" i="2"/>
  <c r="B16" i="2"/>
  <c r="D15" i="2"/>
  <c r="G14" i="2"/>
  <c r="D14" i="2"/>
  <c r="G13" i="2"/>
  <c r="D13" i="2"/>
  <c r="D12" i="2"/>
  <c r="G12" i="2" s="1"/>
  <c r="F11" i="2"/>
  <c r="G10" i="2"/>
  <c r="G9" i="2"/>
  <c r="A1" i="2"/>
  <c r="F46" i="2" s="1"/>
  <c r="F45" i="2" s="1"/>
  <c r="N31" i="1"/>
  <c r="G31" i="1"/>
  <c r="G30" i="1" s="1"/>
  <c r="O30" i="1"/>
  <c r="N30" i="1"/>
  <c r="H30" i="1"/>
  <c r="N29" i="1"/>
  <c r="G29" i="1"/>
  <c r="N28" i="1"/>
  <c r="N25" i="1" s="1"/>
  <c r="G28" i="1"/>
  <c r="N27" i="1"/>
  <c r="G27" i="1"/>
  <c r="N26" i="1"/>
  <c r="G26" i="1"/>
  <c r="G25" i="1" s="1"/>
  <c r="O25" i="1"/>
  <c r="H25" i="1"/>
  <c r="N24" i="1"/>
  <c r="G24" i="1"/>
  <c r="N23" i="1"/>
  <c r="N20" i="1" s="1"/>
  <c r="G23" i="1"/>
  <c r="N22" i="1"/>
  <c r="G22" i="1"/>
  <c r="N21" i="1"/>
  <c r="G21" i="1"/>
  <c r="G20" i="1" s="1"/>
  <c r="O20" i="1"/>
  <c r="H20" i="1"/>
  <c r="N19" i="1"/>
  <c r="G19" i="1"/>
  <c r="N18" i="1"/>
  <c r="G18" i="1"/>
  <c r="N17" i="1"/>
  <c r="H17" i="1"/>
  <c r="G17" i="1"/>
  <c r="N16" i="1"/>
  <c r="G16" i="1"/>
  <c r="N15" i="1"/>
  <c r="G15" i="1"/>
  <c r="N14" i="1"/>
  <c r="G14" i="1"/>
  <c r="N13" i="1"/>
  <c r="N12" i="1" s="1"/>
  <c r="G13" i="1"/>
  <c r="G12" i="1" s="1"/>
  <c r="O12" i="1"/>
  <c r="H12" i="1"/>
  <c r="N11" i="1"/>
  <c r="N8" i="1" s="1"/>
  <c r="G11" i="1"/>
  <c r="G8" i="1" s="1"/>
  <c r="N10" i="1"/>
  <c r="G10" i="1"/>
  <c r="N9" i="1"/>
  <c r="G9" i="1"/>
  <c r="O8" i="1"/>
  <c r="O7" i="1" s="1"/>
  <c r="O33" i="1" s="1"/>
  <c r="H8" i="1"/>
  <c r="H7" i="1"/>
  <c r="H33" i="1" s="1"/>
  <c r="G16" i="2" l="1"/>
  <c r="N7" i="1"/>
  <c r="N33" i="1" s="1"/>
  <c r="G7" i="1"/>
  <c r="C45" i="2"/>
  <c r="D44" i="2"/>
  <c r="D41" i="2" s="1"/>
  <c r="D46" i="2"/>
  <c r="D45" i="2" s="1"/>
  <c r="A1" i="3"/>
  <c r="C41" i="2"/>
  <c r="F15" i="2"/>
  <c r="E44" i="2"/>
  <c r="E41" i="2" s="1"/>
  <c r="E46" i="2"/>
  <c r="E45" i="2" s="1"/>
  <c r="B11" i="2"/>
  <c r="F44" i="2"/>
  <c r="F41" i="2" s="1"/>
  <c r="F51" i="2" s="1"/>
  <c r="F59" i="2" s="1"/>
  <c r="F61" i="2" s="1"/>
  <c r="D51" i="2" l="1"/>
  <c r="D59" i="2" s="1"/>
  <c r="G46" i="2"/>
  <c r="C51" i="2"/>
  <c r="G41" i="2"/>
  <c r="G44" i="2"/>
  <c r="E25" i="3"/>
  <c r="E22" i="3" s="1"/>
  <c r="C14" i="3"/>
  <c r="C13" i="3" s="1"/>
  <c r="C12" i="3"/>
  <c r="C9" i="3" s="1"/>
  <c r="C17" i="3" s="1"/>
  <c r="D25" i="3"/>
  <c r="D22" i="3" s="1"/>
  <c r="B14" i="3"/>
  <c r="B12" i="3"/>
  <c r="E27" i="3"/>
  <c r="E26" i="3" s="1"/>
  <c r="C25" i="3"/>
  <c r="C22" i="3" s="1"/>
  <c r="B27" i="3"/>
  <c r="D27" i="3"/>
  <c r="D26" i="3" s="1"/>
  <c r="B25" i="3"/>
  <c r="F14" i="3"/>
  <c r="F13" i="3" s="1"/>
  <c r="F12" i="3"/>
  <c r="F9" i="3" s="1"/>
  <c r="C27" i="3"/>
  <c r="C26" i="3" s="1"/>
  <c r="E14" i="3"/>
  <c r="E12" i="3"/>
  <c r="E51" i="2"/>
  <c r="E59" i="2" s="1"/>
  <c r="G45" i="2"/>
  <c r="D11" i="2"/>
  <c r="B8" i="2"/>
  <c r="B24" i="2" s="1"/>
  <c r="B32" i="2" s="1"/>
  <c r="F8" i="2"/>
  <c r="G15" i="2"/>
  <c r="G33" i="1"/>
  <c r="F17" i="3" l="1"/>
  <c r="F25" i="3"/>
  <c r="B22" i="3"/>
  <c r="E9" i="3"/>
  <c r="E17" i="3" s="1"/>
  <c r="D12" i="3"/>
  <c r="D9" i="3" s="1"/>
  <c r="D30" i="3"/>
  <c r="G51" i="2"/>
  <c r="C59" i="2"/>
  <c r="G8" i="2"/>
  <c r="F24" i="2"/>
  <c r="D14" i="3"/>
  <c r="D13" i="3" s="1"/>
  <c r="E13" i="3"/>
  <c r="B60" i="2"/>
  <c r="B61" i="2" s="1"/>
  <c r="B33" i="2"/>
  <c r="B34" i="2" s="1"/>
  <c r="C30" i="3"/>
  <c r="D8" i="2"/>
  <c r="D24" i="2" s="1"/>
  <c r="D32" i="2" s="1"/>
  <c r="G11" i="2"/>
  <c r="E30" i="3"/>
  <c r="G12" i="3"/>
  <c r="B9" i="3"/>
  <c r="B13" i="3"/>
  <c r="G14" i="3"/>
  <c r="E60" i="2"/>
  <c r="E61" i="2"/>
  <c r="F27" i="3"/>
  <c r="B26" i="3"/>
  <c r="F26" i="3" s="1"/>
  <c r="G13" i="3" l="1"/>
  <c r="G24" i="2"/>
  <c r="F32" i="2"/>
  <c r="B17" i="3"/>
  <c r="G9" i="3"/>
  <c r="D17" i="3"/>
  <c r="B30" i="3"/>
  <c r="F22" i="3"/>
  <c r="F30" i="3" s="1"/>
  <c r="C60" i="2"/>
  <c r="C61" i="2" s="1"/>
  <c r="D33" i="2"/>
  <c r="D34" i="2" s="1"/>
  <c r="G59" i="2"/>
  <c r="G17" i="3" l="1"/>
  <c r="G32" i="2"/>
  <c r="D60" i="2"/>
  <c r="D61" i="2" s="1"/>
  <c r="G61" i="2" s="1"/>
  <c r="F33" i="2"/>
  <c r="G33" i="2" s="1"/>
  <c r="F34" i="2" l="1"/>
  <c r="G34" i="2" s="1"/>
  <c r="G60" i="2"/>
</calcChain>
</file>

<file path=xl/sharedStrings.xml><?xml version="1.0" encoding="utf-8"?>
<sst xmlns="http://schemas.openxmlformats.org/spreadsheetml/2006/main" count="228" uniqueCount="158">
  <si>
    <t>FUMCAD - Fundo Municipal da Criança e do Adolescente</t>
  </si>
  <si>
    <t xml:space="preserve">Balancete Financeiro </t>
  </si>
  <si>
    <t>Novembro 2019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</si>
  <si>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</si>
  <si>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</si>
  <si>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</si>
  <si>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</si>
  <si>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</si>
  <si>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</si>
  <si>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</si>
  <si>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</si>
  <si>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</si>
  <si>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</si>
  <si>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</si>
  <si>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</si>
  <si>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</si>
  <si>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</si>
  <si>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</si>
  <si>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</si>
  <si>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</si>
  <si>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</si>
  <si>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</si>
  <si>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</si>
  <si>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</si>
  <si>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</si>
  <si>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</si>
  <si>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</si>
  <si>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</si>
  <si>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</si>
  <si>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</si>
  <si>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</si>
  <si>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</si>
  <si>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</si>
  <si>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</si>
  <si>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</si>
  <si>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</si>
  <si>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</si>
  <si>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</si>
  <si>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</si>
  <si>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</si>
  <si>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</si>
  <si>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</si>
  <si>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</si>
  <si>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</si>
  <si>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</si>
  <si>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</si>
  <si>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</si>
  <si>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6074.2019/0000/159-4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</si>
  <si>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</si>
  <si>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58.163/2018.)</t>
  </si>
  <si>
    <t>3.2 Desvinculação das Receitas Municipais, ref.a Portaria SF nº 217 de 06/08/2019, DOC 07/08/2019, - Vr. R$ 3.275.601,22 e orientação SF/DECON processo SEI 6017.2017.0004407-8.</t>
  </si>
  <si>
    <r>
      <t xml:space="preserve">4. </t>
    </r>
    <r>
      <rPr>
        <b/>
        <sz val="9"/>
        <rFont val="Arial"/>
        <family val="2"/>
      </rPr>
      <t>Caixa e Equivalente de Caixa</t>
    </r>
    <r>
      <rPr>
        <sz val="9"/>
        <rFont val="Arial"/>
        <family val="2"/>
      </rPr>
      <t xml:space="preserve"> - conciliados de acordo com as contas movimentos e de arredações de boletos do fundo.</t>
    </r>
  </si>
  <si>
    <t>4.1.Saldo Inicial ajustado em R$ 3.782.776,56 em virtude da não transferência financeira, em dezembro 2018, do valor adicional da desvinculação para o Tesouro.</t>
  </si>
  <si>
    <t>4.2.Reclassificação contábil do saldo da conta bancária 005.738-X - Fumcad /Imposto de Renda no valor de R$ 32,00, por SF, conforme tratado no processo SEI nº 60172019/205-4.</t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</si>
  <si>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</si>
  <si>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</si>
  <si>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t>5.2 Estorno de parte do valor recolhido através da DRD nº 2624/2018, no valor de R$ 122,50, para fins de quitação da Guia de Depósito Judicial, conforme despacho de fls.14 do processo nº 2018-0.078.297-3.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</si>
  <si>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</si>
  <si>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</si>
  <si>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t>6.2.Saída do Disponível em outubro/2019, no valor de R$ 1.300.041,12 a ser regularizado no mês seguinte, por SF/Didis.</t>
  </si>
  <si>
    <t>6.3 Valor foi transferido da conta 18.114-5 (PMSP-SMPP/FUMCAD Arrecadação Boletos) para a conta 8.946-X (PMSP-SMPP/FUMCAD Imposto de Renda), movimentação financeira no período de 01/jan a 30/nov/2019 - R$ 200,00</t>
  </si>
  <si>
    <r>
      <t>7.0</t>
    </r>
    <r>
      <rPr>
        <b/>
        <sz val="9"/>
        <rFont val="Arial"/>
        <family val="2"/>
      </rPr>
      <t xml:space="preserve"> Receita Ordinária</t>
    </r>
    <r>
      <rPr>
        <sz val="9"/>
        <rFont val="Arial"/>
        <family val="2"/>
      </rPr>
      <t xml:space="preserve"> : Valor da Desvinculação de Recursos do Exercício de 2019, dos valores arrecadados até 30/06/2019.</t>
    </r>
  </si>
  <si>
    <r>
      <t>8.0.</t>
    </r>
    <r>
      <rPr>
        <b/>
        <sz val="9"/>
        <rFont val="Arial"/>
        <family val="2"/>
      </rPr>
      <t>Lei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Orçamentaria - LOA -</t>
    </r>
    <r>
      <rPr>
        <sz val="9"/>
        <rFont val="Arial"/>
        <family val="2"/>
      </rPr>
      <t xml:space="preserve"> n</t>
    </r>
    <r>
      <rPr>
        <b/>
        <sz val="9"/>
        <rFont val="Arial"/>
        <family val="2"/>
      </rPr>
      <t>º</t>
    </r>
    <r>
      <rPr>
        <sz val="9"/>
        <rFont val="Arial"/>
        <family val="2"/>
      </rPr>
      <t xml:space="preserve"> 17.021 de 27 de Dezembro de 2018, que estima a receita e fixa a despesa para o exercício de 2019.</t>
    </r>
  </si>
  <si>
    <t>Data: 01/07/2021</t>
  </si>
  <si>
    <t>Denise de Cássia Santos Rodrigues</t>
  </si>
  <si>
    <t xml:space="preserve">Ana Claudia Carletto            </t>
  </si>
  <si>
    <t>Assessor Técnico I</t>
  </si>
  <si>
    <t xml:space="preserve">Sec.Munic.de Direitos Humanos e Cidadania </t>
  </si>
  <si>
    <t>CPF 140.594.658-01</t>
  </si>
  <si>
    <t>CPF: 212.634.168-29</t>
  </si>
  <si>
    <t>SMDHC</t>
  </si>
  <si>
    <t>BALANÇO ORÇAMENTÁRIO</t>
  </si>
  <si>
    <t>ORÇAMENTOS FISCAL E DA SEGURIDADE SOCIAL</t>
  </si>
  <si>
    <t>COMPETÊNCIA: NOVEMBRO  2019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</si>
  <si>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</si>
  <si>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</si>
  <si>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</si>
  <si>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</si>
  <si>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</si>
  <si>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</si>
  <si>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</si>
  <si>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</si>
  <si>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</si>
  <si>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</si>
  <si>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</si>
  <si>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</si>
  <si>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</si>
  <si>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</si>
  <si>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</si>
  <si>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</si>
  <si>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</si>
  <si>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</si>
  <si>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</si>
  <si>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</si>
  <si>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</si>
  <si>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</si>
  <si>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</si>
  <si>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</si>
  <si>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</si>
  <si>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</si>
  <si>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</si>
  <si>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</si>
  <si>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</si>
  <si>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</si>
  <si>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</si>
  <si>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</si>
  <si>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</si>
  <si>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</si>
  <si>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</si>
  <si>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</si>
  <si>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</si>
  <si>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</si>
  <si>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</si>
  <si>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</si>
  <si>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</si>
  <si>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</si>
  <si>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</si>
  <si>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</si>
  <si>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</si>
  <si>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</si>
  <si>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</si>
  <si>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</si>
  <si>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</si>
  <si>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</si>
  <si>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</si>
  <si>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</si>
  <si>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</si>
  <si>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</si>
  <si>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</si>
  <si>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</si>
  <si>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</si>
  <si>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</si>
  <si>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</si>
  <si>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</si>
  <si>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</si>
  <si>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</si>
  <si>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</si>
  <si>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</si>
  <si>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Ana Claudia Carletto</t>
  </si>
  <si>
    <t>EXECUÇÃO DE RESTOS A PAGAR PROCESSADO E NÃO PROCESSADOS</t>
  </si>
  <si>
    <t>COMPETÊNCIA: NOVEMBRO 2019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</si>
  <si>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</si>
  <si>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</si>
  <si>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</si>
  <si>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</si>
  <si>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</si>
  <si>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</si>
  <si>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</si>
  <si>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</si>
  <si>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</si>
  <si>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</si>
  <si>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</si>
  <si>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</si>
  <si>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</si>
  <si>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</si>
  <si>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</si>
  <si>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- 8ª edição, a partir do exercício de 2019.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</si>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</sst>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29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252">
    <xf numFmtId="0" fontId="0" fillId="0" borderId="0" xfId="0">
      <alignment vertical="top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vertical="center"/>
    </xf>
    <xf numFmtId="4" fontId="0" fillId="0" borderId="0" xfId="0" applyNumberFormat="1">
      <alignment vertical="top"/>
    </xf>
    <xf numFmtId="43" fontId="6" fillId="0" borderId="5" xfId="1" applyFont="1" applyFill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14" fontId="14" fillId="0" borderId="0" xfId="0" applyNumberFormat="1" applyFont="1" applyAlignment="1">
      <alignment horizontal="left" vertical="center" wrapText="1" readingOrder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 wrapText="1" readingOrder="1"/>
    </xf>
    <xf numFmtId="0" fontId="21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9" fontId="21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4" fontId="25" fillId="5" borderId="0" xfId="3" applyNumberFormat="1" applyFill="1"/>
    <xf numFmtId="0" fontId="25" fillId="0" borderId="0" xfId="3"/>
    <xf numFmtId="49" fontId="25" fillId="0" borderId="0" xfId="3" applyNumberFormat="1"/>
    <xf numFmtId="43" fontId="25" fillId="0" borderId="0" xfId="1" applyFont="1"/>
    <xf numFmtId="166" fontId="25" fillId="0" borderId="0" xfId="1" applyNumberFormat="1" applyFont="1"/>
    <xf numFmtId="0" fontId="27" fillId="0" borderId="0" xfId="3" applyFont="1" applyAlignment="1">
      <alignment horizontal="center"/>
    </xf>
    <xf numFmtId="0" fontId="27" fillId="6" borderId="4" xfId="3" applyFont="1" applyFill="1" applyBorder="1"/>
    <xf numFmtId="0" fontId="27" fillId="6" borderId="4" xfId="3" applyFont="1" applyFill="1" applyBorder="1" applyAlignment="1">
      <alignment horizontal="center"/>
    </xf>
    <xf numFmtId="0" fontId="26" fillId="6" borderId="15" xfId="3" applyFont="1" applyFill="1" applyBorder="1"/>
    <xf numFmtId="167" fontId="26" fillId="6" borderId="15" xfId="1" applyNumberFormat="1" applyFont="1" applyFill="1" applyBorder="1"/>
    <xf numFmtId="0" fontId="28" fillId="0" borderId="5" xfId="3" applyFont="1" applyBorder="1"/>
    <xf numFmtId="167" fontId="28" fillId="0" borderId="5" xfId="1" applyNumberFormat="1" applyFont="1" applyBorder="1"/>
    <xf numFmtId="167" fontId="28" fillId="0" borderId="5" xfId="1" applyNumberFormat="1" applyFont="1" applyFill="1" applyBorder="1"/>
    <xf numFmtId="0" fontId="26" fillId="6" borderId="4" xfId="3" applyFont="1" applyFill="1" applyBorder="1"/>
    <xf numFmtId="167" fontId="27" fillId="6" borderId="4" xfId="1" applyNumberFormat="1" applyFont="1" applyFill="1" applyBorder="1"/>
    <xf numFmtId="167" fontId="25" fillId="0" borderId="5" xfId="3" applyNumberFormat="1" applyBorder="1"/>
    <xf numFmtId="167" fontId="25" fillId="0" borderId="5" xfId="1" applyNumberFormat="1" applyFont="1" applyBorder="1"/>
    <xf numFmtId="0" fontId="26" fillId="6" borderId="6" xfId="3" applyFont="1" applyFill="1" applyBorder="1"/>
    <xf numFmtId="167" fontId="25" fillId="6" borderId="6" xfId="3" applyNumberFormat="1" applyFill="1" applyBorder="1"/>
    <xf numFmtId="167" fontId="26" fillId="6" borderId="4" xfId="3" applyNumberFormat="1" applyFont="1" applyFill="1" applyBorder="1"/>
    <xf numFmtId="0" fontId="27" fillId="0" borderId="0" xfId="3" applyFont="1"/>
    <xf numFmtId="43" fontId="27" fillId="0" borderId="0" xfId="1" applyFont="1"/>
    <xf numFmtId="167" fontId="25" fillId="6" borderId="15" xfId="1" applyNumberFormat="1" applyFont="1" applyFill="1" applyBorder="1"/>
    <xf numFmtId="167" fontId="26" fillId="6" borderId="6" xfId="3" applyNumberFormat="1" applyFont="1" applyFill="1" applyBorder="1"/>
    <xf numFmtId="0" fontId="25" fillId="2" borderId="0" xfId="3" applyFill="1"/>
    <xf numFmtId="0" fontId="26" fillId="6" borderId="5" xfId="3" applyFont="1" applyFill="1" applyBorder="1" applyAlignment="1">
      <alignment horizontal="left" wrapText="1"/>
    </xf>
    <xf numFmtId="43" fontId="28" fillId="6" borderId="15" xfId="1" applyFont="1" applyFill="1" applyBorder="1"/>
    <xf numFmtId="0" fontId="27" fillId="0" borderId="5" xfId="3" applyFont="1" applyBorder="1"/>
    <xf numFmtId="0" fontId="25" fillId="0" borderId="6" xfId="3" applyBorder="1"/>
    <xf numFmtId="0" fontId="26" fillId="0" borderId="10" xfId="3" applyFont="1" applyBorder="1"/>
    <xf numFmtId="0" fontId="25" fillId="0" borderId="10" xfId="3" applyBorder="1"/>
    <xf numFmtId="0" fontId="25" fillId="0" borderId="5" xfId="3" applyBorder="1"/>
    <xf numFmtId="0" fontId="26" fillId="0" borderId="15" xfId="3" applyFont="1" applyBorder="1"/>
    <xf numFmtId="0" fontId="25" fillId="0" borderId="12" xfId="3" applyBorder="1"/>
    <xf numFmtId="0" fontId="25" fillId="0" borderId="13" xfId="3" applyBorder="1"/>
    <xf numFmtId="0" fontId="25" fillId="0" borderId="15" xfId="3" applyBorder="1"/>
    <xf numFmtId="0" fontId="26" fillId="6" borderId="4" xfId="3" applyFont="1" applyFill="1" applyBorder="1" applyAlignment="1">
      <alignment horizontal="center" vertical="center" wrapText="1"/>
    </xf>
    <xf numFmtId="0" fontId="27" fillId="6" borderId="4" xfId="3" applyFont="1" applyFill="1" applyBorder="1" applyAlignment="1">
      <alignment horizontal="center" vertical="center" wrapText="1"/>
    </xf>
    <xf numFmtId="0" fontId="25" fillId="0" borderId="0" xfId="3" applyAlignment="1">
      <alignment horizontal="center" vertical="center" wrapText="1"/>
    </xf>
    <xf numFmtId="43" fontId="25" fillId="0" borderId="0" xfId="1" applyFont="1" applyAlignment="1">
      <alignment horizontal="center" vertical="center" wrapText="1"/>
    </xf>
    <xf numFmtId="43" fontId="26" fillId="6" borderId="15" xfId="1" applyFont="1" applyFill="1" applyBorder="1"/>
    <xf numFmtId="43" fontId="28" fillId="0" borderId="5" xfId="1" applyFont="1" applyFill="1" applyBorder="1"/>
    <xf numFmtId="43" fontId="28" fillId="0" borderId="5" xfId="3" applyNumberFormat="1" applyFont="1" applyBorder="1"/>
    <xf numFmtId="43" fontId="26" fillId="6" borderId="4" xfId="1" applyFont="1" applyFill="1" applyBorder="1"/>
    <xf numFmtId="43" fontId="26" fillId="6" borderId="4" xfId="3" applyNumberFormat="1" applyFont="1" applyFill="1" applyBorder="1"/>
    <xf numFmtId="0" fontId="26" fillId="0" borderId="5" xfId="3" applyFont="1" applyBorder="1"/>
    <xf numFmtId="0" fontId="26" fillId="6" borderId="1" xfId="3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3" fillId="0" borderId="0" xfId="3" applyFont="1"/>
    <xf numFmtId="43" fontId="10" fillId="0" borderId="0" xfId="1" applyFont="1" applyFill="1" applyAlignment="1">
      <alignment vertical="center"/>
    </xf>
    <xf numFmtId="43" fontId="27" fillId="0" borderId="0" xfId="3" applyNumberFormat="1" applyFont="1" applyAlignment="1">
      <alignment horizontal="center"/>
    </xf>
    <xf numFmtId="0" fontId="27" fillId="6" borderId="22" xfId="3" applyFont="1" applyFill="1" applyBorder="1" applyAlignment="1">
      <alignment horizontal="center" vertical="center" wrapText="1"/>
    </xf>
    <xf numFmtId="0" fontId="27" fillId="6" borderId="23" xfId="3" applyFont="1" applyFill="1" applyBorder="1" applyAlignment="1">
      <alignment horizontal="center" wrapText="1"/>
    </xf>
    <xf numFmtId="0" fontId="27" fillId="6" borderId="23" xfId="3" applyFont="1" applyFill="1" applyBorder="1"/>
    <xf numFmtId="167" fontId="26" fillId="6" borderId="22" xfId="1" applyNumberFormat="1" applyFont="1" applyFill="1" applyBorder="1"/>
    <xf numFmtId="167" fontId="26" fillId="6" borderId="23" xfId="1" applyNumberFormat="1" applyFont="1" applyFill="1" applyBorder="1"/>
    <xf numFmtId="167" fontId="26" fillId="6" borderId="26" xfId="1" applyNumberFormat="1" applyFont="1" applyFill="1" applyBorder="1"/>
    <xf numFmtId="0" fontId="28" fillId="0" borderId="27" xfId="3" applyFont="1" applyBorder="1"/>
    <xf numFmtId="167" fontId="25" fillId="0" borderId="28" xfId="3" applyNumberFormat="1" applyBorder="1"/>
    <xf numFmtId="167" fontId="25" fillId="0" borderId="27" xfId="3" applyNumberFormat="1" applyBorder="1"/>
    <xf numFmtId="167" fontId="25" fillId="0" borderId="29" xfId="3" applyNumberFormat="1" applyBorder="1"/>
    <xf numFmtId="167" fontId="25" fillId="0" borderId="27" xfId="1" applyNumberFormat="1" applyFont="1" applyBorder="1"/>
    <xf numFmtId="167" fontId="25" fillId="0" borderId="28" xfId="1" applyNumberFormat="1" applyFont="1" applyBorder="1"/>
    <xf numFmtId="167" fontId="28" fillId="0" borderId="28" xfId="3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3" applyNumberFormat="1" applyFont="1" applyBorder="1"/>
    <xf numFmtId="167" fontId="28" fillId="0" borderId="29" xfId="3" applyNumberFormat="1" applyFont="1" applyBorder="1"/>
    <xf numFmtId="167" fontId="27" fillId="6" borderId="22" xfId="1" applyNumberFormat="1" applyFont="1" applyFill="1" applyBorder="1"/>
    <xf numFmtId="0" fontId="28" fillId="0" borderId="30" xfId="3" applyFont="1" applyBorder="1"/>
    <xf numFmtId="167" fontId="25" fillId="0" borderId="31" xfId="3" applyNumberFormat="1" applyBorder="1"/>
    <xf numFmtId="0" fontId="27" fillId="6" borderId="22" xfId="3" applyFont="1" applyFill="1" applyBorder="1"/>
    <xf numFmtId="167" fontId="26" fillId="6" borderId="23" xfId="3" applyNumberFormat="1" applyFont="1" applyFill="1" applyBorder="1"/>
    <xf numFmtId="0" fontId="28" fillId="0" borderId="10" xfId="3" applyFont="1" applyBorder="1"/>
    <xf numFmtId="167" fontId="27" fillId="6" borderId="23" xfId="1" applyNumberFormat="1" applyFont="1" applyFill="1" applyBorder="1"/>
    <xf numFmtId="167" fontId="25" fillId="0" borderId="27" xfId="1" applyNumberFormat="1" applyFont="1" applyFill="1" applyBorder="1"/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0" fontId="1" fillId="2" borderId="0" xfId="0" applyFont="1" applyFill="1" applyAlignment="1">
      <alignment horizontal="left" vertical="center" readingOrder="1"/>
    </xf>
    <xf numFmtId="0" fontId="1" fillId="0" borderId="0" xfId="3" applyFont="1"/>
    <xf numFmtId="0" fontId="14" fillId="0" borderId="0" xfId="0" applyFont="1" applyAlignment="1">
      <alignment horizontal="left" vertical="center" wrapText="1" readingOrder="1"/>
    </xf>
    <xf numFmtId="0" fontId="23" fillId="0" borderId="0" xfId="0" applyFont="1" applyAlignment="1">
      <alignment horizontal="left" vertical="center" readingOrder="1"/>
    </xf>
    <xf numFmtId="0" fontId="24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horizontal="left" vertical="center" readingOrder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49" fontId="4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readingOrder="1"/>
    </xf>
    <xf numFmtId="9" fontId="21" fillId="0" borderId="0" xfId="2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7" fontId="26" fillId="6" borderId="15" xfId="3" applyNumberFormat="1" applyFont="1" applyFill="1" applyBorder="1" applyAlignment="1">
      <alignment horizontal="center" wrapText="1"/>
    </xf>
    <xf numFmtId="0" fontId="26" fillId="6" borderId="15" xfId="3" applyFont="1" applyFill="1" applyBorder="1" applyAlignment="1">
      <alignment horizontal="center" wrapText="1"/>
    </xf>
    <xf numFmtId="43" fontId="25" fillId="0" borderId="7" xfId="3" applyNumberFormat="1" applyBorder="1" applyAlignment="1">
      <alignment horizontal="center"/>
    </xf>
    <xf numFmtId="43" fontId="25" fillId="0" borderId="9" xfId="3" applyNumberFormat="1" applyBorder="1" applyAlignment="1">
      <alignment horizontal="center"/>
    </xf>
    <xf numFmtId="167" fontId="25" fillId="0" borderId="6" xfId="3" applyNumberFormat="1" applyBorder="1" applyAlignment="1">
      <alignment horizontal="center"/>
    </xf>
    <xf numFmtId="167" fontId="25" fillId="0" borderId="10" xfId="3" applyNumberFormat="1" applyBorder="1" applyAlignment="1">
      <alignment horizontal="center"/>
    </xf>
    <xf numFmtId="167" fontId="25" fillId="0" borderId="0" xfId="3" applyNumberFormat="1" applyAlignment="1">
      <alignment horizontal="center"/>
    </xf>
    <xf numFmtId="167" fontId="26" fillId="6" borderId="4" xfId="3" applyNumberFormat="1" applyFont="1" applyFill="1" applyBorder="1" applyAlignment="1">
      <alignment horizontal="center"/>
    </xf>
    <xf numFmtId="167" fontId="26" fillId="6" borderId="6" xfId="3" applyNumberFormat="1" applyFont="1" applyFill="1" applyBorder="1" applyAlignment="1">
      <alignment horizontal="center"/>
    </xf>
    <xf numFmtId="167" fontId="25" fillId="0" borderId="10" xfId="1" applyNumberFormat="1" applyFont="1" applyBorder="1" applyAlignment="1">
      <alignment horizontal="center"/>
    </xf>
    <xf numFmtId="167" fontId="25" fillId="0" borderId="11" xfId="1" applyNumberFormat="1" applyFont="1" applyBorder="1" applyAlignment="1">
      <alignment horizontal="center"/>
    </xf>
    <xf numFmtId="167" fontId="25" fillId="0" borderId="11" xfId="3" applyNumberFormat="1" applyBorder="1" applyAlignment="1">
      <alignment horizontal="center"/>
    </xf>
    <xf numFmtId="167" fontId="25" fillId="6" borderId="1" xfId="3" applyNumberFormat="1" applyFill="1" applyBorder="1" applyAlignment="1">
      <alignment horizontal="center"/>
    </xf>
    <xf numFmtId="167" fontId="25" fillId="6" borderId="3" xfId="3" applyNumberFormat="1" applyFill="1" applyBorder="1" applyAlignment="1">
      <alignment horizontal="center"/>
    </xf>
    <xf numFmtId="167" fontId="25" fillId="6" borderId="15" xfId="1" applyNumberFormat="1" applyFont="1" applyFill="1" applyBorder="1" applyAlignment="1">
      <alignment horizontal="center"/>
    </xf>
    <xf numFmtId="167" fontId="27" fillId="6" borderId="4" xfId="1" applyNumberFormat="1" applyFont="1" applyFill="1" applyBorder="1" applyAlignment="1">
      <alignment horizontal="center"/>
    </xf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6" fillId="6" borderId="15" xfId="1" applyNumberFormat="1" applyFont="1" applyFill="1" applyBorder="1" applyAlignment="1">
      <alignment horizontal="center"/>
    </xf>
    <xf numFmtId="0" fontId="26" fillId="0" borderId="0" xfId="3" applyFont="1" applyAlignment="1">
      <alignment horizontal="center"/>
    </xf>
    <xf numFmtId="0" fontId="27" fillId="6" borderId="4" xfId="3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6" fillId="6" borderId="16" xfId="3" applyFont="1" applyFill="1" applyBorder="1" applyAlignment="1">
      <alignment horizontal="center" vertical="center"/>
    </xf>
    <xf numFmtId="0" fontId="26" fillId="6" borderId="24" xfId="3" applyFont="1" applyFill="1" applyBorder="1" applyAlignment="1">
      <alignment horizontal="center" vertical="center"/>
    </xf>
    <xf numFmtId="0" fontId="27" fillId="6" borderId="17" xfId="3" applyFont="1" applyFill="1" applyBorder="1" applyAlignment="1">
      <alignment horizontal="center"/>
    </xf>
    <xf numFmtId="0" fontId="27" fillId="6" borderId="18" xfId="3" applyFont="1" applyFill="1" applyBorder="1" applyAlignment="1">
      <alignment horizontal="center"/>
    </xf>
    <xf numFmtId="0" fontId="27" fillId="6" borderId="32" xfId="3" applyFont="1" applyFill="1" applyBorder="1" applyAlignment="1">
      <alignment horizontal="center" vertical="center" wrapText="1"/>
    </xf>
    <xf numFmtId="0" fontId="27" fillId="6" borderId="30" xfId="3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 readingOrder="1"/>
    </xf>
    <xf numFmtId="0" fontId="27" fillId="0" borderId="0" xfId="3" applyFont="1" applyAlignment="1">
      <alignment horizontal="center"/>
    </xf>
    <xf numFmtId="0" fontId="26" fillId="6" borderId="21" xfId="3" applyFont="1" applyFill="1" applyBorder="1" applyAlignment="1">
      <alignment horizontal="center" vertical="center"/>
    </xf>
    <xf numFmtId="0" fontId="27" fillId="6" borderId="16" xfId="3" applyFont="1" applyFill="1" applyBorder="1" applyAlignment="1">
      <alignment horizontal="center" vertical="center" wrapText="1"/>
    </xf>
    <xf numFmtId="0" fontId="27" fillId="6" borderId="21" xfId="3" applyFont="1" applyFill="1" applyBorder="1" applyAlignment="1">
      <alignment horizontal="center" vertical="center" wrapText="1"/>
    </xf>
    <xf numFmtId="0" fontId="27" fillId="6" borderId="19" xfId="3" applyFont="1" applyFill="1" applyBorder="1" applyAlignment="1">
      <alignment horizontal="center" vertical="center" wrapText="1"/>
    </xf>
    <xf numFmtId="0" fontId="27" fillId="6" borderId="24" xfId="3" applyFont="1" applyFill="1" applyBorder="1" applyAlignment="1">
      <alignment horizontal="center" vertical="center" wrapText="1"/>
    </xf>
    <xf numFmtId="0" fontId="27" fillId="6" borderId="20" xfId="3" applyFont="1" applyFill="1" applyBorder="1" applyAlignment="1">
      <alignment horizontal="center" vertical="center" wrapText="1"/>
    </xf>
    <xf numFmtId="0" fontId="27" fillId="6" borderId="25" xfId="3" applyFont="1" applyFill="1" applyBorder="1" applyAlignment="1">
      <alignment horizontal="center" vertical="center" wrapText="1"/>
    </xf>
  </cellXfs>
  <cellStyles count="4">
    <cellStyle name="Normal" xfId="0" builtinId="0"/>
    <cellStyle name="Normal_BALANÇO ORÇAMENTÁRIO MCASP - Nov15" xfId="3" xr:uid="{C18FEC46-9BF9-4780-A6DB-98EA36C6F718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8FD0BDEB-550F-46E7-B647-E860765D8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CA2AD32C-3BEA-4FE4-8540-179A493C3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9DAABD4-80E1-4557-96F8-55B30F10D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2019/11.%20Novembro/C&#243;pia%20de%20Planilha%20FUMCAD%20(%20Mem&#243;ria%20de%20C&#225;lculo)%20Novembr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43466</v>
          </cell>
          <cell r="D1">
            <v>43497</v>
          </cell>
          <cell r="E1">
            <v>43525</v>
          </cell>
          <cell r="F1">
            <v>43556</v>
          </cell>
          <cell r="G1">
            <v>43586</v>
          </cell>
          <cell r="H1">
            <v>43617</v>
          </cell>
          <cell r="I1">
            <v>43647</v>
          </cell>
          <cell r="J1">
            <v>43678</v>
          </cell>
          <cell r="K1">
            <v>43709</v>
          </cell>
          <cell r="L1">
            <v>43739</v>
          </cell>
          <cell r="M1">
            <v>43770</v>
          </cell>
          <cell r="N1">
            <v>43800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17476289</v>
          </cell>
          <cell r="D4">
            <v>17476289</v>
          </cell>
          <cell r="E4">
            <v>17476289</v>
          </cell>
          <cell r="F4">
            <v>17476289</v>
          </cell>
          <cell r="G4">
            <v>17476289</v>
          </cell>
          <cell r="H4">
            <v>17476289</v>
          </cell>
          <cell r="I4">
            <v>17476289</v>
          </cell>
          <cell r="J4">
            <v>17476289</v>
          </cell>
          <cell r="K4">
            <v>17476289</v>
          </cell>
          <cell r="L4">
            <v>17476289</v>
          </cell>
          <cell r="M4">
            <v>17476289</v>
          </cell>
          <cell r="N4">
            <v>0</v>
          </cell>
        </row>
        <row r="5">
          <cell r="B5" t="str">
            <v>Realizada no Mês</v>
          </cell>
          <cell r="C5">
            <v>1398458.01</v>
          </cell>
          <cell r="D5">
            <v>1248235.3400000001</v>
          </cell>
          <cell r="E5">
            <v>1158542.3899999999</v>
          </cell>
          <cell r="F5">
            <v>1218004.53</v>
          </cell>
          <cell r="G5">
            <v>1269689.55</v>
          </cell>
          <cell r="H5">
            <v>1086494.78</v>
          </cell>
          <cell r="I5">
            <v>1298140.83</v>
          </cell>
          <cell r="J5">
            <v>1144103.1200000001</v>
          </cell>
          <cell r="K5">
            <v>1111539.83</v>
          </cell>
          <cell r="L5">
            <v>1131503.4099999999</v>
          </cell>
          <cell r="M5">
            <v>844830.14</v>
          </cell>
          <cell r="N5">
            <v>0</v>
          </cell>
        </row>
        <row r="6">
          <cell r="B6" t="str">
            <v>Realizada no Mês - CONCILIADO</v>
          </cell>
          <cell r="C6">
            <v>1398458.01</v>
          </cell>
          <cell r="D6">
            <v>1248235.3400000001</v>
          </cell>
          <cell r="E6">
            <v>1158542.3899999999</v>
          </cell>
          <cell r="F6">
            <v>1218004.53</v>
          </cell>
          <cell r="G6">
            <v>1269689.55</v>
          </cell>
          <cell r="H6">
            <v>1086494.78</v>
          </cell>
          <cell r="I6">
            <v>1298140.83</v>
          </cell>
          <cell r="J6">
            <v>1144103.1200000001</v>
          </cell>
          <cell r="K6">
            <v>1111539.83</v>
          </cell>
          <cell r="L6">
            <v>1131503.4099999999</v>
          </cell>
          <cell r="M6">
            <v>844830.14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1398458.01</v>
          </cell>
          <cell r="D8">
            <v>2646693.35</v>
          </cell>
          <cell r="E8">
            <v>3805235.74</v>
          </cell>
          <cell r="F8">
            <v>5023240.2699999996</v>
          </cell>
          <cell r="G8">
            <v>6292929.8200000003</v>
          </cell>
          <cell r="H8">
            <v>7379424.5999999996</v>
          </cell>
          <cell r="I8">
            <v>8677565.4299999997</v>
          </cell>
          <cell r="J8">
            <v>9821668.5500000007</v>
          </cell>
          <cell r="K8">
            <v>10933208.380000001</v>
          </cell>
          <cell r="L8">
            <v>12064711.789999999</v>
          </cell>
          <cell r="M8">
            <v>12909541.93</v>
          </cell>
          <cell r="N8">
            <v>0</v>
          </cell>
        </row>
        <row r="9">
          <cell r="B9" t="str">
            <v>Realizada até o Mês - CONCILIADO</v>
          </cell>
          <cell r="C9">
            <v>1398458.01</v>
          </cell>
          <cell r="D9">
            <v>2646693.35</v>
          </cell>
          <cell r="E9">
            <v>3805235.74</v>
          </cell>
          <cell r="F9">
            <v>5023240.2700000005</v>
          </cell>
          <cell r="G9">
            <v>6292929.8200000003</v>
          </cell>
          <cell r="H9">
            <v>7379424.6000000006</v>
          </cell>
          <cell r="I9">
            <v>8677565.4299999997</v>
          </cell>
          <cell r="J9">
            <v>9821668.5500000007</v>
          </cell>
          <cell r="K9">
            <v>10933208.380000001</v>
          </cell>
          <cell r="L9">
            <v>12064711.790000001</v>
          </cell>
          <cell r="M9">
            <v>12909541.930000002</v>
          </cell>
          <cell r="N9">
            <v>12909541.930000002</v>
          </cell>
        </row>
        <row r="10">
          <cell r="B10" t="str">
            <v>TOTAL</v>
          </cell>
          <cell r="C10">
            <v>1398458.01</v>
          </cell>
          <cell r="D10">
            <v>2646693.35</v>
          </cell>
          <cell r="E10">
            <v>3805235.74</v>
          </cell>
          <cell r="F10">
            <v>5023240.2700000005</v>
          </cell>
          <cell r="G10">
            <v>6292929.8200000003</v>
          </cell>
          <cell r="H10">
            <v>7379424.6000000006</v>
          </cell>
          <cell r="I10">
            <v>8677565.4299999997</v>
          </cell>
          <cell r="J10">
            <v>9821668.5500000007</v>
          </cell>
          <cell r="K10">
            <v>10933208.380000001</v>
          </cell>
          <cell r="L10">
            <v>12064711.790000001</v>
          </cell>
          <cell r="M10">
            <v>12909541.930000002</v>
          </cell>
          <cell r="N10">
            <v>12909541.930000002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114000000</v>
          </cell>
          <cell r="D12">
            <v>114000000</v>
          </cell>
          <cell r="E12">
            <v>114000000</v>
          </cell>
          <cell r="F12">
            <v>114000000</v>
          </cell>
          <cell r="G12">
            <v>114000000</v>
          </cell>
          <cell r="H12">
            <v>114000000</v>
          </cell>
          <cell r="I12">
            <v>114000000</v>
          </cell>
          <cell r="J12">
            <v>114000000</v>
          </cell>
          <cell r="K12">
            <v>114000000</v>
          </cell>
          <cell r="L12">
            <v>114000000</v>
          </cell>
          <cell r="M12">
            <v>114000000</v>
          </cell>
          <cell r="N12">
            <v>0</v>
          </cell>
        </row>
        <row r="13">
          <cell r="B13" t="str">
            <v>Realizada no Mês</v>
          </cell>
          <cell r="C13">
            <v>141113.37</v>
          </cell>
          <cell r="D13">
            <v>162806.98000000001</v>
          </cell>
          <cell r="E13">
            <v>495856.9</v>
          </cell>
          <cell r="F13">
            <v>679219.27</v>
          </cell>
          <cell r="G13">
            <v>935179.95</v>
          </cell>
          <cell r="H13">
            <v>804790.24</v>
          </cell>
          <cell r="I13">
            <v>2976206.37</v>
          </cell>
          <cell r="J13">
            <v>639635.39</v>
          </cell>
          <cell r="K13">
            <v>474045.31</v>
          </cell>
          <cell r="L13">
            <v>1373324.56</v>
          </cell>
          <cell r="M13">
            <v>61808.88</v>
          </cell>
          <cell r="N13">
            <v>0</v>
          </cell>
        </row>
        <row r="14">
          <cell r="B14" t="str">
            <v>Realizada no Mês - CONCILIADO</v>
          </cell>
          <cell r="C14">
            <v>141113.37</v>
          </cell>
          <cell r="D14">
            <v>162806.98000000001</v>
          </cell>
          <cell r="E14">
            <v>495856.9</v>
          </cell>
          <cell r="F14">
            <v>679219.27</v>
          </cell>
          <cell r="G14">
            <v>935179.95</v>
          </cell>
          <cell r="H14">
            <v>804790.24</v>
          </cell>
          <cell r="I14">
            <v>2976206.37</v>
          </cell>
          <cell r="J14">
            <v>639635.39</v>
          </cell>
          <cell r="K14">
            <v>474045.31</v>
          </cell>
          <cell r="L14">
            <v>1373324.56</v>
          </cell>
          <cell r="M14">
            <v>61808.88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141113.37</v>
          </cell>
          <cell r="D16">
            <v>303920.34999999998</v>
          </cell>
          <cell r="E16">
            <v>799777.25</v>
          </cell>
          <cell r="F16">
            <v>1478996.52</v>
          </cell>
          <cell r="G16">
            <v>2414176.4700000002</v>
          </cell>
          <cell r="H16">
            <v>3218966.71</v>
          </cell>
          <cell r="I16">
            <v>6195173.0800000001</v>
          </cell>
          <cell r="J16">
            <v>6834808.4699999997</v>
          </cell>
          <cell r="K16">
            <v>7308853.7800000003</v>
          </cell>
          <cell r="L16">
            <v>8682178.3399999999</v>
          </cell>
          <cell r="M16">
            <v>8743987.2200000007</v>
          </cell>
          <cell r="N16">
            <v>8743987.2200000007</v>
          </cell>
        </row>
        <row r="17">
          <cell r="B17" t="str">
            <v>Realizada até o Mês - CONCILIADO</v>
          </cell>
          <cell r="C17">
            <v>141113.37</v>
          </cell>
          <cell r="D17">
            <v>303920.34999999998</v>
          </cell>
          <cell r="E17">
            <v>799777.25</v>
          </cell>
          <cell r="F17">
            <v>1478996.52</v>
          </cell>
          <cell r="G17">
            <v>2414176.4700000002</v>
          </cell>
          <cell r="H17">
            <v>3218966.71</v>
          </cell>
          <cell r="I17">
            <v>6195173.0800000001</v>
          </cell>
          <cell r="J17">
            <v>6834808.4699999997</v>
          </cell>
          <cell r="K17">
            <v>7308853.7800000003</v>
          </cell>
          <cell r="L17">
            <v>8682178.3399999999</v>
          </cell>
          <cell r="M17">
            <v>8743987.2200000007</v>
          </cell>
          <cell r="N17">
            <v>8743987.2200000007</v>
          </cell>
        </row>
        <row r="18">
          <cell r="B18" t="str">
            <v>TOTAL</v>
          </cell>
          <cell r="C18">
            <v>141113.37</v>
          </cell>
          <cell r="D18">
            <v>303920.34999999998</v>
          </cell>
          <cell r="E18">
            <v>799777.25</v>
          </cell>
          <cell r="F18">
            <v>1478996.52</v>
          </cell>
          <cell r="G18">
            <v>2414176.4699999997</v>
          </cell>
          <cell r="H18">
            <v>3218966.71</v>
          </cell>
          <cell r="I18">
            <v>6195173.0800000001</v>
          </cell>
          <cell r="J18">
            <v>6834808.4699999997</v>
          </cell>
          <cell r="K18">
            <v>7308853.7799999993</v>
          </cell>
          <cell r="L18">
            <v>8682178.3399999999</v>
          </cell>
          <cell r="M18">
            <v>8743987.2200000007</v>
          </cell>
          <cell r="N18">
            <v>8743987.2200000007</v>
          </cell>
        </row>
        <row r="20">
          <cell r="A20" t="str">
            <v>1.9.2.2.99.1.1.01.00.000.000.11.01.000 - FUMCAD - Outras Restituições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E21">
            <v>0</v>
          </cell>
          <cell r="F21">
            <v>0</v>
          </cell>
          <cell r="K21">
            <v>0</v>
          </cell>
          <cell r="L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E24">
            <v>0</v>
          </cell>
          <cell r="F24">
            <v>0</v>
          </cell>
          <cell r="K24">
            <v>0</v>
          </cell>
          <cell r="L24">
            <v>0</v>
          </cell>
        </row>
        <row r="25">
          <cell r="B25" t="str">
            <v>Realizada até o Mês - CONCILIADO</v>
          </cell>
          <cell r="E25">
            <v>0</v>
          </cell>
          <cell r="F25">
            <v>0</v>
          </cell>
          <cell r="K25">
            <v>0</v>
          </cell>
          <cell r="L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A28" t="str">
            <v>1.9.9.0.99.1.1.05.00.000.000.11.01.000 - FUMCAD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39237.839999999997</v>
          </cell>
          <cell r="D29">
            <v>70266.5</v>
          </cell>
          <cell r="E29">
            <v>39762.800000000003</v>
          </cell>
          <cell r="F29">
            <v>163208.81</v>
          </cell>
          <cell r="G29">
            <v>6754.97</v>
          </cell>
          <cell r="H29">
            <v>1048.55</v>
          </cell>
          <cell r="I29">
            <v>8602.44</v>
          </cell>
          <cell r="J29">
            <v>22266.47</v>
          </cell>
          <cell r="K29">
            <v>0</v>
          </cell>
          <cell r="L29">
            <v>678.61</v>
          </cell>
          <cell r="M29">
            <v>128689.61</v>
          </cell>
          <cell r="N29">
            <v>0</v>
          </cell>
        </row>
        <row r="30">
          <cell r="B30" t="str">
            <v>Realizada no Mês - CONCILIADO</v>
          </cell>
          <cell r="C30">
            <v>39237.839999999997</v>
          </cell>
          <cell r="D30">
            <v>70266.5</v>
          </cell>
          <cell r="E30">
            <v>39762.800000000003</v>
          </cell>
          <cell r="F30">
            <v>163208.81</v>
          </cell>
          <cell r="G30">
            <v>6754.97</v>
          </cell>
          <cell r="H30">
            <v>1048.55</v>
          </cell>
          <cell r="I30">
            <v>8602.44</v>
          </cell>
          <cell r="J30">
            <v>22266.47</v>
          </cell>
          <cell r="K30">
            <v>0</v>
          </cell>
          <cell r="L30">
            <v>678.61</v>
          </cell>
          <cell r="M30">
            <v>128689.61</v>
          </cell>
          <cell r="N30">
            <v>0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39237.839999999997</v>
          </cell>
          <cell r="D32">
            <v>109504.34</v>
          </cell>
          <cell r="E32">
            <v>149267.14000000001</v>
          </cell>
          <cell r="F32">
            <v>312475.95</v>
          </cell>
          <cell r="G32">
            <v>319230.92</v>
          </cell>
          <cell r="H32">
            <v>320279.46999999997</v>
          </cell>
          <cell r="I32">
            <v>328881.90999999997</v>
          </cell>
          <cell r="J32">
            <v>351148.38</v>
          </cell>
          <cell r="K32">
            <v>351148.38</v>
          </cell>
          <cell r="L32">
            <v>351826.99</v>
          </cell>
          <cell r="M32">
            <v>480516.6</v>
          </cell>
          <cell r="N32">
            <v>480516.6</v>
          </cell>
        </row>
        <row r="33">
          <cell r="B33" t="str">
            <v>Realizada até o Mês - CONCILIADO</v>
          </cell>
          <cell r="C33">
            <v>39237.839999999997</v>
          </cell>
          <cell r="D33">
            <v>70266.5</v>
          </cell>
          <cell r="E33">
            <v>39762.800000000003</v>
          </cell>
          <cell r="F33">
            <v>163208.81</v>
          </cell>
          <cell r="G33">
            <v>6754.97</v>
          </cell>
          <cell r="H33">
            <v>1048.55</v>
          </cell>
          <cell r="I33">
            <v>8602.44</v>
          </cell>
          <cell r="J33">
            <v>22266.47</v>
          </cell>
          <cell r="K33">
            <v>0</v>
          </cell>
          <cell r="L33">
            <v>678.61</v>
          </cell>
          <cell r="M33">
            <v>128689.61</v>
          </cell>
          <cell r="N33">
            <v>0</v>
          </cell>
        </row>
        <row r="34">
          <cell r="B34" t="str">
            <v>TOTAL</v>
          </cell>
          <cell r="C34">
            <v>39237.839999999997</v>
          </cell>
          <cell r="D34">
            <v>109504.34</v>
          </cell>
          <cell r="E34">
            <v>149267.14000000001</v>
          </cell>
          <cell r="F34">
            <v>312475.95</v>
          </cell>
          <cell r="G34">
            <v>319230.92</v>
          </cell>
          <cell r="H34">
            <v>320279.46999999997</v>
          </cell>
          <cell r="I34">
            <v>328881.90999999997</v>
          </cell>
          <cell r="J34">
            <v>351148.38</v>
          </cell>
          <cell r="K34">
            <v>351148.38</v>
          </cell>
          <cell r="L34">
            <v>351826.99</v>
          </cell>
          <cell r="M34">
            <v>480516.6</v>
          </cell>
          <cell r="N34">
            <v>480516.6</v>
          </cell>
        </row>
        <row r="35">
          <cell r="B35" t="str">
            <v>TOTAL GERAL</v>
          </cell>
          <cell r="C35">
            <v>1578809.22</v>
          </cell>
          <cell r="D35">
            <v>3060118.04</v>
          </cell>
          <cell r="E35">
            <v>4754280.13</v>
          </cell>
          <cell r="F35">
            <v>6814712.7400000012</v>
          </cell>
          <cell r="G35">
            <v>9026337.209999999</v>
          </cell>
          <cell r="H35">
            <v>10918670.780000001</v>
          </cell>
          <cell r="I35">
            <v>15201620.42</v>
          </cell>
          <cell r="J35">
            <v>17007625.399999999</v>
          </cell>
          <cell r="K35">
            <v>18593210.539999999</v>
          </cell>
          <cell r="L35">
            <v>21098717.120000001</v>
          </cell>
          <cell r="M35">
            <v>22134045.750000004</v>
          </cell>
          <cell r="N35">
            <v>22134045.750000004</v>
          </cell>
        </row>
        <row r="37">
          <cell r="A37" t="str">
            <v>FONTE 08 - Tesouro Municipal - Recursos Vinculados</v>
          </cell>
        </row>
        <row r="38">
          <cell r="A38" t="str">
            <v>1.9.1.0.08.1.1.02.00.000.11.01.000 - FUMCAD - Multas Decorrentes De Sentenças Judiciais</v>
          </cell>
          <cell r="B38" t="str">
            <v>Receita Prevista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Realizada no Mês</v>
          </cell>
          <cell r="C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</row>
        <row r="40">
          <cell r="B40" t="str">
            <v>Realizada no Mês - CONCILIADO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DIFERENÇA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Realizada até o Mês</v>
          </cell>
          <cell r="C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 t="str">
            <v>Realizada até o Mês - CONCILIADO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 t="str">
            <v>TOTAL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6">
          <cell r="A46" t="str">
            <v>FONTE 08 - Tesouro Municipal - Recursos Vinculados</v>
          </cell>
        </row>
        <row r="47">
          <cell r="A47" t="str">
            <v>1.7.4.0.00.1.1.01.13.000.000.11.01.000 Transf.Instituições Privadas - FUMCAD Doações Direcionadas[</v>
          </cell>
          <cell r="B47" t="str">
            <v>Receita Prevista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no Mês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Realizada no Mês - CONCILIADO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DIFERENÇA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Realizada até o Mês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Realizada até o Mês - CONCILIADO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</v>
          </cell>
        </row>
        <row r="53">
          <cell r="B53" t="str">
            <v>TOTAL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1.7.7.0.00.1.1.10.00.000.11.01.000 Transf. Pessoas Fisicas - FUMCAD Doações Direcionadas</v>
          </cell>
          <cell r="B54" t="str">
            <v>Receita Prevista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Realizada no Mês</v>
          </cell>
          <cell r="L55">
            <v>0</v>
          </cell>
          <cell r="M55">
            <v>232210.64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232210.64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232210.64</v>
          </cell>
          <cell r="N59">
            <v>232210.64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232210.64</v>
          </cell>
          <cell r="N60">
            <v>232210.64</v>
          </cell>
        </row>
        <row r="62">
          <cell r="A62" t="str">
            <v>RAZÃO DE ARRECADAÇÃO</v>
          </cell>
        </row>
        <row r="63">
          <cell r="A63" t="str">
            <v>1.3.2.1.00.5.1.01.06.022.001.11.01.000</v>
          </cell>
          <cell r="B63" t="str">
            <v>(25955) - FUMCAD</v>
          </cell>
          <cell r="C63">
            <v>1398458.01</v>
          </cell>
          <cell r="D63">
            <v>1248235.3400000001</v>
          </cell>
          <cell r="E63">
            <v>1158542.3899999999</v>
          </cell>
          <cell r="F63">
            <v>1218004.53</v>
          </cell>
          <cell r="G63">
            <v>1269689.55</v>
          </cell>
          <cell r="H63">
            <v>1086494.78</v>
          </cell>
          <cell r="I63">
            <v>1298140.83</v>
          </cell>
          <cell r="J63">
            <v>1144103.1200000001</v>
          </cell>
          <cell r="K63">
            <v>1111539.83</v>
          </cell>
          <cell r="L63">
            <v>1131503.4099999999</v>
          </cell>
          <cell r="M63">
            <v>844830.14</v>
          </cell>
          <cell r="N63">
            <v>0</v>
          </cell>
        </row>
        <row r="64">
          <cell r="B64" t="str">
            <v>Valores RENDIMENTO DA CONTA SME - PROJETO MAIS ESCOLA</v>
          </cell>
          <cell r="C64">
            <v>100070.48</v>
          </cell>
          <cell r="D64">
            <v>85110.17</v>
          </cell>
          <cell r="E64">
            <v>75164.160000000003</v>
          </cell>
          <cell r="F64">
            <v>82720.19</v>
          </cell>
          <cell r="G64">
            <v>87364.27</v>
          </cell>
          <cell r="H64">
            <v>73918.039999999994</v>
          </cell>
          <cell r="I64">
            <v>87879.05</v>
          </cell>
          <cell r="J64">
            <v>75052.679999999993</v>
          </cell>
          <cell r="K64">
            <v>72605.39</v>
          </cell>
          <cell r="L64">
            <v>72492.649999999994</v>
          </cell>
          <cell r="M64">
            <v>53647</v>
          </cell>
          <cell r="N64">
            <v>0</v>
          </cell>
          <cell r="O64">
            <v>866024.08000000007</v>
          </cell>
        </row>
        <row r="65">
          <cell r="A65" t="str">
            <v>1.7.7.0.00.1.1.00.00.000.000.11.01.000</v>
          </cell>
          <cell r="B65" t="str">
            <v>(28460) - FUMCAD - Imposto de Renda</v>
          </cell>
          <cell r="C65">
            <v>141113.37</v>
          </cell>
          <cell r="D65">
            <v>162806.98000000001</v>
          </cell>
          <cell r="E65">
            <v>495856.9</v>
          </cell>
          <cell r="F65">
            <v>679219.27</v>
          </cell>
          <cell r="G65">
            <v>935179.95</v>
          </cell>
          <cell r="H65">
            <v>804790.24</v>
          </cell>
          <cell r="I65">
            <v>2976206.37</v>
          </cell>
          <cell r="J65">
            <v>639635.39</v>
          </cell>
          <cell r="K65">
            <v>474045.31</v>
          </cell>
          <cell r="L65">
            <v>1373324.56</v>
          </cell>
          <cell r="M65">
            <v>61808.88</v>
          </cell>
          <cell r="N65">
            <v>0</v>
          </cell>
        </row>
        <row r="66">
          <cell r="B66" t="str">
            <v>Valores Indevidos (-)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A67" t="str">
            <v>1.9.2.2.99.1.1.01.00.000.000.11.01.000</v>
          </cell>
          <cell r="B67" t="str">
            <v>(28746) - FUMCAD - Outras Restit.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 xml:space="preserve">1.9.9.0.99.1.1.05.00.000.000.11.01.000 </v>
          </cell>
          <cell r="B68" t="str">
            <v>(28988) FUMCAD</v>
          </cell>
          <cell r="C68">
            <v>39237.839999999997</v>
          </cell>
          <cell r="D68">
            <v>70266.5</v>
          </cell>
          <cell r="E68">
            <v>39762.800000000003</v>
          </cell>
          <cell r="F68">
            <v>163208.81</v>
          </cell>
          <cell r="G68">
            <v>6754.97</v>
          </cell>
          <cell r="H68">
            <v>1048.55</v>
          </cell>
          <cell r="I68">
            <v>8602.44</v>
          </cell>
          <cell r="J68">
            <v>22266.47</v>
          </cell>
          <cell r="K68">
            <v>0</v>
          </cell>
          <cell r="L68">
            <v>678.61</v>
          </cell>
          <cell r="M68">
            <v>128689.61</v>
          </cell>
          <cell r="N68">
            <v>0</v>
          </cell>
        </row>
        <row r="69">
          <cell r="A69" t="str">
            <v>1.9.1.0.08.1.1.02.00.000.000.11.01.000</v>
          </cell>
          <cell r="B69" t="str">
            <v>(28601) - FUMCAD - Multas Judiciais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1.7.4.0.00.1.1.01.13.000.000.11.01.000</v>
          </cell>
          <cell r="B70" t="str">
            <v>(33693)Tranf.Inst.Priv.-Doações Direc.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1.7.7.0.00.1.1.10.00.000.000.11.01.000</v>
          </cell>
          <cell r="B71" t="str">
            <v>(33696)Tranf.Inst.Pes.Fis.-Doações Direc.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TOTAL</v>
          </cell>
          <cell r="C72">
            <v>1578809.22</v>
          </cell>
          <cell r="D72">
            <v>1481308.82</v>
          </cell>
          <cell r="E72">
            <v>1694162.09</v>
          </cell>
          <cell r="F72">
            <v>2060432.61</v>
          </cell>
          <cell r="G72">
            <v>2211624.4700000002</v>
          </cell>
          <cell r="H72">
            <v>1892333.57</v>
          </cell>
          <cell r="I72">
            <v>4282949.6400000006</v>
          </cell>
          <cell r="J72">
            <v>1806004.9800000002</v>
          </cell>
          <cell r="K72">
            <v>1585585.1400000001</v>
          </cell>
          <cell r="L72">
            <v>2505506.5799999996</v>
          </cell>
          <cell r="M72">
            <v>1035328.63</v>
          </cell>
          <cell r="N72">
            <v>0</v>
          </cell>
        </row>
        <row r="74">
          <cell r="A74" t="str">
            <v>RAZÃO DE DISPONÍVEIS</v>
          </cell>
        </row>
        <row r="75">
          <cell r="A75" t="str">
            <v>Conta Corrente</v>
          </cell>
          <cell r="B75" t="str">
            <v>Saldo Inicial</v>
          </cell>
        </row>
        <row r="76">
          <cell r="A76" t="str">
            <v>Cód. 100738 - 8946-X</v>
          </cell>
          <cell r="B76">
            <v>1470</v>
          </cell>
          <cell r="C76">
            <v>1470</v>
          </cell>
          <cell r="D76">
            <v>1470</v>
          </cell>
          <cell r="E76">
            <v>1470</v>
          </cell>
          <cell r="F76">
            <v>1470</v>
          </cell>
          <cell r="G76">
            <v>1470</v>
          </cell>
          <cell r="H76">
            <v>1470</v>
          </cell>
          <cell r="I76">
            <v>1470</v>
          </cell>
          <cell r="J76">
            <v>3142.3</v>
          </cell>
          <cell r="K76">
            <v>1470</v>
          </cell>
          <cell r="L76">
            <v>1470</v>
          </cell>
          <cell r="M76">
            <v>1470</v>
          </cell>
        </row>
        <row r="77">
          <cell r="A77" t="str">
            <v>Cód. 100738 - Aplicação</v>
          </cell>
          <cell r="B77">
            <v>231025516.06</v>
          </cell>
          <cell r="C77">
            <v>240538721.11000001</v>
          </cell>
          <cell r="D77">
            <v>237983182.55000001</v>
          </cell>
          <cell r="E77">
            <v>225709845.19999999</v>
          </cell>
          <cell r="F77">
            <v>222296664.22</v>
          </cell>
          <cell r="G77">
            <v>219119348.63999999</v>
          </cell>
          <cell r="H77">
            <v>217518813.66999999</v>
          </cell>
          <cell r="I77">
            <v>217392884.13</v>
          </cell>
          <cell r="J77">
            <v>214144127.84999999</v>
          </cell>
          <cell r="K77">
            <v>214785575</v>
          </cell>
          <cell r="L77">
            <v>214739934.88</v>
          </cell>
          <cell r="M77">
            <v>214495687.69</v>
          </cell>
        </row>
        <row r="78">
          <cell r="A78" t="str">
            <v>Cód. 100071 - 5738-X</v>
          </cell>
          <cell r="B78">
            <v>32</v>
          </cell>
          <cell r="C78">
            <v>32</v>
          </cell>
          <cell r="D78">
            <v>32</v>
          </cell>
          <cell r="E78">
            <v>32</v>
          </cell>
          <cell r="F78">
            <v>32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 t="str">
            <v>Cód. 100071 - Aplicação</v>
          </cell>
          <cell r="C79">
            <v>0</v>
          </cell>
          <cell r="L79">
            <v>0</v>
          </cell>
          <cell r="M79">
            <v>0</v>
          </cell>
        </row>
        <row r="80">
          <cell r="A80" t="str">
            <v>Cód. 100072 - 5737-1</v>
          </cell>
          <cell r="C80">
            <v>0</v>
          </cell>
          <cell r="L80">
            <v>0</v>
          </cell>
          <cell r="M80">
            <v>0</v>
          </cell>
        </row>
        <row r="81">
          <cell r="A81" t="str">
            <v>Ajuste - Desvinculação de Receita 2018</v>
          </cell>
          <cell r="B81">
            <v>-3782776.56</v>
          </cell>
          <cell r="C81">
            <v>0</v>
          </cell>
          <cell r="I81">
            <v>-3275601.22</v>
          </cell>
          <cell r="L81">
            <v>0</v>
          </cell>
          <cell r="M81">
            <v>0</v>
          </cell>
        </row>
        <row r="82">
          <cell r="A82" t="str">
            <v>Cód. 100991 - 18114-X</v>
          </cell>
          <cell r="B82">
            <v>2814306.72</v>
          </cell>
          <cell r="C82">
            <v>0</v>
          </cell>
          <cell r="D82">
            <v>50</v>
          </cell>
          <cell r="E82">
            <v>0</v>
          </cell>
          <cell r="F82">
            <v>0</v>
          </cell>
          <cell r="G82">
            <v>2500</v>
          </cell>
          <cell r="H82">
            <v>0</v>
          </cell>
          <cell r="I82">
            <v>2651</v>
          </cell>
          <cell r="J82">
            <v>30</v>
          </cell>
          <cell r="K82">
            <v>37048.199999999997</v>
          </cell>
          <cell r="L82">
            <v>0</v>
          </cell>
          <cell r="M82">
            <v>0</v>
          </cell>
        </row>
        <row r="83">
          <cell r="A83" t="str">
            <v>TOTAL</v>
          </cell>
          <cell r="B83">
            <v>230058548.22</v>
          </cell>
          <cell r="C83">
            <v>240540223.11000001</v>
          </cell>
          <cell r="D83">
            <v>237984734.55000001</v>
          </cell>
          <cell r="E83">
            <v>225711347.19999999</v>
          </cell>
          <cell r="F83">
            <v>222298166.22</v>
          </cell>
          <cell r="G83">
            <v>219123318.63999999</v>
          </cell>
          <cell r="H83">
            <v>217520283.66999999</v>
          </cell>
          <cell r="I83">
            <v>214121403.91</v>
          </cell>
          <cell r="J83">
            <v>214147300.15000001</v>
          </cell>
          <cell r="K83">
            <v>214824093.19999999</v>
          </cell>
          <cell r="L83">
            <v>214741404.88</v>
          </cell>
          <cell r="M83">
            <v>214497157.69</v>
          </cell>
          <cell r="N83">
            <v>0</v>
          </cell>
        </row>
        <row r="85">
          <cell r="A85" t="str">
            <v>ACOMPANHAMENTO DE EXECUÇÃO ORÇAMENTÁRIA</v>
          </cell>
        </row>
        <row r="86">
          <cell r="A86" t="str">
            <v>POR FONTE RECURSO</v>
          </cell>
        </row>
        <row r="87">
          <cell r="A87" t="str">
            <v>FONTE 05</v>
          </cell>
          <cell r="B87" t="str">
            <v>Empenhado Até o Mês</v>
          </cell>
          <cell r="C87">
            <v>124545.48</v>
          </cell>
          <cell r="D87">
            <v>34756828.549999997</v>
          </cell>
          <cell r="E87">
            <v>38754028.719999999</v>
          </cell>
          <cell r="F87">
            <v>40919767.469999999</v>
          </cell>
          <cell r="G87">
            <v>41222712.82</v>
          </cell>
          <cell r="H87">
            <v>42170949.140000001</v>
          </cell>
          <cell r="I87">
            <v>42826507.670000002</v>
          </cell>
          <cell r="J87">
            <v>43075501.039999999</v>
          </cell>
          <cell r="K87">
            <v>43867995.240000002</v>
          </cell>
          <cell r="L87">
            <v>44155191.740000002</v>
          </cell>
          <cell r="M87">
            <v>45015483.140000001</v>
          </cell>
          <cell r="N87">
            <v>0</v>
          </cell>
        </row>
        <row r="88">
          <cell r="B88" t="str">
            <v>Pago Até o Mês</v>
          </cell>
          <cell r="C88">
            <v>0</v>
          </cell>
          <cell r="D88">
            <v>2478299.7799999998</v>
          </cell>
          <cell r="E88">
            <v>16387155.039999999</v>
          </cell>
          <cell r="F88">
            <v>21972837.32</v>
          </cell>
          <cell r="G88">
            <v>27204081.359999999</v>
          </cell>
          <cell r="H88">
            <v>30773747.219999999</v>
          </cell>
          <cell r="I88">
            <v>33897203.520000003</v>
          </cell>
          <cell r="J88">
            <v>36708229.899999999</v>
          </cell>
          <cell r="K88">
            <v>37631694.829999998</v>
          </cell>
          <cell r="L88">
            <v>38854805.960000001</v>
          </cell>
          <cell r="M88">
            <v>41527036.539999999</v>
          </cell>
          <cell r="N88">
            <v>0</v>
          </cell>
        </row>
        <row r="89">
          <cell r="B89" t="str">
            <v>Liquidado A Pagar</v>
          </cell>
          <cell r="C89">
            <v>0</v>
          </cell>
          <cell r="D89">
            <v>682794.83</v>
          </cell>
          <cell r="E89">
            <v>1628261.37</v>
          </cell>
          <cell r="F89">
            <v>430777.52</v>
          </cell>
          <cell r="G89">
            <v>772313.31</v>
          </cell>
          <cell r="H89">
            <v>777934.85</v>
          </cell>
          <cell r="I89">
            <v>1710135.18</v>
          </cell>
          <cell r="J89">
            <v>481297.37</v>
          </cell>
          <cell r="K89">
            <v>371697.53</v>
          </cell>
          <cell r="L89">
            <v>1964021.65</v>
          </cell>
          <cell r="M89">
            <v>407887.96</v>
          </cell>
          <cell r="N89">
            <v>0</v>
          </cell>
        </row>
        <row r="90">
          <cell r="B90" t="str">
            <v xml:space="preserve">     Retenção Extra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NÃO Liquidado A Pagar</v>
          </cell>
          <cell r="C91">
            <v>124545.48</v>
          </cell>
          <cell r="D91">
            <v>31595733.940000001</v>
          </cell>
          <cell r="E91">
            <v>20738612.309999999</v>
          </cell>
          <cell r="F91">
            <v>18516152.629999999</v>
          </cell>
          <cell r="G91">
            <v>13246318.15</v>
          </cell>
          <cell r="H91">
            <v>10619267.07</v>
          </cell>
          <cell r="I91">
            <v>7219168.9699999997</v>
          </cell>
          <cell r="J91">
            <v>5885973.7699999996</v>
          </cell>
          <cell r="K91">
            <v>5864602.8799999999</v>
          </cell>
          <cell r="L91">
            <v>3336364.13</v>
          </cell>
          <cell r="M91">
            <v>3080558.64</v>
          </cell>
          <cell r="N91">
            <v>0</v>
          </cell>
        </row>
        <row r="93">
          <cell r="A93" t="str">
            <v>FONTE 00</v>
          </cell>
          <cell r="B93" t="str">
            <v>Empenhado Até o Mês</v>
          </cell>
          <cell r="C93">
            <v>0</v>
          </cell>
          <cell r="D93">
            <v>242603.75</v>
          </cell>
          <cell r="E93">
            <v>248348.98</v>
          </cell>
          <cell r="F93">
            <v>236647.45</v>
          </cell>
          <cell r="G93">
            <v>248348.98</v>
          </cell>
          <cell r="H93">
            <v>248348.98</v>
          </cell>
          <cell r="I93">
            <v>249218.98</v>
          </cell>
          <cell r="J93">
            <v>241975.67999999999</v>
          </cell>
          <cell r="K93">
            <v>1043616.06</v>
          </cell>
          <cell r="L93">
            <v>1056872.6299999999</v>
          </cell>
          <cell r="M93">
            <v>1152846.43</v>
          </cell>
          <cell r="N93">
            <v>0</v>
          </cell>
        </row>
        <row r="94">
          <cell r="B94" t="str">
            <v>Pago Até o Mês</v>
          </cell>
          <cell r="C94">
            <v>0</v>
          </cell>
          <cell r="D94">
            <v>0</v>
          </cell>
          <cell r="E94">
            <v>712.58</v>
          </cell>
          <cell r="F94">
            <v>1610.75</v>
          </cell>
          <cell r="G94">
            <v>2195.63</v>
          </cell>
          <cell r="H94">
            <v>2617.83</v>
          </cell>
          <cell r="I94">
            <v>2971.74</v>
          </cell>
          <cell r="J94">
            <v>4053.07</v>
          </cell>
          <cell r="K94">
            <v>497088.71</v>
          </cell>
          <cell r="L94">
            <v>666295.6</v>
          </cell>
          <cell r="M94">
            <v>814914.77</v>
          </cell>
          <cell r="N94">
            <v>0</v>
          </cell>
        </row>
        <row r="95">
          <cell r="B95" t="str">
            <v>Liquidado A Pagar</v>
          </cell>
          <cell r="C95">
            <v>0</v>
          </cell>
          <cell r="D95">
            <v>0</v>
          </cell>
          <cell r="E95">
            <v>443.47</v>
          </cell>
          <cell r="F95">
            <v>145</v>
          </cell>
          <cell r="G95">
            <v>180.8</v>
          </cell>
          <cell r="H95">
            <v>4.33</v>
          </cell>
          <cell r="I95">
            <v>894.1</v>
          </cell>
          <cell r="J95">
            <v>125.67</v>
          </cell>
          <cell r="K95">
            <v>145</v>
          </cell>
          <cell r="L95">
            <v>59740.93</v>
          </cell>
          <cell r="M95">
            <v>192187.16</v>
          </cell>
          <cell r="N95">
            <v>0</v>
          </cell>
        </row>
        <row r="96">
          <cell r="B96" t="str">
            <v xml:space="preserve">     Retenção Extra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B97" t="str">
            <v>NÃO Liquidado A Pagar</v>
          </cell>
          <cell r="C97">
            <v>0</v>
          </cell>
          <cell r="D97">
            <v>242603.75</v>
          </cell>
          <cell r="E97">
            <v>247192.93</v>
          </cell>
          <cell r="F97">
            <v>234891.7</v>
          </cell>
          <cell r="G97">
            <v>245972.55</v>
          </cell>
          <cell r="H97">
            <v>245726.82</v>
          </cell>
          <cell r="I97">
            <v>245353.14</v>
          </cell>
          <cell r="J97">
            <v>237796.94</v>
          </cell>
          <cell r="K97">
            <v>546382.35</v>
          </cell>
          <cell r="L97">
            <v>330836.09999999998</v>
          </cell>
          <cell r="M97">
            <v>145744.5</v>
          </cell>
          <cell r="N97">
            <v>0</v>
          </cell>
        </row>
        <row r="99">
          <cell r="A99" t="str">
            <v>POR CONTA DE DESPESA</v>
          </cell>
        </row>
        <row r="100">
          <cell r="A100" t="str">
            <v>DESPESA CORRENTE</v>
          </cell>
          <cell r="B100" t="str">
            <v>Orçamento Inicial</v>
          </cell>
          <cell r="C100">
            <v>111921421</v>
          </cell>
          <cell r="D100">
            <v>111921421</v>
          </cell>
          <cell r="E100">
            <v>111921421</v>
          </cell>
          <cell r="F100">
            <v>111921421</v>
          </cell>
          <cell r="G100">
            <v>111921421</v>
          </cell>
          <cell r="H100">
            <v>111921421</v>
          </cell>
          <cell r="I100">
            <v>111921421</v>
          </cell>
          <cell r="J100">
            <v>111921421</v>
          </cell>
          <cell r="K100">
            <v>111921421</v>
          </cell>
          <cell r="L100">
            <v>111921421</v>
          </cell>
          <cell r="M100">
            <v>111921421</v>
          </cell>
          <cell r="N100">
            <v>0</v>
          </cell>
        </row>
        <row r="101">
          <cell r="B101" t="str">
            <v>Orçamento Atualizado</v>
          </cell>
          <cell r="C101">
            <v>111921421</v>
          </cell>
          <cell r="D101">
            <v>111921421</v>
          </cell>
          <cell r="E101">
            <v>107013414.36</v>
          </cell>
          <cell r="F101">
            <v>107128032.56999999</v>
          </cell>
          <cell r="G101">
            <v>107128032.56999999</v>
          </cell>
          <cell r="H101">
            <v>107531639.41</v>
          </cell>
          <cell r="I101">
            <v>107531639.41</v>
          </cell>
          <cell r="J101">
            <v>107531639.41</v>
          </cell>
          <cell r="K101">
            <v>107431639.41</v>
          </cell>
          <cell r="L101">
            <v>107711335.39</v>
          </cell>
          <cell r="M101">
            <v>107470015.23999999</v>
          </cell>
          <cell r="N101">
            <v>0</v>
          </cell>
        </row>
        <row r="102">
          <cell r="B102" t="str">
            <v>Empenhado Até o Mês</v>
          </cell>
          <cell r="C102">
            <v>124545.48</v>
          </cell>
          <cell r="D102">
            <v>34999432.299999997</v>
          </cell>
          <cell r="E102">
            <v>39002377.700000003</v>
          </cell>
          <cell r="F102">
            <v>41156414.920000002</v>
          </cell>
          <cell r="G102">
            <v>41471061.799999997</v>
          </cell>
          <cell r="H102">
            <v>42419298.119999997</v>
          </cell>
          <cell r="I102">
            <v>43075726.649999999</v>
          </cell>
          <cell r="J102">
            <v>43317476.719999999</v>
          </cell>
          <cell r="K102">
            <v>44911611.299999997</v>
          </cell>
          <cell r="L102">
            <v>45212064.369999997</v>
          </cell>
          <cell r="M102">
            <v>46168329.57</v>
          </cell>
          <cell r="N102">
            <v>0</v>
          </cell>
        </row>
        <row r="103">
          <cell r="B103" t="str">
            <v>Liquidado Até o Mês</v>
          </cell>
          <cell r="C103">
            <v>0</v>
          </cell>
          <cell r="D103">
            <v>3161094.61</v>
          </cell>
          <cell r="E103">
            <v>18016572.460000001</v>
          </cell>
          <cell r="F103">
            <v>22405370.59</v>
          </cell>
          <cell r="G103">
            <v>27978771.100000001</v>
          </cell>
          <cell r="H103">
            <v>31554304.23</v>
          </cell>
          <cell r="I103">
            <v>35611204.539999999</v>
          </cell>
          <cell r="J103">
            <v>37193706.009999998</v>
          </cell>
          <cell r="K103">
            <v>38500626.07</v>
          </cell>
          <cell r="L103">
            <v>41544864.140000001</v>
          </cell>
          <cell r="M103">
            <v>42942026.43</v>
          </cell>
          <cell r="N103">
            <v>0</v>
          </cell>
        </row>
        <row r="104">
          <cell r="B104" t="str">
            <v>Pago Até o Mês</v>
          </cell>
          <cell r="C104">
            <v>0</v>
          </cell>
          <cell r="D104">
            <v>2478299.7799999998</v>
          </cell>
          <cell r="E104">
            <v>16387867.619999999</v>
          </cell>
          <cell r="F104">
            <v>21974448.07</v>
          </cell>
          <cell r="G104">
            <v>27206276.989999998</v>
          </cell>
          <cell r="H104">
            <v>30776365.050000001</v>
          </cell>
          <cell r="I104">
            <v>33900175.259999998</v>
          </cell>
          <cell r="J104">
            <v>36712282.969999999</v>
          </cell>
          <cell r="K104">
            <v>38128783.539999999</v>
          </cell>
          <cell r="L104">
            <v>39521101.560000002</v>
          </cell>
          <cell r="M104">
            <v>42341951.310000002</v>
          </cell>
          <cell r="N104">
            <v>0</v>
          </cell>
        </row>
        <row r="106">
          <cell r="A106" t="str">
            <v>DESPESA CAPITAL</v>
          </cell>
          <cell r="B106" t="str">
            <v>Orçamento Inicial</v>
          </cell>
          <cell r="C106">
            <v>16412981</v>
          </cell>
          <cell r="D106">
            <v>16412981</v>
          </cell>
          <cell r="E106">
            <v>16412981</v>
          </cell>
          <cell r="F106">
            <v>16412981</v>
          </cell>
          <cell r="G106">
            <v>16412981</v>
          </cell>
          <cell r="H106">
            <v>16412981</v>
          </cell>
          <cell r="I106">
            <v>16412981</v>
          </cell>
          <cell r="J106">
            <v>16412981</v>
          </cell>
          <cell r="K106">
            <v>16412981</v>
          </cell>
          <cell r="L106">
            <v>16412981</v>
          </cell>
          <cell r="M106">
            <v>16412981</v>
          </cell>
          <cell r="N106">
            <v>0</v>
          </cell>
        </row>
        <row r="107">
          <cell r="B107" t="str">
            <v>Orçamento Atualizado</v>
          </cell>
          <cell r="C107">
            <v>16412981</v>
          </cell>
          <cell r="D107">
            <v>16412981</v>
          </cell>
          <cell r="E107">
            <v>16390076.16</v>
          </cell>
          <cell r="F107">
            <v>16175457.949999999</v>
          </cell>
          <cell r="G107">
            <v>16175457.949999999</v>
          </cell>
          <cell r="H107">
            <v>15771851.109999999</v>
          </cell>
          <cell r="I107">
            <v>15771851.109999999</v>
          </cell>
          <cell r="J107">
            <v>15771851.109999999</v>
          </cell>
          <cell r="K107">
            <v>15771851.109999999</v>
          </cell>
          <cell r="L107">
            <v>15486710.939999999</v>
          </cell>
          <cell r="M107">
            <v>15486710.939999999</v>
          </cell>
          <cell r="N107">
            <v>0</v>
          </cell>
        </row>
        <row r="108">
          <cell r="B108" t="str">
            <v>Empenhado Até o Mês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B109" t="str">
            <v>Liquidado Até o Mês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Pago Até o Mês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3">
          <cell r="A113" t="str">
            <v>ACOMPANHAMENTO DE EXECUÇÃO ORÇAMENTÁRIA - RESTO A PAGAR</v>
          </cell>
        </row>
        <row r="114">
          <cell r="A114" t="str">
            <v>POR FONTE RECURSO</v>
          </cell>
        </row>
        <row r="115">
          <cell r="A115" t="str">
            <v>PAGAMENTO</v>
          </cell>
          <cell r="B115" t="str">
            <v>Não Processado - FONTE 05</v>
          </cell>
          <cell r="C115">
            <v>49889.35</v>
          </cell>
          <cell r="D115">
            <v>1024717.41</v>
          </cell>
          <cell r="E115">
            <v>1075558.0900000001</v>
          </cell>
          <cell r="F115">
            <v>1075558.0900000001</v>
          </cell>
          <cell r="G115">
            <v>1075558.0900000001</v>
          </cell>
          <cell r="H115">
            <v>1075558.0900000001</v>
          </cell>
          <cell r="I115">
            <v>1075558.0900000001</v>
          </cell>
          <cell r="J115">
            <v>1075558.0900000001</v>
          </cell>
          <cell r="K115">
            <v>1075558.0900000001</v>
          </cell>
          <cell r="L115">
            <v>1075558.0900000001</v>
          </cell>
          <cell r="M115">
            <v>1075558.0900000001</v>
          </cell>
          <cell r="N115">
            <v>0</v>
          </cell>
        </row>
        <row r="116">
          <cell r="B116" t="str">
            <v>Processado - FONTE 05</v>
          </cell>
          <cell r="C116">
            <v>0</v>
          </cell>
          <cell r="D116">
            <v>48000</v>
          </cell>
          <cell r="E116">
            <v>48000</v>
          </cell>
          <cell r="F116">
            <v>79878.149999999994</v>
          </cell>
          <cell r="G116">
            <v>79878.149999999994</v>
          </cell>
          <cell r="H116">
            <v>79878.149999999994</v>
          </cell>
          <cell r="I116">
            <v>79878.149999999994</v>
          </cell>
          <cell r="J116">
            <v>79878.149999999994</v>
          </cell>
          <cell r="K116">
            <v>150253.07</v>
          </cell>
          <cell r="L116">
            <v>150253.07</v>
          </cell>
          <cell r="M116">
            <v>150253.07</v>
          </cell>
          <cell r="N116">
            <v>0</v>
          </cell>
        </row>
        <row r="117">
          <cell r="B117" t="str">
            <v>TOTAL</v>
          </cell>
          <cell r="C117">
            <v>49889.35</v>
          </cell>
          <cell r="D117">
            <v>1072717.4100000001</v>
          </cell>
          <cell r="E117">
            <v>1123558.0900000001</v>
          </cell>
          <cell r="F117">
            <v>1155436.24</v>
          </cell>
          <cell r="G117">
            <v>1155436.24</v>
          </cell>
          <cell r="H117">
            <v>1155436.24</v>
          </cell>
          <cell r="I117">
            <v>1155436.24</v>
          </cell>
          <cell r="J117">
            <v>1155436.24</v>
          </cell>
          <cell r="K117">
            <v>1225811.1600000001</v>
          </cell>
          <cell r="L117">
            <v>1225811.1600000001</v>
          </cell>
          <cell r="M117">
            <v>1225811.1600000001</v>
          </cell>
          <cell r="N117">
            <v>0</v>
          </cell>
        </row>
        <row r="119">
          <cell r="A119" t="str">
            <v>PAGAMENTO</v>
          </cell>
          <cell r="B119" t="str">
            <v>Não Processado - FONTE 00</v>
          </cell>
          <cell r="C119">
            <v>1543.73</v>
          </cell>
          <cell r="D119">
            <v>1700.95</v>
          </cell>
          <cell r="E119">
            <v>314505.18</v>
          </cell>
          <cell r="F119">
            <v>314505.18</v>
          </cell>
          <cell r="G119">
            <v>314505.18</v>
          </cell>
          <cell r="H119">
            <v>314505.18</v>
          </cell>
          <cell r="I119">
            <v>314505.18</v>
          </cell>
          <cell r="J119">
            <v>314505.18</v>
          </cell>
          <cell r="K119">
            <v>314505.18</v>
          </cell>
          <cell r="L119">
            <v>314505.18</v>
          </cell>
          <cell r="M119">
            <v>314505.18</v>
          </cell>
          <cell r="N119">
            <v>0</v>
          </cell>
        </row>
        <row r="120">
          <cell r="B120" t="str">
            <v>Processado - FONTE 00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TOTAL</v>
          </cell>
          <cell r="C121">
            <v>1543.73</v>
          </cell>
          <cell r="D121">
            <v>1700.95</v>
          </cell>
          <cell r="E121">
            <v>314505.18</v>
          </cell>
          <cell r="F121">
            <v>314505.18</v>
          </cell>
          <cell r="G121">
            <v>314505.18</v>
          </cell>
          <cell r="H121">
            <v>314505.18</v>
          </cell>
          <cell r="I121">
            <v>314505.18</v>
          </cell>
          <cell r="J121">
            <v>314505.18</v>
          </cell>
          <cell r="K121">
            <v>314505.18</v>
          </cell>
          <cell r="L121">
            <v>314505.18</v>
          </cell>
          <cell r="M121">
            <v>314505.18</v>
          </cell>
          <cell r="N121">
            <v>0</v>
          </cell>
        </row>
        <row r="123">
          <cell r="A123" t="str">
            <v>POR CONTA DE DESPESA - DESPESA CORRENTE</v>
          </cell>
        </row>
        <row r="124">
          <cell r="A124" t="str">
            <v>SALDO TRANSFERIDO</v>
          </cell>
          <cell r="B124" t="str">
            <v>Não Processado</v>
          </cell>
          <cell r="C124">
            <v>5878360.29</v>
          </cell>
          <cell r="D124">
            <v>5878360.29</v>
          </cell>
          <cell r="E124">
            <v>5878360.29</v>
          </cell>
          <cell r="F124">
            <v>5878360.29</v>
          </cell>
          <cell r="G124">
            <v>5878360.29</v>
          </cell>
          <cell r="H124">
            <v>5878360.29</v>
          </cell>
          <cell r="I124">
            <v>5878360.29</v>
          </cell>
          <cell r="J124">
            <v>5878360.29</v>
          </cell>
          <cell r="K124">
            <v>5878360.29</v>
          </cell>
          <cell r="L124">
            <v>5878360.29</v>
          </cell>
          <cell r="M124">
            <v>5878360.29</v>
          </cell>
          <cell r="N124">
            <v>0</v>
          </cell>
        </row>
        <row r="125">
          <cell r="B125" t="str">
            <v>Processado</v>
          </cell>
          <cell r="C125">
            <v>152288.07</v>
          </cell>
          <cell r="D125">
            <v>152288.07</v>
          </cell>
          <cell r="E125">
            <v>152288.07</v>
          </cell>
          <cell r="F125">
            <v>152288.07</v>
          </cell>
          <cell r="G125">
            <v>152288.07</v>
          </cell>
          <cell r="H125">
            <v>152288.07</v>
          </cell>
          <cell r="I125">
            <v>152288.07</v>
          </cell>
          <cell r="J125">
            <v>152288.07</v>
          </cell>
          <cell r="K125">
            <v>152288.07</v>
          </cell>
          <cell r="L125">
            <v>152288.07</v>
          </cell>
          <cell r="M125">
            <v>152288.07</v>
          </cell>
          <cell r="N125">
            <v>0</v>
          </cell>
        </row>
        <row r="126">
          <cell r="A126" t="str">
            <v>PAGAMENTO</v>
          </cell>
          <cell r="B126" t="str">
            <v>Não Processado</v>
          </cell>
          <cell r="C126">
            <v>51433.08</v>
          </cell>
          <cell r="D126">
            <v>1026418.36</v>
          </cell>
          <cell r="E126">
            <v>1390063.27</v>
          </cell>
          <cell r="F126">
            <v>1390063.27</v>
          </cell>
          <cell r="G126">
            <v>1390063.27</v>
          </cell>
          <cell r="H126">
            <v>1390063.27</v>
          </cell>
          <cell r="I126">
            <v>1390063.27</v>
          </cell>
          <cell r="J126">
            <v>1390063.27</v>
          </cell>
          <cell r="K126">
            <v>1390063.27</v>
          </cell>
          <cell r="L126">
            <v>1390063.27</v>
          </cell>
          <cell r="M126">
            <v>1390063.27</v>
          </cell>
          <cell r="N126">
            <v>0</v>
          </cell>
        </row>
        <row r="127">
          <cell r="B127" t="str">
            <v>Processado</v>
          </cell>
          <cell r="C127">
            <v>0</v>
          </cell>
          <cell r="D127">
            <v>48000</v>
          </cell>
          <cell r="E127">
            <v>48000</v>
          </cell>
          <cell r="F127">
            <v>79878.149999999994</v>
          </cell>
          <cell r="G127">
            <v>79878.149999999994</v>
          </cell>
          <cell r="H127">
            <v>79878.149999999994</v>
          </cell>
          <cell r="I127">
            <v>79878.149999999994</v>
          </cell>
          <cell r="J127">
            <v>79878.149999999994</v>
          </cell>
          <cell r="K127">
            <v>150253.07</v>
          </cell>
          <cell r="L127">
            <v>150253.07</v>
          </cell>
          <cell r="M127">
            <v>150253.07</v>
          </cell>
          <cell r="N127">
            <v>0</v>
          </cell>
        </row>
        <row r="128">
          <cell r="A128" t="str">
            <v>CANCELAMENTO</v>
          </cell>
          <cell r="B128" t="str">
            <v>Não Processado</v>
          </cell>
          <cell r="C128">
            <v>0</v>
          </cell>
          <cell r="D128">
            <v>1933324.65</v>
          </cell>
          <cell r="E128">
            <v>4488297.0199999996</v>
          </cell>
          <cell r="F128">
            <v>4488297.0199999996</v>
          </cell>
          <cell r="G128">
            <v>4488297.0199999996</v>
          </cell>
          <cell r="H128">
            <v>4488297.0199999996</v>
          </cell>
          <cell r="I128">
            <v>4488297.0199999996</v>
          </cell>
          <cell r="J128">
            <v>4488297.0199999996</v>
          </cell>
          <cell r="K128">
            <v>4488297.0199999996</v>
          </cell>
          <cell r="L128">
            <v>4488297.0199999996</v>
          </cell>
          <cell r="M128">
            <v>4488297.0199999996</v>
          </cell>
          <cell r="N128">
            <v>0</v>
          </cell>
        </row>
        <row r="129">
          <cell r="B129" t="str">
            <v>Processado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31878.15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POR CONTA DE DESPESA - DESPESA CAPITAL</v>
          </cell>
        </row>
        <row r="131">
          <cell r="A131" t="str">
            <v>SALDO TRANSFERIDO</v>
          </cell>
          <cell r="B131" t="str">
            <v>Não Processado</v>
          </cell>
          <cell r="C131">
            <v>31770.02</v>
          </cell>
          <cell r="D131">
            <v>31770.02</v>
          </cell>
          <cell r="E131">
            <v>31770.02</v>
          </cell>
          <cell r="F131">
            <v>31770.02</v>
          </cell>
          <cell r="G131">
            <v>31770.02</v>
          </cell>
          <cell r="H131">
            <v>31770.02</v>
          </cell>
          <cell r="I131">
            <v>31770.02</v>
          </cell>
          <cell r="J131">
            <v>31770.02</v>
          </cell>
          <cell r="K131">
            <v>31770.02</v>
          </cell>
          <cell r="L131">
            <v>31770.02</v>
          </cell>
          <cell r="M131">
            <v>31770.02</v>
          </cell>
          <cell r="N131">
            <v>0</v>
          </cell>
        </row>
        <row r="132">
          <cell r="B132" t="str">
            <v>Processado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PAGAMENTO</v>
          </cell>
          <cell r="B133" t="str">
            <v>Não Processado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Processado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CANCELAMENTO</v>
          </cell>
          <cell r="B135" t="str">
            <v>Não Processado</v>
          </cell>
          <cell r="C135">
            <v>0</v>
          </cell>
          <cell r="D135">
            <v>0.33</v>
          </cell>
          <cell r="E135">
            <v>31770.02</v>
          </cell>
          <cell r="F135">
            <v>31770.02</v>
          </cell>
          <cell r="G135">
            <v>31770.02</v>
          </cell>
          <cell r="H135">
            <v>31770.02</v>
          </cell>
          <cell r="I135">
            <v>31770.02</v>
          </cell>
          <cell r="J135">
            <v>31770.02</v>
          </cell>
          <cell r="K135">
            <v>31770.02</v>
          </cell>
          <cell r="L135">
            <v>31770.02</v>
          </cell>
          <cell r="M135">
            <v>31770.02</v>
          </cell>
          <cell r="N135">
            <v>0</v>
          </cell>
        </row>
        <row r="136">
          <cell r="B136" t="str">
            <v>Processado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8">
          <cell r="A138" t="str">
            <v>A.E.O. - RESTO A PAGAR - COMPETÊNCIAS ANTERIORES</v>
          </cell>
        </row>
        <row r="139">
          <cell r="A139" t="str">
            <v>POR CONTA DE DESPESA - DESPESA CORRENTE</v>
          </cell>
        </row>
        <row r="140">
          <cell r="A140" t="str">
            <v>SALDO TRANSFERIDO</v>
          </cell>
          <cell r="B140" t="str">
            <v>Não Processado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Processado</v>
          </cell>
          <cell r="C141">
            <v>33664.910000000003</v>
          </cell>
          <cell r="D141">
            <v>33664.910000000003</v>
          </cell>
          <cell r="E141">
            <v>33664.910000000003</v>
          </cell>
          <cell r="F141">
            <v>33664.910000000003</v>
          </cell>
          <cell r="G141">
            <v>33664.910000000003</v>
          </cell>
          <cell r="H141">
            <v>33664.910000000003</v>
          </cell>
          <cell r="I141">
            <v>33664.910000000003</v>
          </cell>
          <cell r="J141">
            <v>33664.910000000003</v>
          </cell>
          <cell r="K141">
            <v>33664.910000000003</v>
          </cell>
          <cell r="L141">
            <v>33664.910000000003</v>
          </cell>
          <cell r="M141">
            <v>33664.910000000003</v>
          </cell>
          <cell r="N141">
            <v>0</v>
          </cell>
        </row>
        <row r="142">
          <cell r="A142" t="str">
            <v>PAGAMENTO</v>
          </cell>
          <cell r="B142" t="str">
            <v>Não Processado</v>
          </cell>
          <cell r="C142">
            <v>0</v>
          </cell>
          <cell r="D142">
            <v>0</v>
          </cell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Processado</v>
          </cell>
          <cell r="C143">
            <v>0</v>
          </cell>
          <cell r="D143">
            <v>0</v>
          </cell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CANCELAMENTO</v>
          </cell>
          <cell r="B144" t="str">
            <v>Não Processado</v>
          </cell>
          <cell r="C144">
            <v>0</v>
          </cell>
          <cell r="D144">
            <v>0</v>
          </cell>
          <cell r="E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Processado</v>
          </cell>
          <cell r="C145">
            <v>0</v>
          </cell>
          <cell r="D145">
            <v>0</v>
          </cell>
          <cell r="E145">
            <v>0</v>
          </cell>
          <cell r="G145">
            <v>31878.15</v>
          </cell>
          <cell r="H145">
            <v>31878.15</v>
          </cell>
          <cell r="I145">
            <v>31878.15</v>
          </cell>
          <cell r="J145">
            <v>31878.15</v>
          </cell>
          <cell r="K145">
            <v>31878.15</v>
          </cell>
          <cell r="L145">
            <v>31878.15</v>
          </cell>
          <cell r="M145">
            <v>31878.15</v>
          </cell>
          <cell r="N145">
            <v>0</v>
          </cell>
        </row>
        <row r="146">
          <cell r="A146" t="str">
            <v>POR CONTA DE DESPESA - DESPESA CAPITAL</v>
          </cell>
        </row>
        <row r="147">
          <cell r="A147" t="str">
            <v>SALDO TRANSFERIDO</v>
          </cell>
          <cell r="B147" t="str">
            <v>Não Processado</v>
          </cell>
          <cell r="C147">
            <v>0</v>
          </cell>
          <cell r="D147">
            <v>0</v>
          </cell>
          <cell r="E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Processado</v>
          </cell>
          <cell r="C148">
            <v>0</v>
          </cell>
          <cell r="D148">
            <v>0</v>
          </cell>
          <cell r="E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 t="str">
            <v>PAGAMENTO</v>
          </cell>
          <cell r="B149" t="str">
            <v>Não Processado</v>
          </cell>
          <cell r="C149">
            <v>0</v>
          </cell>
          <cell r="D149">
            <v>0</v>
          </cell>
          <cell r="E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B150" t="str">
            <v>Processado</v>
          </cell>
          <cell r="C150">
            <v>0</v>
          </cell>
          <cell r="D150">
            <v>0</v>
          </cell>
          <cell r="E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CANCELAMENTO</v>
          </cell>
          <cell r="B151" t="str">
            <v>Não Processado</v>
          </cell>
          <cell r="C151">
            <v>0</v>
          </cell>
          <cell r="D151">
            <v>0</v>
          </cell>
          <cell r="E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B152" t="str">
            <v>Processado</v>
          </cell>
          <cell r="C152">
            <v>0</v>
          </cell>
          <cell r="D152">
            <v>0</v>
          </cell>
          <cell r="E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5">
          <cell r="A155" t="str">
            <v>TRANSFERÊNCIAS FINANCEIRAS RECEBIDAS (II)</v>
          </cell>
        </row>
        <row r="156">
          <cell r="A156" t="str">
            <v>PARA  EXECUÇÃO ORÇAMENTÁRIA</v>
          </cell>
        </row>
        <row r="163">
          <cell r="B163" t="str">
            <v>TOTAL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6">
          <cell r="A166" t="str">
            <v>TRANSFERÊNCIAS FINANCEIRAS CONCEDIDAS (VII)</v>
          </cell>
        </row>
        <row r="167">
          <cell r="A167" t="str">
            <v>PARA  EXECUÇÃO ORÇAMENTÁRIA</v>
          </cell>
        </row>
        <row r="168">
          <cell r="A168" t="str">
            <v>RENDIMENTO FINANCEIRO DA TRANSFERÊNCIA PARA EDUCAÇÃO</v>
          </cell>
          <cell r="C168">
            <v>100070.48</v>
          </cell>
          <cell r="D168">
            <v>85110.17</v>
          </cell>
          <cell r="E168">
            <v>75164.160000000003</v>
          </cell>
          <cell r="F168">
            <v>82720.19</v>
          </cell>
          <cell r="G168">
            <v>87364.27</v>
          </cell>
          <cell r="H168">
            <v>73918.039999999994</v>
          </cell>
          <cell r="I168">
            <v>87879.05</v>
          </cell>
          <cell r="J168">
            <v>75052.679999999993</v>
          </cell>
          <cell r="K168">
            <v>72605.39</v>
          </cell>
          <cell r="L168">
            <v>72492.649999999994</v>
          </cell>
          <cell r="M168">
            <v>53647</v>
          </cell>
          <cell r="N168">
            <v>0</v>
          </cell>
          <cell r="O168">
            <v>866024.08000000007</v>
          </cell>
          <cell r="P168" t="str">
            <v>total de rendimentos transferidos para educação</v>
          </cell>
        </row>
        <row r="169">
          <cell r="A169" t="str">
            <v>DESVINCULAÇÃO ADICIONAL DA RECEITA - R$5.158.455,99</v>
          </cell>
          <cell r="I169">
            <v>3275601.22</v>
          </cell>
          <cell r="N169">
            <v>0</v>
          </cell>
        </row>
        <row r="170">
          <cell r="A170" t="str">
            <v>DESVINCULAÇÃO ADICIONAL DA RECEITA - R$15.480.496,12</v>
          </cell>
        </row>
        <row r="171">
          <cell r="A171" t="str">
            <v>DESVINCULAÇÃO ADICIONAL DA RECEITA - R$15.262.094,25</v>
          </cell>
        </row>
        <row r="172">
          <cell r="A172" t="str">
            <v xml:space="preserve">transferencia mais escolas ( p SME) </v>
          </cell>
          <cell r="F172">
            <v>0</v>
          </cell>
        </row>
        <row r="174">
          <cell r="B174" t="str">
            <v>TOTAL</v>
          </cell>
          <cell r="C174">
            <v>100070.48</v>
          </cell>
          <cell r="D174">
            <v>185180.65</v>
          </cell>
          <cell r="E174">
            <v>260344.81</v>
          </cell>
          <cell r="F174">
            <v>343065</v>
          </cell>
          <cell r="G174">
            <v>430429.27</v>
          </cell>
          <cell r="H174">
            <v>504347.31</v>
          </cell>
          <cell r="I174">
            <v>3867827.58</v>
          </cell>
          <cell r="J174">
            <v>3942880.2600000002</v>
          </cell>
          <cell r="K174">
            <v>4015485.6500000004</v>
          </cell>
          <cell r="L174">
            <v>4087978.3000000003</v>
          </cell>
          <cell r="M174">
            <v>4141625.3000000003</v>
          </cell>
          <cell r="N174">
            <v>4141625.3000000003</v>
          </cell>
        </row>
      </sheetData>
      <sheetData sheetId="1">
        <row r="5">
          <cell r="A5">
            <v>43770</v>
          </cell>
        </row>
        <row r="10">
          <cell r="D10">
            <v>3275601.22</v>
          </cell>
        </row>
        <row r="18">
          <cell r="D18">
            <v>18858444.530000001</v>
          </cell>
          <cell r="K18">
            <v>45015483.140000001</v>
          </cell>
        </row>
        <row r="20">
          <cell r="D20">
            <v>232210.64</v>
          </cell>
        </row>
        <row r="22">
          <cell r="D22">
            <v>0</v>
          </cell>
          <cell r="K22">
            <v>4141625.3000000003</v>
          </cell>
        </row>
        <row r="28">
          <cell r="D28">
            <v>3080558.64</v>
          </cell>
          <cell r="K28">
            <v>1075558.0900000001</v>
          </cell>
        </row>
        <row r="30">
          <cell r="D30">
            <v>407887.96</v>
          </cell>
          <cell r="K30">
            <v>150253.07</v>
          </cell>
        </row>
        <row r="32">
          <cell r="D32">
            <v>13116677.039999999</v>
          </cell>
          <cell r="K32">
            <v>4149850.96</v>
          </cell>
        </row>
        <row r="35">
          <cell r="D35">
            <v>230058548.22</v>
          </cell>
          <cell r="K35">
            <v>214497157.69</v>
          </cell>
        </row>
      </sheetData>
      <sheetData sheetId="2">
        <row r="8">
          <cell r="K8">
            <v>1152846.43</v>
          </cell>
        </row>
        <row r="20">
          <cell r="D20">
            <v>1129419.95</v>
          </cell>
        </row>
        <row r="25">
          <cell r="D25">
            <v>145744.5</v>
          </cell>
          <cell r="K25">
            <v>314505.18</v>
          </cell>
        </row>
        <row r="27">
          <cell r="D27">
            <v>192187.16</v>
          </cell>
          <cell r="K27">
            <v>0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DE956-AD78-4003-A458-181F778CF4AB}">
  <sheetPr codeName="Plan9">
    <tabColor indexed="42"/>
  </sheetPr>
  <dimension ref="A1:IU70"/>
  <sheetViews>
    <sheetView showGridLines="0" tabSelected="1" showOutlineSymbols="0" topLeftCell="A19" zoomScaleNormal="100" workbookViewId="0">
      <selection activeCell="P32" sqref="P32:Q33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76" customWidth="1"/>
    <col min="15" max="15" width="16.7109375" style="44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20" ht="15" customHeight="1" x14ac:dyDescent="0.2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2"/>
    </row>
    <row r="3" spans="1:20" ht="18" customHeight="1" x14ac:dyDescent="0.2">
      <c r="A3" s="197" t="s">
        <v>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R3" s="3"/>
    </row>
    <row r="4" spans="1:20" ht="12" customHeight="1" x14ac:dyDescent="0.2">
      <c r="A4" s="4" t="s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4</v>
      </c>
      <c r="R4" s="7"/>
      <c r="S4" s="7"/>
    </row>
    <row r="5" spans="1:20" ht="19.5" customHeight="1" x14ac:dyDescent="0.2">
      <c r="A5" s="198" t="s">
        <v>5</v>
      </c>
      <c r="B5" s="199"/>
      <c r="C5" s="199"/>
      <c r="D5" s="199"/>
      <c r="E5" s="199"/>
      <c r="F5" s="199"/>
      <c r="G5" s="199"/>
      <c r="H5" s="8"/>
      <c r="I5" s="198" t="s">
        <v>6</v>
      </c>
      <c r="J5" s="199"/>
      <c r="K5" s="199"/>
      <c r="L5" s="199"/>
      <c r="M5" s="199"/>
      <c r="N5" s="200"/>
      <c r="O5" s="9"/>
      <c r="P5" s="2"/>
    </row>
    <row r="6" spans="1:20" ht="16.5" customHeight="1" x14ac:dyDescent="0.2">
      <c r="A6" s="201" t="s">
        <v>7</v>
      </c>
      <c r="B6" s="202"/>
      <c r="C6" s="202"/>
      <c r="D6" s="202"/>
      <c r="E6" s="202"/>
      <c r="F6" s="203"/>
      <c r="G6" s="10" t="s">
        <v>8</v>
      </c>
      <c r="H6" s="11" t="s">
        <v>9</v>
      </c>
      <c r="I6" s="204" t="s">
        <v>7</v>
      </c>
      <c r="J6" s="205"/>
      <c r="K6" s="205"/>
      <c r="L6" s="205"/>
      <c r="M6" s="206"/>
      <c r="N6" s="10" t="s">
        <v>8</v>
      </c>
      <c r="O6" s="12" t="s">
        <v>9</v>
      </c>
      <c r="Q6" s="3"/>
      <c r="R6" s="3"/>
      <c r="S6" s="3"/>
      <c r="T6" s="3"/>
    </row>
    <row r="7" spans="1:20" ht="16.350000000000001" customHeight="1" x14ac:dyDescent="0.2">
      <c r="A7" s="183" t="s">
        <v>10</v>
      </c>
      <c r="B7" s="184"/>
      <c r="C7" s="184"/>
      <c r="D7" s="184"/>
      <c r="E7" s="184"/>
      <c r="F7" s="185"/>
      <c r="G7" s="13">
        <f>SUBTOTAL(9,G8:G19)</f>
        <v>22366256.390000001</v>
      </c>
      <c r="H7" s="13">
        <f>SUBTOTAL(9,H8:H19)</f>
        <v>25295527.460000005</v>
      </c>
      <c r="I7" s="183" t="s">
        <v>11</v>
      </c>
      <c r="J7" s="184"/>
      <c r="K7" s="184"/>
      <c r="L7" s="184"/>
      <c r="M7" s="185"/>
      <c r="N7" s="13">
        <f>SUBTOTAL(9,N8:N19)</f>
        <v>46168329.57</v>
      </c>
      <c r="O7" s="14">
        <f>SUBTOTAL(9,O8:O19)</f>
        <v>54609998.229999997</v>
      </c>
      <c r="P7" s="15"/>
    </row>
    <row r="8" spans="1:20" ht="13.5" customHeight="1" x14ac:dyDescent="0.2">
      <c r="A8" s="177" t="s">
        <v>12</v>
      </c>
      <c r="B8" s="178"/>
      <c r="C8" s="178"/>
      <c r="D8" s="178"/>
      <c r="E8" s="178"/>
      <c r="F8" s="179"/>
      <c r="G8" s="13">
        <f>SUBTOTAL(9,G9:G11)</f>
        <v>3275601.22</v>
      </c>
      <c r="H8" s="13">
        <f>SUBTOTAL(9,H9:H11)</f>
        <v>2951853.74</v>
      </c>
      <c r="I8" s="177" t="s">
        <v>12</v>
      </c>
      <c r="J8" s="178"/>
      <c r="K8" s="178"/>
      <c r="L8" s="178"/>
      <c r="M8" s="179"/>
      <c r="N8" s="13">
        <f>SUBTOTAL(9,N9:N11)</f>
        <v>1152846.43</v>
      </c>
      <c r="O8" s="13">
        <f>SUBTOTAL(9,O9:O11)</f>
        <v>571481.29</v>
      </c>
    </row>
    <row r="9" spans="1:20" ht="13.5" customHeight="1" x14ac:dyDescent="0.2">
      <c r="A9" s="192" t="s">
        <v>13</v>
      </c>
      <c r="B9" s="193"/>
      <c r="C9" s="193"/>
      <c r="D9" s="193"/>
      <c r="E9" s="193"/>
      <c r="F9" s="194"/>
      <c r="G9" s="16">
        <f>+'[1]B.F. 00 '!D8+'[1]B.F. 05 '!D10</f>
        <v>3275601.22</v>
      </c>
      <c r="H9" s="16">
        <v>2951853.74</v>
      </c>
      <c r="I9" s="192" t="s">
        <v>13</v>
      </c>
      <c r="J9" s="193"/>
      <c r="K9" s="193"/>
      <c r="L9" s="193"/>
      <c r="M9" s="194"/>
      <c r="N9" s="16">
        <f>+'[1]B.F. 00 '!K8+'[1]B.F. 05 '!K10</f>
        <v>1152846.43</v>
      </c>
      <c r="O9" s="16">
        <v>571481.29</v>
      </c>
      <c r="P9" s="2"/>
    </row>
    <row r="10" spans="1:20" ht="13.5" customHeight="1" x14ac:dyDescent="0.2">
      <c r="A10" s="192" t="s">
        <v>14</v>
      </c>
      <c r="B10" s="193"/>
      <c r="C10" s="193"/>
      <c r="D10" s="193"/>
      <c r="E10" s="193"/>
      <c r="F10" s="194"/>
      <c r="G10" s="16">
        <f>+'[1]B.F. 00 '!D9+'[1]B.F. 05 '!D11</f>
        <v>0</v>
      </c>
      <c r="H10" s="17"/>
      <c r="I10" s="192" t="s">
        <v>14</v>
      </c>
      <c r="J10" s="193"/>
      <c r="K10" s="193"/>
      <c r="L10" s="193"/>
      <c r="M10" s="194"/>
      <c r="N10" s="16">
        <f>+'[1]B.F. 00 '!K9+'[1]B.F. 05 '!K11</f>
        <v>0</v>
      </c>
      <c r="O10" s="18"/>
      <c r="Q10" s="3"/>
      <c r="R10" s="3"/>
      <c r="S10" s="3"/>
      <c r="T10" s="3"/>
    </row>
    <row r="11" spans="1:20" ht="13.5" customHeight="1" x14ac:dyDescent="0.2">
      <c r="A11" s="192" t="s">
        <v>15</v>
      </c>
      <c r="B11" s="193"/>
      <c r="C11" s="193"/>
      <c r="D11" s="193"/>
      <c r="E11" s="193"/>
      <c r="F11" s="194"/>
      <c r="G11" s="16">
        <f>+'[1]B.F. 00 '!D10+'[1]B.F. 05 '!D12</f>
        <v>0</v>
      </c>
      <c r="H11" s="17"/>
      <c r="I11" s="192" t="s">
        <v>15</v>
      </c>
      <c r="J11" s="193"/>
      <c r="K11" s="193"/>
      <c r="L11" s="193"/>
      <c r="M11" s="194"/>
      <c r="N11" s="16">
        <f>+'[1]B.F. 00 '!K10+'[1]B.F. 05 '!K12</f>
        <v>0</v>
      </c>
      <c r="O11" s="18"/>
      <c r="P11" s="19"/>
    </row>
    <row r="12" spans="1:20" ht="13.5" customHeight="1" x14ac:dyDescent="0.2">
      <c r="A12" s="186" t="s">
        <v>16</v>
      </c>
      <c r="B12" s="187"/>
      <c r="C12" s="187"/>
      <c r="D12" s="187"/>
      <c r="E12" s="187"/>
      <c r="F12" s="188"/>
      <c r="G12" s="20">
        <f>SUBTOTAL(9,G13:G19)</f>
        <v>19090655.170000002</v>
      </c>
      <c r="H12" s="20">
        <f>SUBTOTAL(9,H13:H19)</f>
        <v>22343673.720000003</v>
      </c>
      <c r="I12" s="186" t="s">
        <v>16</v>
      </c>
      <c r="J12" s="187"/>
      <c r="K12" s="187"/>
      <c r="L12" s="187"/>
      <c r="M12" s="188"/>
      <c r="N12" s="20">
        <f>SUBTOTAL(9,N13:N19)</f>
        <v>45015483.140000001</v>
      </c>
      <c r="O12" s="20">
        <f>SUBTOTAL(9,O13:O19)</f>
        <v>54038516.939999998</v>
      </c>
      <c r="P12" s="2"/>
    </row>
    <row r="13" spans="1:20" ht="13.5" customHeight="1" x14ac:dyDescent="0.2">
      <c r="A13" s="192" t="s">
        <v>17</v>
      </c>
      <c r="B13" s="193"/>
      <c r="C13" s="193"/>
      <c r="D13" s="193"/>
      <c r="E13" s="193"/>
      <c r="F13" s="194"/>
      <c r="G13" s="16">
        <f>+'[1]B.F. 00 '!D12+'[1]B.F. 05 '!D14</f>
        <v>0</v>
      </c>
      <c r="H13" s="17"/>
      <c r="I13" s="192" t="s">
        <v>17</v>
      </c>
      <c r="J13" s="193"/>
      <c r="K13" s="193"/>
      <c r="L13" s="193"/>
      <c r="M13" s="194"/>
      <c r="N13" s="16">
        <f>+'[1]B.F. 00 '!K12+'[1]B.F. 05 '!K14</f>
        <v>0</v>
      </c>
      <c r="O13" s="18"/>
    </row>
    <row r="14" spans="1:20" ht="13.5" customHeight="1" x14ac:dyDescent="0.2">
      <c r="A14" s="192" t="s">
        <v>18</v>
      </c>
      <c r="B14" s="193"/>
      <c r="C14" s="193"/>
      <c r="D14" s="193"/>
      <c r="E14" s="193"/>
      <c r="F14" s="194"/>
      <c r="G14" s="16">
        <f>+'[1]B.F. 00 '!D13+'[1]B.F. 05 '!D15</f>
        <v>0</v>
      </c>
      <c r="H14" s="17"/>
      <c r="I14" s="192" t="s">
        <v>18</v>
      </c>
      <c r="J14" s="193"/>
      <c r="K14" s="193"/>
      <c r="L14" s="193"/>
      <c r="M14" s="194"/>
      <c r="N14" s="16">
        <f>+'[1]B.F. 00 '!K13+'[1]B.F. 05 '!K15</f>
        <v>0</v>
      </c>
      <c r="O14" s="18"/>
    </row>
    <row r="15" spans="1:20" ht="13.5" customHeight="1" x14ac:dyDescent="0.2">
      <c r="A15" s="192" t="s">
        <v>19</v>
      </c>
      <c r="B15" s="193"/>
      <c r="C15" s="193"/>
      <c r="D15" s="193"/>
      <c r="E15" s="193"/>
      <c r="F15" s="194"/>
      <c r="G15" s="16">
        <f>+'[1]B.F. 00 '!D14+'[1]B.F. 05 '!D16</f>
        <v>0</v>
      </c>
      <c r="H15" s="17"/>
      <c r="I15" s="192" t="s">
        <v>19</v>
      </c>
      <c r="J15" s="193"/>
      <c r="K15" s="193"/>
      <c r="L15" s="193"/>
      <c r="M15" s="194"/>
      <c r="N15" s="16">
        <f>+'[1]B.F. 00 '!K14+'[1]B.F. 05 '!K16</f>
        <v>0</v>
      </c>
      <c r="O15" s="18"/>
    </row>
    <row r="16" spans="1:20" ht="13.5" customHeight="1" x14ac:dyDescent="0.2">
      <c r="A16" s="192" t="s">
        <v>20</v>
      </c>
      <c r="B16" s="193"/>
      <c r="C16" s="193"/>
      <c r="D16" s="193"/>
      <c r="E16" s="193"/>
      <c r="F16" s="194"/>
      <c r="G16" s="16">
        <f>+'[1]B.F. 00 '!D15+'[1]B.F. 05 '!D17</f>
        <v>0</v>
      </c>
      <c r="H16" s="17"/>
      <c r="I16" s="192" t="s">
        <v>20</v>
      </c>
      <c r="J16" s="193"/>
      <c r="K16" s="193"/>
      <c r="L16" s="193"/>
      <c r="M16" s="194"/>
      <c r="N16" s="16">
        <f>+'[1]B.F. 00 '!K15+'[1]B.F. 05 '!K17</f>
        <v>0</v>
      </c>
      <c r="O16" s="18"/>
    </row>
    <row r="17" spans="1:17" ht="13.5" customHeight="1" x14ac:dyDescent="0.2">
      <c r="A17" s="192" t="s">
        <v>21</v>
      </c>
      <c r="B17" s="193"/>
      <c r="C17" s="193"/>
      <c r="D17" s="193"/>
      <c r="E17" s="193"/>
      <c r="F17" s="194"/>
      <c r="G17" s="16">
        <f>-'[1]B.F. 00 '!D16+'[1]B.F. 05 '!D18</f>
        <v>18858444.530000001</v>
      </c>
      <c r="H17" s="21">
        <f>25294427.7-H9</f>
        <v>22342573.960000001</v>
      </c>
      <c r="I17" s="192" t="s">
        <v>21</v>
      </c>
      <c r="J17" s="193"/>
      <c r="K17" s="193"/>
      <c r="L17" s="193"/>
      <c r="M17" s="194"/>
      <c r="N17" s="16">
        <f>+'[1]B.F. 00 '!K16+'[1]B.F. 05 '!K18</f>
        <v>45015483.140000001</v>
      </c>
      <c r="O17" s="22">
        <v>54038516.939999998</v>
      </c>
    </row>
    <row r="18" spans="1:17" ht="13.5" customHeight="1" x14ac:dyDescent="0.2">
      <c r="A18" s="192" t="s">
        <v>22</v>
      </c>
      <c r="B18" s="193"/>
      <c r="C18" s="193"/>
      <c r="D18" s="193"/>
      <c r="E18" s="193"/>
      <c r="F18" s="194"/>
      <c r="G18" s="16">
        <f>+'[1]B.F. 00 '!D17+'[1]B.F. 05 '!D19</f>
        <v>0</v>
      </c>
      <c r="H18" s="17"/>
      <c r="I18" s="192" t="s">
        <v>22</v>
      </c>
      <c r="J18" s="193"/>
      <c r="K18" s="193"/>
      <c r="L18" s="193"/>
      <c r="M18" s="194"/>
      <c r="N18" s="16">
        <f>+'[1]B.F. 00 '!K17+'[1]B.F. 05 '!K19</f>
        <v>0</v>
      </c>
      <c r="O18" s="16">
        <v>0</v>
      </c>
    </row>
    <row r="19" spans="1:17" ht="13.5" customHeight="1" x14ac:dyDescent="0.2">
      <c r="A19" s="189" t="s">
        <v>23</v>
      </c>
      <c r="B19" s="190"/>
      <c r="C19" s="190"/>
      <c r="D19" s="190"/>
      <c r="E19" s="190"/>
      <c r="F19" s="191"/>
      <c r="G19" s="23">
        <f>+'[1]B.F. 00 '!D18+'[1]B.F. 05 '!D20</f>
        <v>232210.64</v>
      </c>
      <c r="H19" s="23">
        <v>1099.76</v>
      </c>
      <c r="I19" s="189" t="s">
        <v>23</v>
      </c>
      <c r="J19" s="190"/>
      <c r="K19" s="190"/>
      <c r="L19" s="190"/>
      <c r="M19" s="191"/>
      <c r="N19" s="16">
        <f>+'[1]B.F. 00 '!K18+'[1]B.F. 05 '!K20</f>
        <v>0</v>
      </c>
      <c r="O19" s="23">
        <v>0</v>
      </c>
    </row>
    <row r="20" spans="1:17" ht="16.350000000000001" customHeight="1" x14ac:dyDescent="0.2">
      <c r="A20" s="183" t="s">
        <v>24</v>
      </c>
      <c r="B20" s="184"/>
      <c r="C20" s="184"/>
      <c r="D20" s="184"/>
      <c r="E20" s="184"/>
      <c r="F20" s="185"/>
      <c r="G20" s="24">
        <f>SUM(G21:G24)</f>
        <v>1129419.95</v>
      </c>
      <c r="H20" s="24">
        <f>SUM(H21:H24)</f>
        <v>189370.17</v>
      </c>
      <c r="I20" s="183" t="s">
        <v>25</v>
      </c>
      <c r="J20" s="184"/>
      <c r="K20" s="184"/>
      <c r="L20" s="184"/>
      <c r="M20" s="185"/>
      <c r="N20" s="14">
        <f>SUM(N21:N24)</f>
        <v>4141625.3000000003</v>
      </c>
      <c r="O20" s="14">
        <f>SUM(O21:O24)</f>
        <v>21383132.850000001</v>
      </c>
      <c r="P20" s="2"/>
    </row>
    <row r="21" spans="1:17" ht="13.5" customHeight="1" x14ac:dyDescent="0.2">
      <c r="A21" s="177" t="s">
        <v>26</v>
      </c>
      <c r="B21" s="178"/>
      <c r="C21" s="178"/>
      <c r="D21" s="178"/>
      <c r="E21" s="178"/>
      <c r="F21" s="179"/>
      <c r="G21" s="16">
        <f>'[1]B.F. 00 '!D20+'[1]B.F. 05 '!D22</f>
        <v>1129419.95</v>
      </c>
      <c r="H21" s="25">
        <v>189370.17</v>
      </c>
      <c r="I21" s="177" t="s">
        <v>26</v>
      </c>
      <c r="J21" s="178"/>
      <c r="K21" s="178"/>
      <c r="L21" s="178"/>
      <c r="M21" s="179"/>
      <c r="N21" s="16">
        <f>+'[1]B.F. 00 '!K20+'[1]B.F. 05 '!K22</f>
        <v>4141625.3000000003</v>
      </c>
      <c r="O21" s="25">
        <v>21383132.850000001</v>
      </c>
    </row>
    <row r="22" spans="1:17" ht="13.5" customHeight="1" x14ac:dyDescent="0.2">
      <c r="A22" s="186" t="s">
        <v>27</v>
      </c>
      <c r="B22" s="187"/>
      <c r="C22" s="187"/>
      <c r="D22" s="187"/>
      <c r="E22" s="187"/>
      <c r="F22" s="188"/>
      <c r="G22" s="16">
        <f>+'[1]B.F. 00 '!D21+'[1]B.F. 05 '!D23</f>
        <v>0</v>
      </c>
      <c r="H22" s="17"/>
      <c r="I22" s="186" t="s">
        <v>27</v>
      </c>
      <c r="J22" s="187"/>
      <c r="K22" s="187"/>
      <c r="L22" s="187"/>
      <c r="M22" s="188"/>
      <c r="N22" s="16">
        <f>+'[1]B.F. 00 '!K21+'[1]B.F. 05 '!K23</f>
        <v>0</v>
      </c>
      <c r="O22" s="16">
        <v>0</v>
      </c>
    </row>
    <row r="23" spans="1:17" ht="13.5" customHeight="1" x14ac:dyDescent="0.2">
      <c r="A23" s="186" t="s">
        <v>28</v>
      </c>
      <c r="B23" s="187"/>
      <c r="C23" s="187"/>
      <c r="D23" s="187"/>
      <c r="E23" s="187"/>
      <c r="F23" s="188"/>
      <c r="G23" s="16">
        <f>+'[1]B.F. 00 '!D22+'[1]B.F. 05 '!D24</f>
        <v>0</v>
      </c>
      <c r="H23" s="17"/>
      <c r="I23" s="186" t="s">
        <v>28</v>
      </c>
      <c r="J23" s="187"/>
      <c r="K23" s="187"/>
      <c r="L23" s="187"/>
      <c r="M23" s="188"/>
      <c r="N23" s="16">
        <f>+'[1]B.F. 00 '!K22+'[1]B.F. 05 '!K24</f>
        <v>0</v>
      </c>
      <c r="O23" s="16">
        <v>0</v>
      </c>
    </row>
    <row r="24" spans="1:17" ht="13.5" customHeight="1" x14ac:dyDescent="0.2">
      <c r="A24" s="180" t="s">
        <v>29</v>
      </c>
      <c r="B24" s="181"/>
      <c r="C24" s="181"/>
      <c r="D24" s="181"/>
      <c r="E24" s="181"/>
      <c r="F24" s="182"/>
      <c r="G24" s="16">
        <f>+'[1]B.F. 00 '!D23+'[1]B.F. 05 '!D25</f>
        <v>0</v>
      </c>
      <c r="H24" s="17"/>
      <c r="I24" s="180" t="s">
        <v>29</v>
      </c>
      <c r="J24" s="181"/>
      <c r="K24" s="181"/>
      <c r="L24" s="181"/>
      <c r="M24" s="182"/>
      <c r="N24" s="16">
        <f>+'[1]B.F. 00 '!K23+'[1]B.F. 05 '!K25</f>
        <v>0</v>
      </c>
      <c r="O24" s="16">
        <v>0</v>
      </c>
    </row>
    <row r="25" spans="1:17" ht="16.350000000000001" customHeight="1" x14ac:dyDescent="0.2">
      <c r="A25" s="183" t="s">
        <v>30</v>
      </c>
      <c r="B25" s="184"/>
      <c r="C25" s="184"/>
      <c r="D25" s="184"/>
      <c r="E25" s="184"/>
      <c r="F25" s="185"/>
      <c r="G25" s="14">
        <f>SUBTOTAL(9,G26:G29)</f>
        <v>16943055.300000001</v>
      </c>
      <c r="H25" s="14">
        <f>SUBTOTAL(9,H26:H29)</f>
        <v>17475902.18</v>
      </c>
      <c r="I25" s="183" t="s">
        <v>31</v>
      </c>
      <c r="J25" s="184"/>
      <c r="K25" s="184"/>
      <c r="L25" s="184"/>
      <c r="M25" s="185"/>
      <c r="N25" s="14">
        <f>SUBTOTAL(9,N26:N29)</f>
        <v>5690167.2999999998</v>
      </c>
      <c r="O25" s="14">
        <f>SUBTOTAL(9,O26:O29)</f>
        <v>6917220.8399999999</v>
      </c>
    </row>
    <row r="26" spans="1:17" ht="13.5" customHeight="1" x14ac:dyDescent="0.2">
      <c r="A26" s="177" t="s">
        <v>32</v>
      </c>
      <c r="B26" s="178"/>
      <c r="C26" s="178"/>
      <c r="D26" s="178"/>
      <c r="E26" s="178"/>
      <c r="F26" s="179"/>
      <c r="G26" s="25">
        <f>+'[1]B.F. 00 '!D25+'[1]B.F. 05 '!D28</f>
        <v>3226303.14</v>
      </c>
      <c r="H26" s="26">
        <v>8472564.7200000007</v>
      </c>
      <c r="I26" s="177" t="s">
        <v>33</v>
      </c>
      <c r="J26" s="178"/>
      <c r="K26" s="178"/>
      <c r="L26" s="178"/>
      <c r="M26" s="179"/>
      <c r="N26" s="16">
        <f>+'[1]B.F. 00 '!K25+'[1]B.F. 05 '!K28</f>
        <v>1390063.27</v>
      </c>
      <c r="O26" s="26">
        <v>3031027.99</v>
      </c>
    </row>
    <row r="27" spans="1:17" ht="13.5" customHeight="1" x14ac:dyDescent="0.2">
      <c r="A27" s="186" t="s">
        <v>34</v>
      </c>
      <c r="B27" s="187"/>
      <c r="C27" s="187"/>
      <c r="D27" s="187"/>
      <c r="E27" s="187"/>
      <c r="F27" s="188"/>
      <c r="G27" s="16">
        <f>+'[1]B.F. 00 '!D27+'[1]B.F. 05 '!D30</f>
        <v>600075.12</v>
      </c>
      <c r="H27" s="27">
        <v>400962.57</v>
      </c>
      <c r="I27" s="186" t="s">
        <v>35</v>
      </c>
      <c r="J27" s="187"/>
      <c r="K27" s="187"/>
      <c r="L27" s="187"/>
      <c r="M27" s="188"/>
      <c r="N27" s="16">
        <f>+'[1]B.F. 00 '!K27+'[1]B.F. 05 '!K30</f>
        <v>150253.07</v>
      </c>
      <c r="O27" s="28">
        <v>334917.26999999996</v>
      </c>
    </row>
    <row r="28" spans="1:17" ht="13.5" customHeight="1" x14ac:dyDescent="0.2">
      <c r="A28" s="186" t="s">
        <v>36</v>
      </c>
      <c r="B28" s="187"/>
      <c r="C28" s="187"/>
      <c r="D28" s="187"/>
      <c r="E28" s="187"/>
      <c r="F28" s="188"/>
      <c r="G28" s="16">
        <f>+'[1]B.F. 00 '!D29+'[1]B.F. 05 '!D31</f>
        <v>0</v>
      </c>
      <c r="H28" s="27">
        <v>0</v>
      </c>
      <c r="I28" s="186" t="s">
        <v>36</v>
      </c>
      <c r="J28" s="187"/>
      <c r="K28" s="187"/>
      <c r="L28" s="187"/>
      <c r="M28" s="188"/>
      <c r="N28" s="16">
        <f>+'[1]B.F. 00 '!K29+'[1]B.F. 05 '!K31</f>
        <v>0</v>
      </c>
      <c r="O28" s="27"/>
    </row>
    <row r="29" spans="1:17" ht="13.5" customHeight="1" x14ac:dyDescent="0.2">
      <c r="A29" s="180" t="s">
        <v>37</v>
      </c>
      <c r="B29" s="181"/>
      <c r="C29" s="181"/>
      <c r="D29" s="181"/>
      <c r="E29" s="181"/>
      <c r="F29" s="182"/>
      <c r="G29" s="23">
        <f>+'[1]B.F. 00 '!D30+'[1]B.F. 05 '!D32</f>
        <v>13116677.039999999</v>
      </c>
      <c r="H29" s="29">
        <v>8602374.8900000006</v>
      </c>
      <c r="I29" s="180" t="s">
        <v>38</v>
      </c>
      <c r="J29" s="181"/>
      <c r="K29" s="181"/>
      <c r="L29" s="181"/>
      <c r="M29" s="182"/>
      <c r="N29" s="16">
        <f>+'[1]B.F. 00 '!K30+'[1]B.F. 05 '!K32</f>
        <v>4149850.96</v>
      </c>
      <c r="O29" s="29">
        <v>3551275.58</v>
      </c>
    </row>
    <row r="30" spans="1:17" ht="16.350000000000001" customHeight="1" x14ac:dyDescent="0.2">
      <c r="A30" s="183" t="s">
        <v>39</v>
      </c>
      <c r="B30" s="184"/>
      <c r="C30" s="184"/>
      <c r="D30" s="184"/>
      <c r="E30" s="184"/>
      <c r="F30" s="185"/>
      <c r="G30" s="14">
        <f>SUBTOTAL(9,G31:G32)</f>
        <v>230058548.22</v>
      </c>
      <c r="H30" s="14">
        <f>SUBTOTAL(9,H31:H32)</f>
        <v>250461958.19</v>
      </c>
      <c r="I30" s="183" t="s">
        <v>40</v>
      </c>
      <c r="J30" s="184"/>
      <c r="K30" s="184"/>
      <c r="L30" s="184"/>
      <c r="M30" s="185"/>
      <c r="N30" s="14">
        <f>SUM(N31:N32)</f>
        <v>214497157.69</v>
      </c>
      <c r="O30" s="14">
        <f>SUM(O31:O32)</f>
        <v>210512406.08000001</v>
      </c>
      <c r="Q30" s="30"/>
    </row>
    <row r="31" spans="1:17" ht="13.5" customHeight="1" x14ac:dyDescent="0.2">
      <c r="A31" s="177" t="s">
        <v>41</v>
      </c>
      <c r="B31" s="178"/>
      <c r="C31" s="178"/>
      <c r="D31" s="178"/>
      <c r="E31" s="178"/>
      <c r="F31" s="179"/>
      <c r="G31" s="31">
        <f>+'[1]B.F. 05 '!D35</f>
        <v>230058548.22</v>
      </c>
      <c r="H31" s="16">
        <v>250461958.19</v>
      </c>
      <c r="I31" s="177" t="s">
        <v>41</v>
      </c>
      <c r="J31" s="178"/>
      <c r="K31" s="178"/>
      <c r="L31" s="178"/>
      <c r="M31" s="179"/>
      <c r="N31" s="31">
        <f>+'[1]B.F. 00 '!K33+'[1]B.F. 05 '!K35</f>
        <v>214497157.69</v>
      </c>
      <c r="O31" s="16">
        <v>210512406.08000001</v>
      </c>
    </row>
    <row r="32" spans="1:17" ht="13.5" customHeight="1" x14ac:dyDescent="0.2">
      <c r="A32" s="180" t="s">
        <v>36</v>
      </c>
      <c r="B32" s="181"/>
      <c r="C32" s="181"/>
      <c r="D32" s="181"/>
      <c r="E32" s="181"/>
      <c r="F32" s="182"/>
      <c r="G32" s="32">
        <v>0</v>
      </c>
      <c r="H32" s="33"/>
      <c r="I32" s="180" t="s">
        <v>36</v>
      </c>
      <c r="J32" s="181"/>
      <c r="K32" s="181"/>
      <c r="L32" s="181"/>
      <c r="M32" s="182"/>
      <c r="N32" s="34"/>
      <c r="O32" s="18"/>
      <c r="P32" s="35"/>
      <c r="Q32" s="36"/>
    </row>
    <row r="33" spans="1:255" ht="16.350000000000001" customHeight="1" x14ac:dyDescent="0.2">
      <c r="A33" s="183" t="s">
        <v>42</v>
      </c>
      <c r="B33" s="184"/>
      <c r="C33" s="184"/>
      <c r="D33" s="184"/>
      <c r="E33" s="184"/>
      <c r="F33" s="185"/>
      <c r="G33" s="37">
        <f>G7+G20+G25+G30</f>
        <v>270497279.86000001</v>
      </c>
      <c r="H33" s="37">
        <f>H7+H20+H25+H30</f>
        <v>293422758</v>
      </c>
      <c r="I33" s="183" t="s">
        <v>43</v>
      </c>
      <c r="J33" s="184"/>
      <c r="K33" s="184"/>
      <c r="L33" s="184"/>
      <c r="M33" s="185"/>
      <c r="N33" s="37">
        <f>N7+N20+N25+N30</f>
        <v>270497279.86000001</v>
      </c>
      <c r="O33" s="37">
        <f>O7+O20+O25+O30</f>
        <v>293422758</v>
      </c>
      <c r="P33" s="38"/>
      <c r="Q33" s="39"/>
    </row>
    <row r="34" spans="1:255" s="45" customFormat="1" ht="15.75" customHeight="1" x14ac:dyDescent="0.2">
      <c r="A34" s="40" t="s">
        <v>44</v>
      </c>
      <c r="B34" s="41"/>
      <c r="C34" s="41"/>
      <c r="D34" s="41"/>
      <c r="E34" s="42"/>
      <c r="F34" s="42"/>
      <c r="G34" s="42"/>
      <c r="H34" s="42"/>
      <c r="I34" s="41"/>
      <c r="J34" s="41"/>
      <c r="K34" s="41"/>
      <c r="L34" s="42"/>
      <c r="M34" s="42"/>
      <c r="N34" s="43"/>
      <c r="O34" s="44"/>
    </row>
    <row r="35" spans="1:255" s="45" customFormat="1" ht="12.75" customHeight="1" x14ac:dyDescent="0.2">
      <c r="A35" s="46" t="s">
        <v>45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8"/>
      <c r="N35" s="48"/>
      <c r="O35" s="44"/>
    </row>
    <row r="36" spans="1:255" s="44" customFormat="1" ht="14.25" customHeight="1" x14ac:dyDescent="0.2">
      <c r="A36" s="176" t="s">
        <v>46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49"/>
    </row>
    <row r="37" spans="1:255" s="50" customFormat="1" ht="14.25" customHeight="1" x14ac:dyDescent="0.2">
      <c r="A37" s="176" t="s">
        <v>47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49"/>
      <c r="O37" s="44"/>
    </row>
    <row r="38" spans="1:255" s="50" customFormat="1" ht="14.25" customHeight="1" x14ac:dyDescent="0.2">
      <c r="A38" s="176" t="s">
        <v>48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49"/>
      <c r="O38" s="44"/>
    </row>
    <row r="39" spans="1:255" s="50" customFormat="1" ht="14.25" customHeight="1" x14ac:dyDescent="0.2">
      <c r="A39" s="172" t="s">
        <v>49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44"/>
    </row>
    <row r="40" spans="1:255" s="50" customFormat="1" ht="14.25" customHeight="1" x14ac:dyDescent="0.2">
      <c r="A40" s="172" t="s">
        <v>50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</row>
    <row r="41" spans="1:255" s="50" customFormat="1" ht="14.25" customHeight="1" x14ac:dyDescent="0.2">
      <c r="A41" s="175" t="s">
        <v>51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51"/>
      <c r="O41" s="44"/>
      <c r="P41" s="52"/>
    </row>
    <row r="42" spans="1:255" s="50" customFormat="1" ht="14.25" customHeight="1" x14ac:dyDescent="0.2">
      <c r="A42" s="172" t="s">
        <v>52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51"/>
      <c r="O42" s="44"/>
      <c r="P42" s="52"/>
    </row>
    <row r="43" spans="1:255" s="50" customFormat="1" ht="14.25" customHeight="1" x14ac:dyDescent="0.2">
      <c r="A43" s="172" t="s">
        <v>53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44"/>
      <c r="P43" s="52"/>
    </row>
    <row r="44" spans="1:255" s="50" customFormat="1" ht="14.25" customHeight="1" x14ac:dyDescent="0.2">
      <c r="A44" s="175" t="s">
        <v>54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53"/>
      <c r="O44" s="51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</row>
    <row r="45" spans="1:255" s="50" customFormat="1" ht="14.25" customHeight="1" x14ac:dyDescent="0.2">
      <c r="A45" s="172" t="s">
        <v>55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51"/>
      <c r="O45" s="44"/>
      <c r="P45" s="52"/>
    </row>
    <row r="46" spans="1:255" s="56" customFormat="1" ht="14.25" customHeight="1" x14ac:dyDescent="0.2">
      <c r="A46" s="172" t="s">
        <v>56</v>
      </c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55"/>
    </row>
    <row r="47" spans="1:255" s="56" customFormat="1" ht="14.25" customHeight="1" x14ac:dyDescent="0.2">
      <c r="A47" s="175" t="s">
        <v>57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53"/>
      <c r="O47" s="44"/>
      <c r="P47" s="55"/>
    </row>
    <row r="48" spans="1:255" s="56" customFormat="1" ht="14.25" customHeight="1" x14ac:dyDescent="0.2">
      <c r="A48" s="172" t="s">
        <v>58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55"/>
    </row>
    <row r="49" spans="1:255" s="56" customFormat="1" ht="14.25" customHeight="1" x14ac:dyDescent="0.2">
      <c r="A49" s="49" t="s">
        <v>59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5"/>
    </row>
    <row r="50" spans="1:255" s="56" customFormat="1" ht="14.25" customHeight="1" x14ac:dyDescent="0.2">
      <c r="A50" s="49" t="s">
        <v>60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5"/>
    </row>
    <row r="51" spans="1:255" s="56" customFormat="1" ht="14.25" customHeight="1" x14ac:dyDescent="0.2">
      <c r="A51" s="172" t="s">
        <v>61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</row>
    <row r="52" spans="1:255" s="50" customFormat="1" ht="14.25" customHeight="1" x14ac:dyDescent="0.2">
      <c r="A52" s="172" t="s">
        <v>62</v>
      </c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53"/>
      <c r="N52" s="53"/>
      <c r="O52" s="44"/>
      <c r="P52" s="57"/>
    </row>
    <row r="53" spans="1:255" s="50" customFormat="1" ht="14.25" customHeight="1" x14ac:dyDescent="0.2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44"/>
      <c r="P53" s="57"/>
    </row>
    <row r="54" spans="1:255" s="50" customFormat="1" ht="14.25" customHeight="1" x14ac:dyDescent="0.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44"/>
      <c r="P54" s="57"/>
    </row>
    <row r="55" spans="1:255" s="50" customFormat="1" ht="14.25" customHeight="1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 t="s">
        <v>63</v>
      </c>
      <c r="O55" s="44"/>
      <c r="P55" s="57"/>
    </row>
    <row r="56" spans="1:255" s="50" customFormat="1" ht="14.25" customHeight="1" x14ac:dyDescent="0.2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44"/>
      <c r="P56" s="57"/>
    </row>
    <row r="57" spans="1:255" s="50" customFormat="1" ht="14.25" customHeight="1" x14ac:dyDescent="0.2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8"/>
      <c r="O57" s="44"/>
      <c r="P57" s="57"/>
    </row>
    <row r="58" spans="1:255" s="45" customFormat="1" ht="11.25" customHeight="1" x14ac:dyDescent="0.2">
      <c r="A58" s="59"/>
      <c r="B58" s="59"/>
      <c r="C58" s="60"/>
      <c r="D58" s="60"/>
      <c r="E58" s="60"/>
      <c r="F58" s="59"/>
      <c r="G58" s="61"/>
      <c r="H58" s="60"/>
      <c r="I58" s="62" t="s">
        <v>64</v>
      </c>
      <c r="J58" s="62"/>
      <c r="K58" s="61"/>
      <c r="L58" s="61"/>
      <c r="M58" s="62"/>
      <c r="N58" s="60" t="s">
        <v>65</v>
      </c>
      <c r="O58" s="63"/>
      <c r="P58" s="64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  <c r="EO58" s="65"/>
      <c r="EP58" s="65"/>
      <c r="EQ58" s="65"/>
      <c r="ER58" s="65"/>
      <c r="ES58" s="65"/>
      <c r="ET58" s="65"/>
      <c r="EU58" s="65"/>
      <c r="EV58" s="65"/>
      <c r="EW58" s="65"/>
      <c r="EX58" s="65"/>
      <c r="EY58" s="65"/>
      <c r="EZ58" s="65"/>
      <c r="FA58" s="65"/>
      <c r="FB58" s="65"/>
      <c r="FC58" s="65"/>
      <c r="FD58" s="65"/>
      <c r="FE58" s="65"/>
      <c r="FF58" s="65"/>
      <c r="FG58" s="65"/>
      <c r="FH58" s="65"/>
      <c r="FI58" s="65"/>
      <c r="FJ58" s="65"/>
      <c r="FK58" s="65"/>
      <c r="FL58" s="65"/>
      <c r="FM58" s="65"/>
      <c r="FN58" s="65"/>
      <c r="FO58" s="65"/>
      <c r="FP58" s="65"/>
      <c r="FQ58" s="65"/>
      <c r="FR58" s="65"/>
      <c r="FS58" s="65"/>
      <c r="FT58" s="65"/>
      <c r="FU58" s="65"/>
      <c r="FV58" s="65"/>
      <c r="FW58" s="65"/>
      <c r="FX58" s="65"/>
      <c r="FY58" s="65"/>
      <c r="FZ58" s="65"/>
      <c r="GA58" s="65"/>
      <c r="GB58" s="65"/>
      <c r="GC58" s="65"/>
      <c r="GD58" s="65"/>
      <c r="GE58" s="65"/>
      <c r="GF58" s="65"/>
      <c r="GG58" s="65"/>
      <c r="GH58" s="65"/>
      <c r="GI58" s="65"/>
      <c r="GJ58" s="65"/>
      <c r="GK58" s="65"/>
      <c r="GL58" s="65"/>
      <c r="GM58" s="65"/>
      <c r="GN58" s="65"/>
      <c r="GO58" s="65"/>
      <c r="GP58" s="65"/>
      <c r="GQ58" s="65"/>
      <c r="GR58" s="65"/>
      <c r="GS58" s="65"/>
      <c r="GT58" s="65"/>
      <c r="GU58" s="65"/>
      <c r="GV58" s="65"/>
      <c r="GW58" s="65"/>
      <c r="GX58" s="65"/>
      <c r="GY58" s="65"/>
      <c r="GZ58" s="65"/>
      <c r="HA58" s="65"/>
      <c r="HB58" s="65"/>
      <c r="HC58" s="65"/>
      <c r="HD58" s="65"/>
      <c r="HE58" s="65"/>
      <c r="HF58" s="65"/>
      <c r="HG58" s="65"/>
      <c r="HH58" s="65"/>
      <c r="HI58" s="65"/>
      <c r="HJ58" s="65"/>
      <c r="HK58" s="65"/>
      <c r="HL58" s="65"/>
      <c r="HM58" s="65"/>
      <c r="HN58" s="65"/>
      <c r="HO58" s="65"/>
      <c r="HP58" s="65"/>
      <c r="HQ58" s="65"/>
      <c r="HR58" s="65"/>
      <c r="HS58" s="65"/>
      <c r="HT58" s="65"/>
      <c r="HU58" s="65"/>
      <c r="HV58" s="65"/>
      <c r="HW58" s="65"/>
      <c r="HX58" s="65"/>
      <c r="HY58" s="65"/>
      <c r="HZ58" s="65"/>
      <c r="IA58" s="65"/>
      <c r="IB58" s="65"/>
      <c r="IC58" s="65"/>
      <c r="ID58" s="65"/>
      <c r="IE58" s="65"/>
      <c r="IF58" s="65"/>
      <c r="IG58" s="65"/>
      <c r="IH58" s="65"/>
      <c r="II58" s="65"/>
      <c r="IJ58" s="65"/>
      <c r="IK58" s="65"/>
      <c r="IL58" s="65"/>
      <c r="IM58" s="65"/>
      <c r="IN58" s="65"/>
      <c r="IO58" s="65"/>
      <c r="IP58" s="65"/>
      <c r="IQ58" s="65"/>
      <c r="IR58" s="65"/>
      <c r="IS58" s="65"/>
      <c r="IT58" s="65"/>
      <c r="IU58" s="65"/>
    </row>
    <row r="59" spans="1:255" s="70" customFormat="1" ht="13.5" customHeight="1" x14ac:dyDescent="0.2">
      <c r="A59" s="60"/>
      <c r="B59" s="60"/>
      <c r="C59" s="66"/>
      <c r="D59" s="66"/>
      <c r="E59" s="66"/>
      <c r="F59" s="60"/>
      <c r="G59" s="67"/>
      <c r="H59" s="68"/>
      <c r="I59" s="66" t="s">
        <v>66</v>
      </c>
      <c r="J59" s="66"/>
      <c r="K59" s="67"/>
      <c r="L59" s="67"/>
      <c r="M59" s="66"/>
      <c r="N59" s="66" t="s">
        <v>67</v>
      </c>
      <c r="O59" s="69"/>
    </row>
    <row r="60" spans="1:255" ht="13.5" customHeight="1" x14ac:dyDescent="0.2">
      <c r="A60" s="59"/>
      <c r="B60" s="59"/>
      <c r="C60" s="68"/>
      <c r="D60" s="68"/>
      <c r="E60" s="68"/>
      <c r="F60" s="59"/>
      <c r="G60" s="35"/>
      <c r="I60" s="68" t="s">
        <v>68</v>
      </c>
      <c r="J60" s="68"/>
      <c r="K60" s="35"/>
      <c r="L60" s="35"/>
      <c r="M60" s="68"/>
      <c r="N60" s="71" t="s">
        <v>69</v>
      </c>
      <c r="O60" s="72"/>
    </row>
    <row r="61" spans="1:255" ht="13.5" customHeight="1" x14ac:dyDescent="0.2">
      <c r="A61" s="59"/>
      <c r="B61" s="59"/>
      <c r="C61" s="59"/>
      <c r="D61" s="59"/>
      <c r="E61" s="59"/>
      <c r="F61" s="59"/>
      <c r="G61" s="35"/>
      <c r="H61" s="59"/>
      <c r="I61" s="68" t="s">
        <v>70</v>
      </c>
      <c r="J61" s="68"/>
      <c r="K61" s="35"/>
      <c r="L61" s="35"/>
      <c r="M61" s="68"/>
      <c r="N61" s="68" t="s">
        <v>70</v>
      </c>
      <c r="O61" s="73"/>
    </row>
    <row r="62" spans="1:255" ht="13.5" customHeight="1" x14ac:dyDescent="0.2">
      <c r="A62" s="35"/>
      <c r="B62" s="35"/>
      <c r="C62" s="35"/>
      <c r="D62" s="35"/>
      <c r="E62" s="35"/>
      <c r="F62" s="35"/>
      <c r="G62" s="35"/>
      <c r="H62" s="35"/>
      <c r="J62" s="35"/>
      <c r="K62" s="35"/>
      <c r="L62" s="35"/>
      <c r="M62" s="35"/>
      <c r="N62" s="74"/>
      <c r="O62" s="73"/>
    </row>
    <row r="63" spans="1:255" ht="13.5" customHeight="1" x14ac:dyDescent="0.2">
      <c r="N63" s="1"/>
    </row>
    <row r="65" spans="1:14" ht="13.5" customHeight="1" x14ac:dyDescent="0.2">
      <c r="E65" s="75"/>
      <c r="F65" s="70"/>
      <c r="G65" s="70"/>
      <c r="H65" s="70"/>
      <c r="I65" s="70"/>
      <c r="J65" s="70"/>
      <c r="K65" s="70"/>
    </row>
    <row r="67" spans="1:14" ht="13.5" customHeight="1" x14ac:dyDescent="0.2">
      <c r="B67" s="2"/>
    </row>
    <row r="68" spans="1:14" ht="11.25" customHeight="1" x14ac:dyDescent="0.2">
      <c r="B68" s="77"/>
    </row>
    <row r="69" spans="1:14" ht="24" customHeight="1" x14ac:dyDescent="0.2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</row>
    <row r="70" spans="1:14" ht="34.5" customHeight="1" x14ac:dyDescent="0.2">
      <c r="A70" s="174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</row>
  </sheetData>
  <mergeCells count="78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31:F31"/>
    <mergeCell ref="I31:M31"/>
    <mergeCell ref="A32:F32"/>
    <mergeCell ref="I32:M32"/>
    <mergeCell ref="A33:F33"/>
    <mergeCell ref="I33:M33"/>
    <mergeCell ref="A47:M47"/>
    <mergeCell ref="A36:M36"/>
    <mergeCell ref="A37:M37"/>
    <mergeCell ref="A38:M38"/>
    <mergeCell ref="A39:N39"/>
    <mergeCell ref="A40:O40"/>
    <mergeCell ref="A41:M41"/>
    <mergeCell ref="A42:M42"/>
    <mergeCell ref="A43:N43"/>
    <mergeCell ref="A44:M44"/>
    <mergeCell ref="A45:M45"/>
    <mergeCell ref="A46:O46"/>
    <mergeCell ref="A48:O48"/>
    <mergeCell ref="A51:O51"/>
    <mergeCell ref="A52:L52"/>
    <mergeCell ref="A69:N69"/>
    <mergeCell ref="A70:N70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6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05E6E-A6B3-4747-BA2B-5419891E30BF}">
  <sheetPr codeName="Plan10">
    <tabColor indexed="42"/>
    <pageSetUpPr fitToPage="1"/>
  </sheetPr>
  <dimension ref="A1:P79"/>
  <sheetViews>
    <sheetView zoomScale="110" zoomScaleNormal="110" workbookViewId="0">
      <pane ySplit="8" topLeftCell="A9" activePane="bottomLeft" state="frozen"/>
      <selection activeCell="N60" sqref="N60"/>
      <selection pane="bottomLeft" activeCell="I66" sqref="I66"/>
    </sheetView>
  </sheetViews>
  <sheetFormatPr defaultRowHeight="15" x14ac:dyDescent="0.25"/>
  <cols>
    <col min="1" max="1" width="49.140625" style="79" bestFit="1" customWidth="1"/>
    <col min="2" max="5" width="18" style="79" customWidth="1"/>
    <col min="6" max="6" width="22.140625" style="79" bestFit="1" customWidth="1"/>
    <col min="7" max="7" width="25.7109375" style="79" customWidth="1"/>
    <col min="8" max="8" width="9.140625" style="79" customWidth="1"/>
    <col min="9" max="9" width="16.140625" style="81" customWidth="1"/>
    <col min="10" max="11" width="9.140625" style="79" customWidth="1"/>
    <col min="12" max="12" width="10.28515625" style="79" customWidth="1"/>
    <col min="13" max="13" width="13.140625" style="79" customWidth="1"/>
    <col min="14" max="14" width="9.140625" style="79"/>
    <col min="15" max="15" width="14.28515625" style="79" bestFit="1" customWidth="1"/>
    <col min="16" max="256" width="9.140625" style="79"/>
    <col min="257" max="257" width="49.140625" style="79" bestFit="1" customWidth="1"/>
    <col min="258" max="261" width="18" style="79" customWidth="1"/>
    <col min="262" max="262" width="22.140625" style="79" bestFit="1" customWidth="1"/>
    <col min="263" max="263" width="25.7109375" style="79" customWidth="1"/>
    <col min="264" max="269" width="0" style="79" hidden="1" customWidth="1"/>
    <col min="270" max="270" width="9.140625" style="79"/>
    <col min="271" max="271" width="14.28515625" style="79" bestFit="1" customWidth="1"/>
    <col min="272" max="512" width="9.140625" style="79"/>
    <col min="513" max="513" width="49.140625" style="79" bestFit="1" customWidth="1"/>
    <col min="514" max="517" width="18" style="79" customWidth="1"/>
    <col min="518" max="518" width="22.140625" style="79" bestFit="1" customWidth="1"/>
    <col min="519" max="519" width="25.7109375" style="79" customWidth="1"/>
    <col min="520" max="525" width="0" style="79" hidden="1" customWidth="1"/>
    <col min="526" max="526" width="9.140625" style="79"/>
    <col min="527" max="527" width="14.28515625" style="79" bestFit="1" customWidth="1"/>
    <col min="528" max="768" width="9.140625" style="79"/>
    <col min="769" max="769" width="49.140625" style="79" bestFit="1" customWidth="1"/>
    <col min="770" max="773" width="18" style="79" customWidth="1"/>
    <col min="774" max="774" width="22.140625" style="79" bestFit="1" customWidth="1"/>
    <col min="775" max="775" width="25.7109375" style="79" customWidth="1"/>
    <col min="776" max="781" width="0" style="79" hidden="1" customWidth="1"/>
    <col min="782" max="782" width="9.140625" style="79"/>
    <col min="783" max="783" width="14.28515625" style="79" bestFit="1" customWidth="1"/>
    <col min="784" max="1024" width="9.140625" style="79"/>
    <col min="1025" max="1025" width="49.140625" style="79" bestFit="1" customWidth="1"/>
    <col min="1026" max="1029" width="18" style="79" customWidth="1"/>
    <col min="1030" max="1030" width="22.140625" style="79" bestFit="1" customWidth="1"/>
    <col min="1031" max="1031" width="25.7109375" style="79" customWidth="1"/>
    <col min="1032" max="1037" width="0" style="79" hidden="1" customWidth="1"/>
    <col min="1038" max="1038" width="9.140625" style="79"/>
    <col min="1039" max="1039" width="14.28515625" style="79" bestFit="1" customWidth="1"/>
    <col min="1040" max="1280" width="9.140625" style="79"/>
    <col min="1281" max="1281" width="49.140625" style="79" bestFit="1" customWidth="1"/>
    <col min="1282" max="1285" width="18" style="79" customWidth="1"/>
    <col min="1286" max="1286" width="22.140625" style="79" bestFit="1" customWidth="1"/>
    <col min="1287" max="1287" width="25.7109375" style="79" customWidth="1"/>
    <col min="1288" max="1293" width="0" style="79" hidden="1" customWidth="1"/>
    <col min="1294" max="1294" width="9.140625" style="79"/>
    <col min="1295" max="1295" width="14.28515625" style="79" bestFit="1" customWidth="1"/>
    <col min="1296" max="1536" width="9.140625" style="79"/>
    <col min="1537" max="1537" width="49.140625" style="79" bestFit="1" customWidth="1"/>
    <col min="1538" max="1541" width="18" style="79" customWidth="1"/>
    <col min="1542" max="1542" width="22.140625" style="79" bestFit="1" customWidth="1"/>
    <col min="1543" max="1543" width="25.7109375" style="79" customWidth="1"/>
    <col min="1544" max="1549" width="0" style="79" hidden="1" customWidth="1"/>
    <col min="1550" max="1550" width="9.140625" style="79"/>
    <col min="1551" max="1551" width="14.28515625" style="79" bestFit="1" customWidth="1"/>
    <col min="1552" max="1792" width="9.140625" style="79"/>
    <col min="1793" max="1793" width="49.140625" style="79" bestFit="1" customWidth="1"/>
    <col min="1794" max="1797" width="18" style="79" customWidth="1"/>
    <col min="1798" max="1798" width="22.140625" style="79" bestFit="1" customWidth="1"/>
    <col min="1799" max="1799" width="25.7109375" style="79" customWidth="1"/>
    <col min="1800" max="1805" width="0" style="79" hidden="1" customWidth="1"/>
    <col min="1806" max="1806" width="9.140625" style="79"/>
    <col min="1807" max="1807" width="14.28515625" style="79" bestFit="1" customWidth="1"/>
    <col min="1808" max="2048" width="9.140625" style="79"/>
    <col min="2049" max="2049" width="49.140625" style="79" bestFit="1" customWidth="1"/>
    <col min="2050" max="2053" width="18" style="79" customWidth="1"/>
    <col min="2054" max="2054" width="22.140625" style="79" bestFit="1" customWidth="1"/>
    <col min="2055" max="2055" width="25.7109375" style="79" customWidth="1"/>
    <col min="2056" max="2061" width="0" style="79" hidden="1" customWidth="1"/>
    <col min="2062" max="2062" width="9.140625" style="79"/>
    <col min="2063" max="2063" width="14.28515625" style="79" bestFit="1" customWidth="1"/>
    <col min="2064" max="2304" width="9.140625" style="79"/>
    <col min="2305" max="2305" width="49.140625" style="79" bestFit="1" customWidth="1"/>
    <col min="2306" max="2309" width="18" style="79" customWidth="1"/>
    <col min="2310" max="2310" width="22.140625" style="79" bestFit="1" customWidth="1"/>
    <col min="2311" max="2311" width="25.7109375" style="79" customWidth="1"/>
    <col min="2312" max="2317" width="0" style="79" hidden="1" customWidth="1"/>
    <col min="2318" max="2318" width="9.140625" style="79"/>
    <col min="2319" max="2319" width="14.28515625" style="79" bestFit="1" customWidth="1"/>
    <col min="2320" max="2560" width="9.140625" style="79"/>
    <col min="2561" max="2561" width="49.140625" style="79" bestFit="1" customWidth="1"/>
    <col min="2562" max="2565" width="18" style="79" customWidth="1"/>
    <col min="2566" max="2566" width="22.140625" style="79" bestFit="1" customWidth="1"/>
    <col min="2567" max="2567" width="25.7109375" style="79" customWidth="1"/>
    <col min="2568" max="2573" width="0" style="79" hidden="1" customWidth="1"/>
    <col min="2574" max="2574" width="9.140625" style="79"/>
    <col min="2575" max="2575" width="14.28515625" style="79" bestFit="1" customWidth="1"/>
    <col min="2576" max="2816" width="9.140625" style="79"/>
    <col min="2817" max="2817" width="49.140625" style="79" bestFit="1" customWidth="1"/>
    <col min="2818" max="2821" width="18" style="79" customWidth="1"/>
    <col min="2822" max="2822" width="22.140625" style="79" bestFit="1" customWidth="1"/>
    <col min="2823" max="2823" width="25.7109375" style="79" customWidth="1"/>
    <col min="2824" max="2829" width="0" style="79" hidden="1" customWidth="1"/>
    <col min="2830" max="2830" width="9.140625" style="79"/>
    <col min="2831" max="2831" width="14.28515625" style="79" bestFit="1" customWidth="1"/>
    <col min="2832" max="3072" width="9.140625" style="79"/>
    <col min="3073" max="3073" width="49.140625" style="79" bestFit="1" customWidth="1"/>
    <col min="3074" max="3077" width="18" style="79" customWidth="1"/>
    <col min="3078" max="3078" width="22.140625" style="79" bestFit="1" customWidth="1"/>
    <col min="3079" max="3079" width="25.7109375" style="79" customWidth="1"/>
    <col min="3080" max="3085" width="0" style="79" hidden="1" customWidth="1"/>
    <col min="3086" max="3086" width="9.140625" style="79"/>
    <col min="3087" max="3087" width="14.28515625" style="79" bestFit="1" customWidth="1"/>
    <col min="3088" max="3328" width="9.140625" style="79"/>
    <col min="3329" max="3329" width="49.140625" style="79" bestFit="1" customWidth="1"/>
    <col min="3330" max="3333" width="18" style="79" customWidth="1"/>
    <col min="3334" max="3334" width="22.140625" style="79" bestFit="1" customWidth="1"/>
    <col min="3335" max="3335" width="25.7109375" style="79" customWidth="1"/>
    <col min="3336" max="3341" width="0" style="79" hidden="1" customWidth="1"/>
    <col min="3342" max="3342" width="9.140625" style="79"/>
    <col min="3343" max="3343" width="14.28515625" style="79" bestFit="1" customWidth="1"/>
    <col min="3344" max="3584" width="9.140625" style="79"/>
    <col min="3585" max="3585" width="49.140625" style="79" bestFit="1" customWidth="1"/>
    <col min="3586" max="3589" width="18" style="79" customWidth="1"/>
    <col min="3590" max="3590" width="22.140625" style="79" bestFit="1" customWidth="1"/>
    <col min="3591" max="3591" width="25.7109375" style="79" customWidth="1"/>
    <col min="3592" max="3597" width="0" style="79" hidden="1" customWidth="1"/>
    <col min="3598" max="3598" width="9.140625" style="79"/>
    <col min="3599" max="3599" width="14.28515625" style="79" bestFit="1" customWidth="1"/>
    <col min="3600" max="3840" width="9.140625" style="79"/>
    <col min="3841" max="3841" width="49.140625" style="79" bestFit="1" customWidth="1"/>
    <col min="3842" max="3845" width="18" style="79" customWidth="1"/>
    <col min="3846" max="3846" width="22.140625" style="79" bestFit="1" customWidth="1"/>
    <col min="3847" max="3847" width="25.7109375" style="79" customWidth="1"/>
    <col min="3848" max="3853" width="0" style="79" hidden="1" customWidth="1"/>
    <col min="3854" max="3854" width="9.140625" style="79"/>
    <col min="3855" max="3855" width="14.28515625" style="79" bestFit="1" customWidth="1"/>
    <col min="3856" max="4096" width="9.140625" style="79"/>
    <col min="4097" max="4097" width="49.140625" style="79" bestFit="1" customWidth="1"/>
    <col min="4098" max="4101" width="18" style="79" customWidth="1"/>
    <col min="4102" max="4102" width="22.140625" style="79" bestFit="1" customWidth="1"/>
    <col min="4103" max="4103" width="25.7109375" style="79" customWidth="1"/>
    <col min="4104" max="4109" width="0" style="79" hidden="1" customWidth="1"/>
    <col min="4110" max="4110" width="9.140625" style="79"/>
    <col min="4111" max="4111" width="14.28515625" style="79" bestFit="1" customWidth="1"/>
    <col min="4112" max="4352" width="9.140625" style="79"/>
    <col min="4353" max="4353" width="49.140625" style="79" bestFit="1" customWidth="1"/>
    <col min="4354" max="4357" width="18" style="79" customWidth="1"/>
    <col min="4358" max="4358" width="22.140625" style="79" bestFit="1" customWidth="1"/>
    <col min="4359" max="4359" width="25.7109375" style="79" customWidth="1"/>
    <col min="4360" max="4365" width="0" style="79" hidden="1" customWidth="1"/>
    <col min="4366" max="4366" width="9.140625" style="79"/>
    <col min="4367" max="4367" width="14.28515625" style="79" bestFit="1" customWidth="1"/>
    <col min="4368" max="4608" width="9.140625" style="79"/>
    <col min="4609" max="4609" width="49.140625" style="79" bestFit="1" customWidth="1"/>
    <col min="4610" max="4613" width="18" style="79" customWidth="1"/>
    <col min="4614" max="4614" width="22.140625" style="79" bestFit="1" customWidth="1"/>
    <col min="4615" max="4615" width="25.7109375" style="79" customWidth="1"/>
    <col min="4616" max="4621" width="0" style="79" hidden="1" customWidth="1"/>
    <col min="4622" max="4622" width="9.140625" style="79"/>
    <col min="4623" max="4623" width="14.28515625" style="79" bestFit="1" customWidth="1"/>
    <col min="4624" max="4864" width="9.140625" style="79"/>
    <col min="4865" max="4865" width="49.140625" style="79" bestFit="1" customWidth="1"/>
    <col min="4866" max="4869" width="18" style="79" customWidth="1"/>
    <col min="4870" max="4870" width="22.140625" style="79" bestFit="1" customWidth="1"/>
    <col min="4871" max="4871" width="25.7109375" style="79" customWidth="1"/>
    <col min="4872" max="4877" width="0" style="79" hidden="1" customWidth="1"/>
    <col min="4878" max="4878" width="9.140625" style="79"/>
    <col min="4879" max="4879" width="14.28515625" style="79" bestFit="1" customWidth="1"/>
    <col min="4880" max="5120" width="9.140625" style="79"/>
    <col min="5121" max="5121" width="49.140625" style="79" bestFit="1" customWidth="1"/>
    <col min="5122" max="5125" width="18" style="79" customWidth="1"/>
    <col min="5126" max="5126" width="22.140625" style="79" bestFit="1" customWidth="1"/>
    <col min="5127" max="5127" width="25.7109375" style="79" customWidth="1"/>
    <col min="5128" max="5133" width="0" style="79" hidden="1" customWidth="1"/>
    <col min="5134" max="5134" width="9.140625" style="79"/>
    <col min="5135" max="5135" width="14.28515625" style="79" bestFit="1" customWidth="1"/>
    <col min="5136" max="5376" width="9.140625" style="79"/>
    <col min="5377" max="5377" width="49.140625" style="79" bestFit="1" customWidth="1"/>
    <col min="5378" max="5381" width="18" style="79" customWidth="1"/>
    <col min="5382" max="5382" width="22.140625" style="79" bestFit="1" customWidth="1"/>
    <col min="5383" max="5383" width="25.7109375" style="79" customWidth="1"/>
    <col min="5384" max="5389" width="0" style="79" hidden="1" customWidth="1"/>
    <col min="5390" max="5390" width="9.140625" style="79"/>
    <col min="5391" max="5391" width="14.28515625" style="79" bestFit="1" customWidth="1"/>
    <col min="5392" max="5632" width="9.140625" style="79"/>
    <col min="5633" max="5633" width="49.140625" style="79" bestFit="1" customWidth="1"/>
    <col min="5634" max="5637" width="18" style="79" customWidth="1"/>
    <col min="5638" max="5638" width="22.140625" style="79" bestFit="1" customWidth="1"/>
    <col min="5639" max="5639" width="25.7109375" style="79" customWidth="1"/>
    <col min="5640" max="5645" width="0" style="79" hidden="1" customWidth="1"/>
    <col min="5646" max="5646" width="9.140625" style="79"/>
    <col min="5647" max="5647" width="14.28515625" style="79" bestFit="1" customWidth="1"/>
    <col min="5648" max="5888" width="9.140625" style="79"/>
    <col min="5889" max="5889" width="49.140625" style="79" bestFit="1" customWidth="1"/>
    <col min="5890" max="5893" width="18" style="79" customWidth="1"/>
    <col min="5894" max="5894" width="22.140625" style="79" bestFit="1" customWidth="1"/>
    <col min="5895" max="5895" width="25.7109375" style="79" customWidth="1"/>
    <col min="5896" max="5901" width="0" style="79" hidden="1" customWidth="1"/>
    <col min="5902" max="5902" width="9.140625" style="79"/>
    <col min="5903" max="5903" width="14.28515625" style="79" bestFit="1" customWidth="1"/>
    <col min="5904" max="6144" width="9.140625" style="79"/>
    <col min="6145" max="6145" width="49.140625" style="79" bestFit="1" customWidth="1"/>
    <col min="6146" max="6149" width="18" style="79" customWidth="1"/>
    <col min="6150" max="6150" width="22.140625" style="79" bestFit="1" customWidth="1"/>
    <col min="6151" max="6151" width="25.7109375" style="79" customWidth="1"/>
    <col min="6152" max="6157" width="0" style="79" hidden="1" customWidth="1"/>
    <col min="6158" max="6158" width="9.140625" style="79"/>
    <col min="6159" max="6159" width="14.28515625" style="79" bestFit="1" customWidth="1"/>
    <col min="6160" max="6400" width="9.140625" style="79"/>
    <col min="6401" max="6401" width="49.140625" style="79" bestFit="1" customWidth="1"/>
    <col min="6402" max="6405" width="18" style="79" customWidth="1"/>
    <col min="6406" max="6406" width="22.140625" style="79" bestFit="1" customWidth="1"/>
    <col min="6407" max="6407" width="25.7109375" style="79" customWidth="1"/>
    <col min="6408" max="6413" width="0" style="79" hidden="1" customWidth="1"/>
    <col min="6414" max="6414" width="9.140625" style="79"/>
    <col min="6415" max="6415" width="14.28515625" style="79" bestFit="1" customWidth="1"/>
    <col min="6416" max="6656" width="9.140625" style="79"/>
    <col min="6657" max="6657" width="49.140625" style="79" bestFit="1" customWidth="1"/>
    <col min="6658" max="6661" width="18" style="79" customWidth="1"/>
    <col min="6662" max="6662" width="22.140625" style="79" bestFit="1" customWidth="1"/>
    <col min="6663" max="6663" width="25.7109375" style="79" customWidth="1"/>
    <col min="6664" max="6669" width="0" style="79" hidden="1" customWidth="1"/>
    <col min="6670" max="6670" width="9.140625" style="79"/>
    <col min="6671" max="6671" width="14.28515625" style="79" bestFit="1" customWidth="1"/>
    <col min="6672" max="6912" width="9.140625" style="79"/>
    <col min="6913" max="6913" width="49.140625" style="79" bestFit="1" customWidth="1"/>
    <col min="6914" max="6917" width="18" style="79" customWidth="1"/>
    <col min="6918" max="6918" width="22.140625" style="79" bestFit="1" customWidth="1"/>
    <col min="6919" max="6919" width="25.7109375" style="79" customWidth="1"/>
    <col min="6920" max="6925" width="0" style="79" hidden="1" customWidth="1"/>
    <col min="6926" max="6926" width="9.140625" style="79"/>
    <col min="6927" max="6927" width="14.28515625" style="79" bestFit="1" customWidth="1"/>
    <col min="6928" max="7168" width="9.140625" style="79"/>
    <col min="7169" max="7169" width="49.140625" style="79" bestFit="1" customWidth="1"/>
    <col min="7170" max="7173" width="18" style="79" customWidth="1"/>
    <col min="7174" max="7174" width="22.140625" style="79" bestFit="1" customWidth="1"/>
    <col min="7175" max="7175" width="25.7109375" style="79" customWidth="1"/>
    <col min="7176" max="7181" width="0" style="79" hidden="1" customWidth="1"/>
    <col min="7182" max="7182" width="9.140625" style="79"/>
    <col min="7183" max="7183" width="14.28515625" style="79" bestFit="1" customWidth="1"/>
    <col min="7184" max="7424" width="9.140625" style="79"/>
    <col min="7425" max="7425" width="49.140625" style="79" bestFit="1" customWidth="1"/>
    <col min="7426" max="7429" width="18" style="79" customWidth="1"/>
    <col min="7430" max="7430" width="22.140625" style="79" bestFit="1" customWidth="1"/>
    <col min="7431" max="7431" width="25.7109375" style="79" customWidth="1"/>
    <col min="7432" max="7437" width="0" style="79" hidden="1" customWidth="1"/>
    <col min="7438" max="7438" width="9.140625" style="79"/>
    <col min="7439" max="7439" width="14.28515625" style="79" bestFit="1" customWidth="1"/>
    <col min="7440" max="7680" width="9.140625" style="79"/>
    <col min="7681" max="7681" width="49.140625" style="79" bestFit="1" customWidth="1"/>
    <col min="7682" max="7685" width="18" style="79" customWidth="1"/>
    <col min="7686" max="7686" width="22.140625" style="79" bestFit="1" customWidth="1"/>
    <col min="7687" max="7687" width="25.7109375" style="79" customWidth="1"/>
    <col min="7688" max="7693" width="0" style="79" hidden="1" customWidth="1"/>
    <col min="7694" max="7694" width="9.140625" style="79"/>
    <col min="7695" max="7695" width="14.28515625" style="79" bestFit="1" customWidth="1"/>
    <col min="7696" max="7936" width="9.140625" style="79"/>
    <col min="7937" max="7937" width="49.140625" style="79" bestFit="1" customWidth="1"/>
    <col min="7938" max="7941" width="18" style="79" customWidth="1"/>
    <col min="7942" max="7942" width="22.140625" style="79" bestFit="1" customWidth="1"/>
    <col min="7943" max="7943" width="25.7109375" style="79" customWidth="1"/>
    <col min="7944" max="7949" width="0" style="79" hidden="1" customWidth="1"/>
    <col min="7950" max="7950" width="9.140625" style="79"/>
    <col min="7951" max="7951" width="14.28515625" style="79" bestFit="1" customWidth="1"/>
    <col min="7952" max="8192" width="9.140625" style="79"/>
    <col min="8193" max="8193" width="49.140625" style="79" bestFit="1" customWidth="1"/>
    <col min="8194" max="8197" width="18" style="79" customWidth="1"/>
    <col min="8198" max="8198" width="22.140625" style="79" bestFit="1" customWidth="1"/>
    <col min="8199" max="8199" width="25.7109375" style="79" customWidth="1"/>
    <col min="8200" max="8205" width="0" style="79" hidden="1" customWidth="1"/>
    <col min="8206" max="8206" width="9.140625" style="79"/>
    <col min="8207" max="8207" width="14.28515625" style="79" bestFit="1" customWidth="1"/>
    <col min="8208" max="8448" width="9.140625" style="79"/>
    <col min="8449" max="8449" width="49.140625" style="79" bestFit="1" customWidth="1"/>
    <col min="8450" max="8453" width="18" style="79" customWidth="1"/>
    <col min="8454" max="8454" width="22.140625" style="79" bestFit="1" customWidth="1"/>
    <col min="8455" max="8455" width="25.7109375" style="79" customWidth="1"/>
    <col min="8456" max="8461" width="0" style="79" hidden="1" customWidth="1"/>
    <col min="8462" max="8462" width="9.140625" style="79"/>
    <col min="8463" max="8463" width="14.28515625" style="79" bestFit="1" customWidth="1"/>
    <col min="8464" max="8704" width="9.140625" style="79"/>
    <col min="8705" max="8705" width="49.140625" style="79" bestFit="1" customWidth="1"/>
    <col min="8706" max="8709" width="18" style="79" customWidth="1"/>
    <col min="8710" max="8710" width="22.140625" style="79" bestFit="1" customWidth="1"/>
    <col min="8711" max="8711" width="25.7109375" style="79" customWidth="1"/>
    <col min="8712" max="8717" width="0" style="79" hidden="1" customWidth="1"/>
    <col min="8718" max="8718" width="9.140625" style="79"/>
    <col min="8719" max="8719" width="14.28515625" style="79" bestFit="1" customWidth="1"/>
    <col min="8720" max="8960" width="9.140625" style="79"/>
    <col min="8961" max="8961" width="49.140625" style="79" bestFit="1" customWidth="1"/>
    <col min="8962" max="8965" width="18" style="79" customWidth="1"/>
    <col min="8966" max="8966" width="22.140625" style="79" bestFit="1" customWidth="1"/>
    <col min="8967" max="8967" width="25.7109375" style="79" customWidth="1"/>
    <col min="8968" max="8973" width="0" style="79" hidden="1" customWidth="1"/>
    <col min="8974" max="8974" width="9.140625" style="79"/>
    <col min="8975" max="8975" width="14.28515625" style="79" bestFit="1" customWidth="1"/>
    <col min="8976" max="9216" width="9.140625" style="79"/>
    <col min="9217" max="9217" width="49.140625" style="79" bestFit="1" customWidth="1"/>
    <col min="9218" max="9221" width="18" style="79" customWidth="1"/>
    <col min="9222" max="9222" width="22.140625" style="79" bestFit="1" customWidth="1"/>
    <col min="9223" max="9223" width="25.7109375" style="79" customWidth="1"/>
    <col min="9224" max="9229" width="0" style="79" hidden="1" customWidth="1"/>
    <col min="9230" max="9230" width="9.140625" style="79"/>
    <col min="9231" max="9231" width="14.28515625" style="79" bestFit="1" customWidth="1"/>
    <col min="9232" max="9472" width="9.140625" style="79"/>
    <col min="9473" max="9473" width="49.140625" style="79" bestFit="1" customWidth="1"/>
    <col min="9474" max="9477" width="18" style="79" customWidth="1"/>
    <col min="9478" max="9478" width="22.140625" style="79" bestFit="1" customWidth="1"/>
    <col min="9479" max="9479" width="25.7109375" style="79" customWidth="1"/>
    <col min="9480" max="9485" width="0" style="79" hidden="1" customWidth="1"/>
    <col min="9486" max="9486" width="9.140625" style="79"/>
    <col min="9487" max="9487" width="14.28515625" style="79" bestFit="1" customWidth="1"/>
    <col min="9488" max="9728" width="9.140625" style="79"/>
    <col min="9729" max="9729" width="49.140625" style="79" bestFit="1" customWidth="1"/>
    <col min="9730" max="9733" width="18" style="79" customWidth="1"/>
    <col min="9734" max="9734" width="22.140625" style="79" bestFit="1" customWidth="1"/>
    <col min="9735" max="9735" width="25.7109375" style="79" customWidth="1"/>
    <col min="9736" max="9741" width="0" style="79" hidden="1" customWidth="1"/>
    <col min="9742" max="9742" width="9.140625" style="79"/>
    <col min="9743" max="9743" width="14.28515625" style="79" bestFit="1" customWidth="1"/>
    <col min="9744" max="9984" width="9.140625" style="79"/>
    <col min="9985" max="9985" width="49.140625" style="79" bestFit="1" customWidth="1"/>
    <col min="9986" max="9989" width="18" style="79" customWidth="1"/>
    <col min="9990" max="9990" width="22.140625" style="79" bestFit="1" customWidth="1"/>
    <col min="9991" max="9991" width="25.7109375" style="79" customWidth="1"/>
    <col min="9992" max="9997" width="0" style="79" hidden="1" customWidth="1"/>
    <col min="9998" max="9998" width="9.140625" style="79"/>
    <col min="9999" max="9999" width="14.28515625" style="79" bestFit="1" customWidth="1"/>
    <col min="10000" max="10240" width="9.140625" style="79"/>
    <col min="10241" max="10241" width="49.140625" style="79" bestFit="1" customWidth="1"/>
    <col min="10242" max="10245" width="18" style="79" customWidth="1"/>
    <col min="10246" max="10246" width="22.140625" style="79" bestFit="1" customWidth="1"/>
    <col min="10247" max="10247" width="25.7109375" style="79" customWidth="1"/>
    <col min="10248" max="10253" width="0" style="79" hidden="1" customWidth="1"/>
    <col min="10254" max="10254" width="9.140625" style="79"/>
    <col min="10255" max="10255" width="14.28515625" style="79" bestFit="1" customWidth="1"/>
    <col min="10256" max="10496" width="9.140625" style="79"/>
    <col min="10497" max="10497" width="49.140625" style="79" bestFit="1" customWidth="1"/>
    <col min="10498" max="10501" width="18" style="79" customWidth="1"/>
    <col min="10502" max="10502" width="22.140625" style="79" bestFit="1" customWidth="1"/>
    <col min="10503" max="10503" width="25.7109375" style="79" customWidth="1"/>
    <col min="10504" max="10509" width="0" style="79" hidden="1" customWidth="1"/>
    <col min="10510" max="10510" width="9.140625" style="79"/>
    <col min="10511" max="10511" width="14.28515625" style="79" bestFit="1" customWidth="1"/>
    <col min="10512" max="10752" width="9.140625" style="79"/>
    <col min="10753" max="10753" width="49.140625" style="79" bestFit="1" customWidth="1"/>
    <col min="10754" max="10757" width="18" style="79" customWidth="1"/>
    <col min="10758" max="10758" width="22.140625" style="79" bestFit="1" customWidth="1"/>
    <col min="10759" max="10759" width="25.7109375" style="79" customWidth="1"/>
    <col min="10760" max="10765" width="0" style="79" hidden="1" customWidth="1"/>
    <col min="10766" max="10766" width="9.140625" style="79"/>
    <col min="10767" max="10767" width="14.28515625" style="79" bestFit="1" customWidth="1"/>
    <col min="10768" max="11008" width="9.140625" style="79"/>
    <col min="11009" max="11009" width="49.140625" style="79" bestFit="1" customWidth="1"/>
    <col min="11010" max="11013" width="18" style="79" customWidth="1"/>
    <col min="11014" max="11014" width="22.140625" style="79" bestFit="1" customWidth="1"/>
    <col min="11015" max="11015" width="25.7109375" style="79" customWidth="1"/>
    <col min="11016" max="11021" width="0" style="79" hidden="1" customWidth="1"/>
    <col min="11022" max="11022" width="9.140625" style="79"/>
    <col min="11023" max="11023" width="14.28515625" style="79" bestFit="1" customWidth="1"/>
    <col min="11024" max="11264" width="9.140625" style="79"/>
    <col min="11265" max="11265" width="49.140625" style="79" bestFit="1" customWidth="1"/>
    <col min="11266" max="11269" width="18" style="79" customWidth="1"/>
    <col min="11270" max="11270" width="22.140625" style="79" bestFit="1" customWidth="1"/>
    <col min="11271" max="11271" width="25.7109375" style="79" customWidth="1"/>
    <col min="11272" max="11277" width="0" style="79" hidden="1" customWidth="1"/>
    <col min="11278" max="11278" width="9.140625" style="79"/>
    <col min="11279" max="11279" width="14.28515625" style="79" bestFit="1" customWidth="1"/>
    <col min="11280" max="11520" width="9.140625" style="79"/>
    <col min="11521" max="11521" width="49.140625" style="79" bestFit="1" customWidth="1"/>
    <col min="11522" max="11525" width="18" style="79" customWidth="1"/>
    <col min="11526" max="11526" width="22.140625" style="79" bestFit="1" customWidth="1"/>
    <col min="11527" max="11527" width="25.7109375" style="79" customWidth="1"/>
    <col min="11528" max="11533" width="0" style="79" hidden="1" customWidth="1"/>
    <col min="11534" max="11534" width="9.140625" style="79"/>
    <col min="11535" max="11535" width="14.28515625" style="79" bestFit="1" customWidth="1"/>
    <col min="11536" max="11776" width="9.140625" style="79"/>
    <col min="11777" max="11777" width="49.140625" style="79" bestFit="1" customWidth="1"/>
    <col min="11778" max="11781" width="18" style="79" customWidth="1"/>
    <col min="11782" max="11782" width="22.140625" style="79" bestFit="1" customWidth="1"/>
    <col min="11783" max="11783" width="25.7109375" style="79" customWidth="1"/>
    <col min="11784" max="11789" width="0" style="79" hidden="1" customWidth="1"/>
    <col min="11790" max="11790" width="9.140625" style="79"/>
    <col min="11791" max="11791" width="14.28515625" style="79" bestFit="1" customWidth="1"/>
    <col min="11792" max="12032" width="9.140625" style="79"/>
    <col min="12033" max="12033" width="49.140625" style="79" bestFit="1" customWidth="1"/>
    <col min="12034" max="12037" width="18" style="79" customWidth="1"/>
    <col min="12038" max="12038" width="22.140625" style="79" bestFit="1" customWidth="1"/>
    <col min="12039" max="12039" width="25.7109375" style="79" customWidth="1"/>
    <col min="12040" max="12045" width="0" style="79" hidden="1" customWidth="1"/>
    <col min="12046" max="12046" width="9.140625" style="79"/>
    <col min="12047" max="12047" width="14.28515625" style="79" bestFit="1" customWidth="1"/>
    <col min="12048" max="12288" width="9.140625" style="79"/>
    <col min="12289" max="12289" width="49.140625" style="79" bestFit="1" customWidth="1"/>
    <col min="12290" max="12293" width="18" style="79" customWidth="1"/>
    <col min="12294" max="12294" width="22.140625" style="79" bestFit="1" customWidth="1"/>
    <col min="12295" max="12295" width="25.7109375" style="79" customWidth="1"/>
    <col min="12296" max="12301" width="0" style="79" hidden="1" customWidth="1"/>
    <col min="12302" max="12302" width="9.140625" style="79"/>
    <col min="12303" max="12303" width="14.28515625" style="79" bestFit="1" customWidth="1"/>
    <col min="12304" max="12544" width="9.140625" style="79"/>
    <col min="12545" max="12545" width="49.140625" style="79" bestFit="1" customWidth="1"/>
    <col min="12546" max="12549" width="18" style="79" customWidth="1"/>
    <col min="12550" max="12550" width="22.140625" style="79" bestFit="1" customWidth="1"/>
    <col min="12551" max="12551" width="25.7109375" style="79" customWidth="1"/>
    <col min="12552" max="12557" width="0" style="79" hidden="1" customWidth="1"/>
    <col min="12558" max="12558" width="9.140625" style="79"/>
    <col min="12559" max="12559" width="14.28515625" style="79" bestFit="1" customWidth="1"/>
    <col min="12560" max="12800" width="9.140625" style="79"/>
    <col min="12801" max="12801" width="49.140625" style="79" bestFit="1" customWidth="1"/>
    <col min="12802" max="12805" width="18" style="79" customWidth="1"/>
    <col min="12806" max="12806" width="22.140625" style="79" bestFit="1" customWidth="1"/>
    <col min="12807" max="12807" width="25.7109375" style="79" customWidth="1"/>
    <col min="12808" max="12813" width="0" style="79" hidden="1" customWidth="1"/>
    <col min="12814" max="12814" width="9.140625" style="79"/>
    <col min="12815" max="12815" width="14.28515625" style="79" bestFit="1" customWidth="1"/>
    <col min="12816" max="13056" width="9.140625" style="79"/>
    <col min="13057" max="13057" width="49.140625" style="79" bestFit="1" customWidth="1"/>
    <col min="13058" max="13061" width="18" style="79" customWidth="1"/>
    <col min="13062" max="13062" width="22.140625" style="79" bestFit="1" customWidth="1"/>
    <col min="13063" max="13063" width="25.7109375" style="79" customWidth="1"/>
    <col min="13064" max="13069" width="0" style="79" hidden="1" customWidth="1"/>
    <col min="13070" max="13070" width="9.140625" style="79"/>
    <col min="13071" max="13071" width="14.28515625" style="79" bestFit="1" customWidth="1"/>
    <col min="13072" max="13312" width="9.140625" style="79"/>
    <col min="13313" max="13313" width="49.140625" style="79" bestFit="1" customWidth="1"/>
    <col min="13314" max="13317" width="18" style="79" customWidth="1"/>
    <col min="13318" max="13318" width="22.140625" style="79" bestFit="1" customWidth="1"/>
    <col min="13319" max="13319" width="25.7109375" style="79" customWidth="1"/>
    <col min="13320" max="13325" width="0" style="79" hidden="1" customWidth="1"/>
    <col min="13326" max="13326" width="9.140625" style="79"/>
    <col min="13327" max="13327" width="14.28515625" style="79" bestFit="1" customWidth="1"/>
    <col min="13328" max="13568" width="9.140625" style="79"/>
    <col min="13569" max="13569" width="49.140625" style="79" bestFit="1" customWidth="1"/>
    <col min="13570" max="13573" width="18" style="79" customWidth="1"/>
    <col min="13574" max="13574" width="22.140625" style="79" bestFit="1" customWidth="1"/>
    <col min="13575" max="13575" width="25.7109375" style="79" customWidth="1"/>
    <col min="13576" max="13581" width="0" style="79" hidden="1" customWidth="1"/>
    <col min="13582" max="13582" width="9.140625" style="79"/>
    <col min="13583" max="13583" width="14.28515625" style="79" bestFit="1" customWidth="1"/>
    <col min="13584" max="13824" width="9.140625" style="79"/>
    <col min="13825" max="13825" width="49.140625" style="79" bestFit="1" customWidth="1"/>
    <col min="13826" max="13829" width="18" style="79" customWidth="1"/>
    <col min="13830" max="13830" width="22.140625" style="79" bestFit="1" customWidth="1"/>
    <col min="13831" max="13831" width="25.7109375" style="79" customWidth="1"/>
    <col min="13832" max="13837" width="0" style="79" hidden="1" customWidth="1"/>
    <col min="13838" max="13838" width="9.140625" style="79"/>
    <col min="13839" max="13839" width="14.28515625" style="79" bestFit="1" customWidth="1"/>
    <col min="13840" max="14080" width="9.140625" style="79"/>
    <col min="14081" max="14081" width="49.140625" style="79" bestFit="1" customWidth="1"/>
    <col min="14082" max="14085" width="18" style="79" customWidth="1"/>
    <col min="14086" max="14086" width="22.140625" style="79" bestFit="1" customWidth="1"/>
    <col min="14087" max="14087" width="25.7109375" style="79" customWidth="1"/>
    <col min="14088" max="14093" width="0" style="79" hidden="1" customWidth="1"/>
    <col min="14094" max="14094" width="9.140625" style="79"/>
    <col min="14095" max="14095" width="14.28515625" style="79" bestFit="1" customWidth="1"/>
    <col min="14096" max="14336" width="9.140625" style="79"/>
    <col min="14337" max="14337" width="49.140625" style="79" bestFit="1" customWidth="1"/>
    <col min="14338" max="14341" width="18" style="79" customWidth="1"/>
    <col min="14342" max="14342" width="22.140625" style="79" bestFit="1" customWidth="1"/>
    <col min="14343" max="14343" width="25.7109375" style="79" customWidth="1"/>
    <col min="14344" max="14349" width="0" style="79" hidden="1" customWidth="1"/>
    <col min="14350" max="14350" width="9.140625" style="79"/>
    <col min="14351" max="14351" width="14.28515625" style="79" bestFit="1" customWidth="1"/>
    <col min="14352" max="14592" width="9.140625" style="79"/>
    <col min="14593" max="14593" width="49.140625" style="79" bestFit="1" customWidth="1"/>
    <col min="14594" max="14597" width="18" style="79" customWidth="1"/>
    <col min="14598" max="14598" width="22.140625" style="79" bestFit="1" customWidth="1"/>
    <col min="14599" max="14599" width="25.7109375" style="79" customWidth="1"/>
    <col min="14600" max="14605" width="0" style="79" hidden="1" customWidth="1"/>
    <col min="14606" max="14606" width="9.140625" style="79"/>
    <col min="14607" max="14607" width="14.28515625" style="79" bestFit="1" customWidth="1"/>
    <col min="14608" max="14848" width="9.140625" style="79"/>
    <col min="14849" max="14849" width="49.140625" style="79" bestFit="1" customWidth="1"/>
    <col min="14850" max="14853" width="18" style="79" customWidth="1"/>
    <col min="14854" max="14854" width="22.140625" style="79" bestFit="1" customWidth="1"/>
    <col min="14855" max="14855" width="25.7109375" style="79" customWidth="1"/>
    <col min="14856" max="14861" width="0" style="79" hidden="1" customWidth="1"/>
    <col min="14862" max="14862" width="9.140625" style="79"/>
    <col min="14863" max="14863" width="14.28515625" style="79" bestFit="1" customWidth="1"/>
    <col min="14864" max="15104" width="9.140625" style="79"/>
    <col min="15105" max="15105" width="49.140625" style="79" bestFit="1" customWidth="1"/>
    <col min="15106" max="15109" width="18" style="79" customWidth="1"/>
    <col min="15110" max="15110" width="22.140625" style="79" bestFit="1" customWidth="1"/>
    <col min="15111" max="15111" width="25.7109375" style="79" customWidth="1"/>
    <col min="15112" max="15117" width="0" style="79" hidden="1" customWidth="1"/>
    <col min="15118" max="15118" width="9.140625" style="79"/>
    <col min="15119" max="15119" width="14.28515625" style="79" bestFit="1" customWidth="1"/>
    <col min="15120" max="15360" width="9.140625" style="79"/>
    <col min="15361" max="15361" width="49.140625" style="79" bestFit="1" customWidth="1"/>
    <col min="15362" max="15365" width="18" style="79" customWidth="1"/>
    <col min="15366" max="15366" width="22.140625" style="79" bestFit="1" customWidth="1"/>
    <col min="15367" max="15367" width="25.7109375" style="79" customWidth="1"/>
    <col min="15368" max="15373" width="0" style="79" hidden="1" customWidth="1"/>
    <col min="15374" max="15374" width="9.140625" style="79"/>
    <col min="15375" max="15375" width="14.28515625" style="79" bestFit="1" customWidth="1"/>
    <col min="15376" max="15616" width="9.140625" style="79"/>
    <col min="15617" max="15617" width="49.140625" style="79" bestFit="1" customWidth="1"/>
    <col min="15618" max="15621" width="18" style="79" customWidth="1"/>
    <col min="15622" max="15622" width="22.140625" style="79" bestFit="1" customWidth="1"/>
    <col min="15623" max="15623" width="25.7109375" style="79" customWidth="1"/>
    <col min="15624" max="15629" width="0" style="79" hidden="1" customWidth="1"/>
    <col min="15630" max="15630" width="9.140625" style="79"/>
    <col min="15631" max="15631" width="14.28515625" style="79" bestFit="1" customWidth="1"/>
    <col min="15632" max="15872" width="9.140625" style="79"/>
    <col min="15873" max="15873" width="49.140625" style="79" bestFit="1" customWidth="1"/>
    <col min="15874" max="15877" width="18" style="79" customWidth="1"/>
    <col min="15878" max="15878" width="22.140625" style="79" bestFit="1" customWidth="1"/>
    <col min="15879" max="15879" width="25.7109375" style="79" customWidth="1"/>
    <col min="15880" max="15885" width="0" style="79" hidden="1" customWidth="1"/>
    <col min="15886" max="15886" width="9.140625" style="79"/>
    <col min="15887" max="15887" width="14.28515625" style="79" bestFit="1" customWidth="1"/>
    <col min="15888" max="16128" width="9.140625" style="79"/>
    <col min="16129" max="16129" width="49.140625" style="79" bestFit="1" customWidth="1"/>
    <col min="16130" max="16133" width="18" style="79" customWidth="1"/>
    <col min="16134" max="16134" width="22.140625" style="79" bestFit="1" customWidth="1"/>
    <col min="16135" max="16135" width="25.7109375" style="79" customWidth="1"/>
    <col min="16136" max="16141" width="0" style="79" hidden="1" customWidth="1"/>
    <col min="16142" max="16142" width="9.140625" style="79"/>
    <col min="16143" max="16143" width="14.28515625" style="79" bestFit="1" customWidth="1"/>
    <col min="16144" max="16384" width="9.140625" style="79"/>
  </cols>
  <sheetData>
    <row r="1" spans="1:15" x14ac:dyDescent="0.25">
      <c r="A1" s="78">
        <f>'[1]B.F. 05 '!A5:K5</f>
        <v>43770</v>
      </c>
      <c r="D1" s="80"/>
      <c r="O1" s="81"/>
    </row>
    <row r="2" spans="1:15" ht="15.75" x14ac:dyDescent="0.25">
      <c r="A2" s="234" t="s">
        <v>0</v>
      </c>
      <c r="B2" s="234"/>
      <c r="C2" s="234"/>
      <c r="D2" s="234"/>
      <c r="E2" s="234"/>
      <c r="F2" s="234"/>
      <c r="G2" s="234"/>
      <c r="O2" s="81"/>
    </row>
    <row r="3" spans="1:15" ht="15.75" x14ac:dyDescent="0.25">
      <c r="A3" s="234" t="s">
        <v>71</v>
      </c>
      <c r="B3" s="234"/>
      <c r="C3" s="234"/>
      <c r="D3" s="234"/>
      <c r="E3" s="234"/>
      <c r="F3" s="234"/>
      <c r="G3" s="234"/>
      <c r="O3" s="81"/>
    </row>
    <row r="4" spans="1:15" ht="15.75" x14ac:dyDescent="0.25">
      <c r="A4" s="234" t="s">
        <v>72</v>
      </c>
      <c r="B4" s="234"/>
      <c r="C4" s="234"/>
      <c r="D4" s="234"/>
      <c r="E4" s="234"/>
      <c r="F4" s="234"/>
      <c r="G4" s="234"/>
      <c r="I4" s="82"/>
      <c r="O4" s="82"/>
    </row>
    <row r="5" spans="1:15" ht="15.75" x14ac:dyDescent="0.25">
      <c r="A5" s="234" t="s">
        <v>73</v>
      </c>
      <c r="B5" s="234"/>
      <c r="C5" s="234"/>
      <c r="D5" s="234"/>
      <c r="E5" s="234"/>
      <c r="F5" s="234"/>
      <c r="G5" s="234"/>
    </row>
    <row r="6" spans="1:15" x14ac:dyDescent="0.25">
      <c r="A6" s="83"/>
      <c r="B6" s="83"/>
      <c r="C6" s="83"/>
      <c r="D6" s="83"/>
      <c r="E6" s="83"/>
    </row>
    <row r="7" spans="1:15" x14ac:dyDescent="0.25">
      <c r="A7" s="84" t="s">
        <v>74</v>
      </c>
      <c r="B7" s="235" t="s">
        <v>75</v>
      </c>
      <c r="C7" s="235"/>
      <c r="D7" s="235" t="s">
        <v>76</v>
      </c>
      <c r="E7" s="235"/>
      <c r="F7" s="85" t="s">
        <v>77</v>
      </c>
      <c r="G7" s="85" t="s">
        <v>78</v>
      </c>
    </row>
    <row r="8" spans="1:15" ht="15.75" x14ac:dyDescent="0.25">
      <c r="A8" s="86" t="s">
        <v>79</v>
      </c>
      <c r="B8" s="233">
        <f>SUM(B9:B16)</f>
        <v>131476289</v>
      </c>
      <c r="C8" s="233"/>
      <c r="D8" s="233">
        <f>SUM(D9:D16)</f>
        <v>131476289</v>
      </c>
      <c r="E8" s="233"/>
      <c r="F8" s="87">
        <f>SUM(F9:F16)</f>
        <v>22366256.390000001</v>
      </c>
      <c r="G8" s="87">
        <f>F8-D8</f>
        <v>-109110032.61</v>
      </c>
    </row>
    <row r="9" spans="1:15" ht="15.75" x14ac:dyDescent="0.25">
      <c r="A9" s="88" t="s">
        <v>80</v>
      </c>
      <c r="B9" s="229"/>
      <c r="C9" s="230"/>
      <c r="D9" s="229"/>
      <c r="E9" s="230"/>
      <c r="F9" s="89"/>
      <c r="G9" s="89">
        <f t="shared" ref="G9:G22" si="0">F9-D9</f>
        <v>0</v>
      </c>
    </row>
    <row r="10" spans="1:15" ht="15.75" x14ac:dyDescent="0.25">
      <c r="A10" s="88" t="s">
        <v>81</v>
      </c>
      <c r="B10" s="231"/>
      <c r="C10" s="232"/>
      <c r="D10" s="229"/>
      <c r="E10" s="230"/>
      <c r="F10" s="89"/>
      <c r="G10" s="89">
        <f t="shared" si="0"/>
        <v>0</v>
      </c>
    </row>
    <row r="11" spans="1:15" ht="15.75" x14ac:dyDescent="0.25">
      <c r="A11" s="88" t="s">
        <v>82</v>
      </c>
      <c r="B11" s="231">
        <f>HLOOKUP($A$1,[1]DADOS!$A1:$IV174,4,0)</f>
        <v>17476289</v>
      </c>
      <c r="C11" s="232"/>
      <c r="D11" s="229">
        <f>$B$11</f>
        <v>17476289</v>
      </c>
      <c r="E11" s="230"/>
      <c r="F11" s="90">
        <f>HLOOKUP($A$1,[1]DADOS!$A1:$IV174,8,0)</f>
        <v>12909541.93</v>
      </c>
      <c r="G11" s="89">
        <f>F11-D11</f>
        <v>-4566747.07</v>
      </c>
    </row>
    <row r="12" spans="1:15" ht="15.75" x14ac:dyDescent="0.25">
      <c r="A12" s="88" t="s">
        <v>83</v>
      </c>
      <c r="B12" s="231"/>
      <c r="C12" s="232"/>
      <c r="D12" s="229">
        <f>B12</f>
        <v>0</v>
      </c>
      <c r="E12" s="230"/>
      <c r="F12" s="89"/>
      <c r="G12" s="89">
        <f t="shared" si="0"/>
        <v>0</v>
      </c>
    </row>
    <row r="13" spans="1:15" ht="15.75" x14ac:dyDescent="0.25">
      <c r="A13" s="88" t="s">
        <v>84</v>
      </c>
      <c r="B13" s="229"/>
      <c r="C13" s="230"/>
      <c r="D13" s="229">
        <f>B13</f>
        <v>0</v>
      </c>
      <c r="E13" s="230"/>
      <c r="F13" s="89"/>
      <c r="G13" s="89">
        <f t="shared" si="0"/>
        <v>0</v>
      </c>
    </row>
    <row r="14" spans="1:15" ht="15.75" x14ac:dyDescent="0.25">
      <c r="A14" s="88" t="s">
        <v>85</v>
      </c>
      <c r="B14" s="229"/>
      <c r="C14" s="230"/>
      <c r="D14" s="229">
        <f>B14</f>
        <v>0</v>
      </c>
      <c r="E14" s="230"/>
      <c r="F14" s="89"/>
      <c r="G14" s="89">
        <f t="shared" si="0"/>
        <v>0</v>
      </c>
    </row>
    <row r="15" spans="1:15" ht="15.75" x14ac:dyDescent="0.25">
      <c r="A15" s="88" t="s">
        <v>86</v>
      </c>
      <c r="B15" s="229"/>
      <c r="C15" s="230"/>
      <c r="D15" s="229">
        <f>B15</f>
        <v>0</v>
      </c>
      <c r="E15" s="230"/>
      <c r="F15" s="89">
        <f>HLOOKUP($A$1,[1]DADOS!$A1:$IV174,53,0)+HLOOKUP($A$1,[1]DADOS!$A1:$IV174,59,0)</f>
        <v>232210.64</v>
      </c>
      <c r="G15" s="89">
        <f>F15-D15</f>
        <v>232210.64</v>
      </c>
    </row>
    <row r="16" spans="1:15" ht="15.75" x14ac:dyDescent="0.25">
      <c r="A16" s="88" t="s">
        <v>87</v>
      </c>
      <c r="B16" s="231">
        <f>HLOOKUP($A$1,[1]DADOS!$A1:$IV174,12,0)</f>
        <v>114000000</v>
      </c>
      <c r="C16" s="232"/>
      <c r="D16" s="229">
        <f>$B$16</f>
        <v>114000000</v>
      </c>
      <c r="E16" s="230"/>
      <c r="F16" s="90">
        <f>HLOOKUP($A$1,[1]DADOS!$A1:$IV174,16,0)+HLOOKUP($A$1,[1]DADOS!$A1:$IV174,26,0)+HLOOKUP($A$1,[1]DADOS!$A1:$IV174,34,0)+HLOOKUP($A$1,[1]DADOS!$A1:$IV174,44,0)</f>
        <v>9224503.8200000003</v>
      </c>
      <c r="G16" s="89">
        <f>F16-D16</f>
        <v>-104775496.18000001</v>
      </c>
    </row>
    <row r="17" spans="1:9" ht="15.75" x14ac:dyDescent="0.25">
      <c r="A17" s="91" t="s">
        <v>88</v>
      </c>
      <c r="B17" s="228">
        <f>SUM(B18:B22)</f>
        <v>0</v>
      </c>
      <c r="C17" s="228"/>
      <c r="D17" s="228">
        <f>SUM(D18:D22)</f>
        <v>0</v>
      </c>
      <c r="E17" s="228"/>
      <c r="F17" s="92">
        <f>SUM(F18:F22)</f>
        <v>0</v>
      </c>
      <c r="G17" s="92">
        <f t="shared" si="0"/>
        <v>0</v>
      </c>
    </row>
    <row r="18" spans="1:9" ht="15.75" x14ac:dyDescent="0.25">
      <c r="A18" s="88" t="s">
        <v>89</v>
      </c>
      <c r="B18" s="222"/>
      <c r="C18" s="223"/>
      <c r="D18" s="222"/>
      <c r="E18" s="223"/>
      <c r="F18" s="93"/>
      <c r="G18" s="94">
        <f t="shared" si="0"/>
        <v>0</v>
      </c>
    </row>
    <row r="19" spans="1:9" ht="15.75" x14ac:dyDescent="0.25">
      <c r="A19" s="88" t="s">
        <v>90</v>
      </c>
      <c r="B19" s="222"/>
      <c r="C19" s="223"/>
      <c r="D19" s="222"/>
      <c r="E19" s="223"/>
      <c r="F19" s="93"/>
      <c r="G19" s="94">
        <f t="shared" si="0"/>
        <v>0</v>
      </c>
    </row>
    <row r="20" spans="1:9" ht="15.75" x14ac:dyDescent="0.25">
      <c r="A20" s="88" t="s">
        <v>91</v>
      </c>
      <c r="B20" s="222"/>
      <c r="C20" s="223"/>
      <c r="D20" s="222"/>
      <c r="E20" s="223"/>
      <c r="F20" s="93"/>
      <c r="G20" s="94">
        <f t="shared" si="0"/>
        <v>0</v>
      </c>
    </row>
    <row r="21" spans="1:9" ht="15.75" x14ac:dyDescent="0.25">
      <c r="A21" s="88" t="s">
        <v>92</v>
      </c>
      <c r="B21" s="222"/>
      <c r="C21" s="223"/>
      <c r="D21" s="222"/>
      <c r="E21" s="223"/>
      <c r="F21" s="93"/>
      <c r="G21" s="94">
        <f t="shared" si="0"/>
        <v>0</v>
      </c>
    </row>
    <row r="22" spans="1:9" ht="15.75" x14ac:dyDescent="0.25">
      <c r="A22" s="88" t="s">
        <v>93</v>
      </c>
      <c r="B22" s="222"/>
      <c r="C22" s="223"/>
      <c r="D22" s="222"/>
      <c r="E22" s="223"/>
      <c r="F22" s="93"/>
      <c r="G22" s="94">
        <f t="shared" si="0"/>
        <v>0</v>
      </c>
    </row>
    <row r="23" spans="1:9" ht="15.75" hidden="1" x14ac:dyDescent="0.25">
      <c r="A23" s="95"/>
      <c r="B23" s="225"/>
      <c r="C23" s="226"/>
      <c r="D23" s="225"/>
      <c r="E23" s="226"/>
      <c r="F23" s="96"/>
      <c r="G23" s="96"/>
    </row>
    <row r="24" spans="1:9" s="98" customFormat="1" ht="15.75" x14ac:dyDescent="0.25">
      <c r="A24" s="91" t="s">
        <v>94</v>
      </c>
      <c r="B24" s="220">
        <f>B8+B17+B23</f>
        <v>131476289</v>
      </c>
      <c r="C24" s="220"/>
      <c r="D24" s="220">
        <f>D8+D17+D23</f>
        <v>131476289</v>
      </c>
      <c r="E24" s="220"/>
      <c r="F24" s="97">
        <f>F8+F17+F23</f>
        <v>22366256.390000001</v>
      </c>
      <c r="G24" s="97">
        <f>F24-D24</f>
        <v>-109110032.61</v>
      </c>
      <c r="I24" s="99"/>
    </row>
    <row r="25" spans="1:9" ht="15.75" x14ac:dyDescent="0.25">
      <c r="A25" s="86" t="s">
        <v>95</v>
      </c>
      <c r="B25" s="227">
        <f>SUM(B26:B31)</f>
        <v>0</v>
      </c>
      <c r="C25" s="227"/>
      <c r="D25" s="227">
        <f>SUM(D26:D31)</f>
        <v>0</v>
      </c>
      <c r="E25" s="227"/>
      <c r="F25" s="100">
        <f>SUM(F26:F31)</f>
        <v>0</v>
      </c>
      <c r="G25" s="100">
        <f>F25-D25</f>
        <v>0</v>
      </c>
    </row>
    <row r="26" spans="1:9" ht="15.75" x14ac:dyDescent="0.25">
      <c r="A26" s="88" t="s">
        <v>96</v>
      </c>
      <c r="B26" s="218"/>
      <c r="C26" s="224"/>
      <c r="D26" s="222"/>
      <c r="E26" s="223"/>
      <c r="F26" s="93"/>
      <c r="G26" s="93"/>
    </row>
    <row r="27" spans="1:9" ht="15.75" x14ac:dyDescent="0.25">
      <c r="A27" s="88" t="s">
        <v>97</v>
      </c>
      <c r="B27" s="222"/>
      <c r="C27" s="223"/>
      <c r="D27" s="222"/>
      <c r="E27" s="223"/>
      <c r="F27" s="93"/>
      <c r="G27" s="93"/>
    </row>
    <row r="28" spans="1:9" ht="15.75" x14ac:dyDescent="0.25">
      <c r="A28" s="88" t="s">
        <v>98</v>
      </c>
      <c r="B28" s="222"/>
      <c r="C28" s="223"/>
      <c r="D28" s="222"/>
      <c r="E28" s="223"/>
      <c r="F28" s="93"/>
      <c r="G28" s="93"/>
    </row>
    <row r="29" spans="1:9" ht="15.75" x14ac:dyDescent="0.25">
      <c r="A29" s="88" t="s">
        <v>99</v>
      </c>
      <c r="B29" s="222"/>
      <c r="C29" s="223"/>
      <c r="D29" s="222"/>
      <c r="E29" s="223"/>
      <c r="F29" s="93"/>
      <c r="G29" s="93"/>
    </row>
    <row r="30" spans="1:9" ht="15.75" x14ac:dyDescent="0.25">
      <c r="A30" s="88" t="s">
        <v>97</v>
      </c>
      <c r="B30" s="222"/>
      <c r="C30" s="223"/>
      <c r="D30" s="222"/>
      <c r="E30" s="223"/>
      <c r="F30" s="93"/>
      <c r="G30" s="93"/>
    </row>
    <row r="31" spans="1:9" ht="15.75" x14ac:dyDescent="0.25">
      <c r="A31" s="88" t="s">
        <v>98</v>
      </c>
      <c r="B31" s="222"/>
      <c r="C31" s="223"/>
      <c r="D31" s="222"/>
      <c r="E31" s="223"/>
      <c r="F31" s="93"/>
      <c r="G31" s="93"/>
    </row>
    <row r="32" spans="1:9" ht="15.75" x14ac:dyDescent="0.25">
      <c r="A32" s="91" t="s">
        <v>100</v>
      </c>
      <c r="B32" s="220">
        <f>B25+B24</f>
        <v>131476289</v>
      </c>
      <c r="C32" s="220"/>
      <c r="D32" s="220">
        <f>D25+D24</f>
        <v>131476289</v>
      </c>
      <c r="E32" s="220"/>
      <c r="F32" s="97">
        <f>F25+F24</f>
        <v>22366256.390000001</v>
      </c>
      <c r="G32" s="97">
        <f>F32-D32</f>
        <v>-109110032.61</v>
      </c>
    </row>
    <row r="33" spans="1:9" ht="15.75" x14ac:dyDescent="0.25">
      <c r="A33" s="95" t="s">
        <v>101</v>
      </c>
      <c r="B33" s="221">
        <f>IF(B32&gt;B59,0,B59-B32)</f>
        <v>0</v>
      </c>
      <c r="C33" s="221"/>
      <c r="D33" s="221">
        <f>IF(D32&gt;C59,0,C59-D32)</f>
        <v>0</v>
      </c>
      <c r="E33" s="221"/>
      <c r="F33" s="101">
        <f>IF(F32&gt;D59,0,D59-F32)</f>
        <v>23802073.18</v>
      </c>
      <c r="G33" s="101">
        <f>+F33-D33</f>
        <v>23802073.18</v>
      </c>
      <c r="H33" s="102"/>
    </row>
    <row r="34" spans="1:9" s="98" customFormat="1" ht="15.75" x14ac:dyDescent="0.25">
      <c r="A34" s="91" t="s">
        <v>102</v>
      </c>
      <c r="B34" s="220">
        <f>B32+B33</f>
        <v>131476289</v>
      </c>
      <c r="C34" s="220"/>
      <c r="D34" s="220">
        <f>D32+D33</f>
        <v>131476289</v>
      </c>
      <c r="E34" s="220"/>
      <c r="F34" s="97">
        <f>F32+F33</f>
        <v>46168329.57</v>
      </c>
      <c r="G34" s="97">
        <f>F34-D34</f>
        <v>-85307959.430000007</v>
      </c>
      <c r="I34" s="99"/>
    </row>
    <row r="35" spans="1:9" ht="15.75" x14ac:dyDescent="0.25">
      <c r="A35" s="103" t="s">
        <v>103</v>
      </c>
      <c r="B35" s="213">
        <f>SUM(B36:C38)</f>
        <v>0</v>
      </c>
      <c r="C35" s="214"/>
      <c r="D35" s="213">
        <f>SUM(D36:E38)</f>
        <v>0</v>
      </c>
      <c r="E35" s="214"/>
      <c r="F35" s="104">
        <f>SUM(F36:F38)</f>
        <v>0</v>
      </c>
      <c r="G35" s="104">
        <f>SUM(G36:G38)</f>
        <v>0</v>
      </c>
    </row>
    <row r="36" spans="1:9" x14ac:dyDescent="0.25">
      <c r="A36" s="105" t="s">
        <v>104</v>
      </c>
      <c r="B36" s="215"/>
      <c r="C36" s="216"/>
      <c r="D36" s="217"/>
      <c r="E36" s="217"/>
      <c r="F36" s="106"/>
      <c r="G36" s="106"/>
    </row>
    <row r="37" spans="1:9" ht="15.75" x14ac:dyDescent="0.25">
      <c r="A37" s="107" t="s">
        <v>105</v>
      </c>
      <c r="B37" s="218"/>
      <c r="C37" s="219"/>
      <c r="D37" s="218"/>
      <c r="E37" s="219"/>
      <c r="F37" s="108"/>
      <c r="G37" s="109"/>
      <c r="H37" s="108"/>
    </row>
    <row r="38" spans="1:9" ht="15.75" x14ac:dyDescent="0.25">
      <c r="A38" s="110" t="s">
        <v>106</v>
      </c>
      <c r="B38" s="111"/>
      <c r="C38" s="112"/>
      <c r="D38" s="111"/>
      <c r="E38" s="112"/>
      <c r="F38" s="111"/>
      <c r="G38" s="113"/>
      <c r="H38" s="108"/>
    </row>
    <row r="40" spans="1:9" s="116" customFormat="1" ht="30" x14ac:dyDescent="0.2">
      <c r="A40" s="114" t="s">
        <v>107</v>
      </c>
      <c r="B40" s="115" t="s">
        <v>108</v>
      </c>
      <c r="C40" s="115" t="s">
        <v>109</v>
      </c>
      <c r="D40" s="115" t="s">
        <v>110</v>
      </c>
      <c r="E40" s="115" t="s">
        <v>111</v>
      </c>
      <c r="F40" s="115" t="s">
        <v>112</v>
      </c>
      <c r="G40" s="115" t="s">
        <v>113</v>
      </c>
      <c r="I40" s="117"/>
    </row>
    <row r="41" spans="1:9" ht="15.75" x14ac:dyDescent="0.25">
      <c r="A41" s="86" t="s">
        <v>114</v>
      </c>
      <c r="B41" s="118">
        <f>SUM(B42:B44)</f>
        <v>111921421</v>
      </c>
      <c r="C41" s="118">
        <f>SUM(C42:C44)</f>
        <v>107470015.23999999</v>
      </c>
      <c r="D41" s="118">
        <f>SUM(D42:D44)</f>
        <v>46168329.57</v>
      </c>
      <c r="E41" s="118">
        <f>SUM(E42:E44)</f>
        <v>42942026.43</v>
      </c>
      <c r="F41" s="118">
        <f>SUM(F42:F44)</f>
        <v>42341951.310000002</v>
      </c>
      <c r="G41" s="118">
        <f>C41-D41</f>
        <v>61301685.669999994</v>
      </c>
    </row>
    <row r="42" spans="1:9" ht="15.75" x14ac:dyDescent="0.25">
      <c r="A42" s="88" t="s">
        <v>115</v>
      </c>
      <c r="B42" s="88"/>
      <c r="C42" s="88"/>
      <c r="D42" s="88"/>
      <c r="E42" s="88"/>
      <c r="F42" s="88"/>
      <c r="G42" s="88"/>
    </row>
    <row r="43" spans="1:9" ht="15.75" x14ac:dyDescent="0.25">
      <c r="A43" s="88" t="s">
        <v>116</v>
      </c>
      <c r="B43" s="88"/>
      <c r="C43" s="88"/>
      <c r="D43" s="88"/>
      <c r="E43" s="88"/>
      <c r="F43" s="88"/>
      <c r="G43" s="88"/>
    </row>
    <row r="44" spans="1:9" ht="15.75" x14ac:dyDescent="0.25">
      <c r="A44" s="88" t="s">
        <v>117</v>
      </c>
      <c r="B44" s="119">
        <f>HLOOKUP($A$1,[1]DADOS!$A1:$IV174,100,0)</f>
        <v>111921421</v>
      </c>
      <c r="C44" s="120">
        <f>HLOOKUP($A$1,[1]DADOS!$A1:$IV174,101,0)</f>
        <v>107470015.23999999</v>
      </c>
      <c r="D44" s="119">
        <f>HLOOKUP($A$1,[1]DADOS!$A1:$IV174,102,0)</f>
        <v>46168329.57</v>
      </c>
      <c r="E44" s="119">
        <f>HLOOKUP($A$1,[1]DADOS!$A1:$IV174,103,0)</f>
        <v>42942026.43</v>
      </c>
      <c r="F44" s="119">
        <f>HLOOKUP($A$1,[1]DADOS!$A1:$IV174,104,0)</f>
        <v>42341951.310000002</v>
      </c>
      <c r="G44" s="120">
        <f>C44-D44</f>
        <v>61301685.669999994</v>
      </c>
    </row>
    <row r="45" spans="1:9" ht="15.75" x14ac:dyDescent="0.25">
      <c r="A45" s="91" t="s">
        <v>118</v>
      </c>
      <c r="B45" s="121">
        <f>SUM(B46:B48)</f>
        <v>16412981</v>
      </c>
      <c r="C45" s="121">
        <f>SUM(C46:C48)</f>
        <v>15486710.939999999</v>
      </c>
      <c r="D45" s="121">
        <f>SUM(D46:D48)</f>
        <v>0</v>
      </c>
      <c r="E45" s="121">
        <f>SUM(E46:E48)</f>
        <v>0</v>
      </c>
      <c r="F45" s="121">
        <f>SUM(F46:F48)</f>
        <v>0</v>
      </c>
      <c r="G45" s="122">
        <f>C45-D45</f>
        <v>15486710.939999999</v>
      </c>
    </row>
    <row r="46" spans="1:9" ht="15.75" x14ac:dyDescent="0.25">
      <c r="A46" s="88" t="s">
        <v>119</v>
      </c>
      <c r="B46" s="119">
        <f>HLOOKUP($A$1,[1]DADOS!$A1:$IV174,106,0)</f>
        <v>16412981</v>
      </c>
      <c r="C46" s="120">
        <f>HLOOKUP($A$1,[1]DADOS!$A1:$IV174,107,0)</f>
        <v>15486710.939999999</v>
      </c>
      <c r="D46" s="119">
        <f>HLOOKUP($A$1,[1]DADOS!$A1:$IV174,108,0)</f>
        <v>0</v>
      </c>
      <c r="E46" s="119">
        <f>HLOOKUP($A$1,[1]DADOS!$A1:$IV174,109,0)</f>
        <v>0</v>
      </c>
      <c r="F46" s="119">
        <f>HLOOKUP($A$1,[1]DADOS!$A1:$IV174,110,0)</f>
        <v>0</v>
      </c>
      <c r="G46" s="120">
        <f>C46-D46</f>
        <v>15486710.939999999</v>
      </c>
    </row>
    <row r="47" spans="1:9" ht="15.75" x14ac:dyDescent="0.25">
      <c r="A47" s="88" t="s">
        <v>120</v>
      </c>
      <c r="B47" s="88"/>
      <c r="C47" s="88"/>
      <c r="D47" s="88"/>
      <c r="E47" s="88"/>
      <c r="F47" s="88"/>
      <c r="G47" s="88"/>
    </row>
    <row r="48" spans="1:9" ht="15.75" x14ac:dyDescent="0.25">
      <c r="A48" s="88" t="s">
        <v>121</v>
      </c>
      <c r="B48" s="88"/>
      <c r="C48" s="88"/>
      <c r="D48" s="88"/>
      <c r="E48" s="88"/>
      <c r="F48" s="88"/>
      <c r="G48" s="88"/>
    </row>
    <row r="49" spans="1:16" ht="15.75" x14ac:dyDescent="0.25">
      <c r="A49" s="123" t="s">
        <v>122</v>
      </c>
      <c r="B49" s="123"/>
      <c r="C49" s="123"/>
      <c r="D49" s="123"/>
      <c r="E49" s="123"/>
      <c r="F49" s="123"/>
      <c r="G49" s="123"/>
    </row>
    <row r="50" spans="1:16" ht="15.75" hidden="1" x14ac:dyDescent="0.25">
      <c r="A50" s="123" t="s">
        <v>123</v>
      </c>
      <c r="B50" s="123"/>
      <c r="C50" s="123"/>
      <c r="D50" s="123"/>
      <c r="E50" s="123"/>
      <c r="F50" s="123"/>
      <c r="G50" s="123"/>
    </row>
    <row r="51" spans="1:16" ht="15.75" x14ac:dyDescent="0.25">
      <c r="A51" s="91" t="s">
        <v>124</v>
      </c>
      <c r="B51" s="122">
        <f>B41+B45+B49+B50</f>
        <v>128334402</v>
      </c>
      <c r="C51" s="122">
        <f>C41+C45+C49+C50</f>
        <v>122956726.17999999</v>
      </c>
      <c r="D51" s="122">
        <f>D41+D45+D49+D50</f>
        <v>46168329.57</v>
      </c>
      <c r="E51" s="122">
        <f>E41+E45+E49+E50</f>
        <v>42942026.43</v>
      </c>
      <c r="F51" s="122">
        <f>F41+F45+F49+F50</f>
        <v>42341951.310000002</v>
      </c>
      <c r="G51" s="122">
        <f>C51-D51</f>
        <v>76788396.609999985</v>
      </c>
    </row>
    <row r="52" spans="1:16" ht="15.75" x14ac:dyDescent="0.25">
      <c r="A52" s="86" t="s">
        <v>125</v>
      </c>
      <c r="B52" s="104">
        <f>SUM(B53:B58)</f>
        <v>0</v>
      </c>
      <c r="C52" s="104">
        <f>SUM(C53:C58)</f>
        <v>0</v>
      </c>
      <c r="D52" s="104">
        <f>SUM(D53:D58)</f>
        <v>0</v>
      </c>
      <c r="E52" s="104">
        <f>SUM(E53:E58)</f>
        <v>0</v>
      </c>
      <c r="F52" s="104">
        <f>SUM(F53:F58)</f>
        <v>0</v>
      </c>
      <c r="G52" s="104">
        <f>(C52-D52)</f>
        <v>0</v>
      </c>
    </row>
    <row r="53" spans="1:16" ht="15.75" x14ac:dyDescent="0.25">
      <c r="A53" s="88" t="s">
        <v>126</v>
      </c>
      <c r="B53" s="88"/>
      <c r="C53" s="88"/>
      <c r="D53" s="88"/>
      <c r="E53" s="88"/>
      <c r="F53" s="88"/>
      <c r="G53" s="88"/>
    </row>
    <row r="54" spans="1:16" ht="15.75" x14ac:dyDescent="0.25">
      <c r="A54" s="88" t="s">
        <v>127</v>
      </c>
      <c r="B54" s="88"/>
      <c r="C54" s="88"/>
      <c r="D54" s="88"/>
      <c r="E54" s="88"/>
      <c r="F54" s="88"/>
      <c r="G54" s="88"/>
    </row>
    <row r="55" spans="1:16" ht="15.75" x14ac:dyDescent="0.25">
      <c r="A55" s="88" t="s">
        <v>128</v>
      </c>
      <c r="B55" s="88"/>
      <c r="C55" s="88"/>
      <c r="D55" s="88"/>
      <c r="E55" s="88"/>
      <c r="F55" s="88"/>
      <c r="G55" s="88"/>
    </row>
    <row r="56" spans="1:16" ht="15.75" x14ac:dyDescent="0.25">
      <c r="A56" s="88" t="s">
        <v>129</v>
      </c>
      <c r="B56" s="88"/>
      <c r="C56" s="88"/>
      <c r="D56" s="88"/>
      <c r="E56" s="88"/>
      <c r="F56" s="88"/>
      <c r="G56" s="88"/>
    </row>
    <row r="57" spans="1:16" ht="15.75" x14ac:dyDescent="0.25">
      <c r="A57" s="88" t="s">
        <v>130</v>
      </c>
      <c r="B57" s="88"/>
      <c r="C57" s="88"/>
      <c r="D57" s="88"/>
      <c r="E57" s="88"/>
      <c r="F57" s="88"/>
      <c r="G57" s="88"/>
    </row>
    <row r="58" spans="1:16" ht="15.75" x14ac:dyDescent="0.25">
      <c r="A58" s="88" t="s">
        <v>128</v>
      </c>
      <c r="B58" s="88"/>
      <c r="C58" s="88"/>
      <c r="D58" s="88"/>
      <c r="E58" s="88"/>
      <c r="F58" s="88"/>
      <c r="G58" s="88"/>
    </row>
    <row r="59" spans="1:16" ht="15.75" x14ac:dyDescent="0.25">
      <c r="A59" s="91" t="s">
        <v>131</v>
      </c>
      <c r="B59" s="122">
        <f>(B51+B52)</f>
        <v>128334402</v>
      </c>
      <c r="C59" s="122">
        <f>(C51+C52)</f>
        <v>122956726.17999999</v>
      </c>
      <c r="D59" s="122">
        <f>(D51+D52)</f>
        <v>46168329.57</v>
      </c>
      <c r="E59" s="122">
        <f>(E51+E52)</f>
        <v>42942026.43</v>
      </c>
      <c r="F59" s="122">
        <f>(F51+F52)</f>
        <v>42341951.310000002</v>
      </c>
      <c r="G59" s="121">
        <f>(C59-D59)</f>
        <v>76788396.609999985</v>
      </c>
    </row>
    <row r="60" spans="1:16" ht="15.75" x14ac:dyDescent="0.25">
      <c r="A60" s="91" t="s">
        <v>132</v>
      </c>
      <c r="B60" s="121">
        <f>IF(B32&gt;B59,B32-B59,0)</f>
        <v>3141887</v>
      </c>
      <c r="C60" s="121">
        <f>IF(D32&gt;C59,D32-C59,0)</f>
        <v>8519562.8200000077</v>
      </c>
      <c r="D60" s="121">
        <f>IF(F32&gt;D59,F32-D59,0)</f>
        <v>0</v>
      </c>
      <c r="E60" s="121">
        <f>IF(E32&gt;E59,E32-E59,0)</f>
        <v>0</v>
      </c>
      <c r="F60" s="121">
        <v>0</v>
      </c>
      <c r="G60" s="97">
        <f>+C60-D60</f>
        <v>8519562.8200000077</v>
      </c>
    </row>
    <row r="61" spans="1:16" ht="15.75" x14ac:dyDescent="0.25">
      <c r="A61" s="91" t="s">
        <v>133</v>
      </c>
      <c r="B61" s="122">
        <f>B59+B60</f>
        <v>131476289</v>
      </c>
      <c r="C61" s="122">
        <f>C59+C60</f>
        <v>131476289</v>
      </c>
      <c r="D61" s="122">
        <f>D59+D60</f>
        <v>46168329.57</v>
      </c>
      <c r="E61" s="122">
        <f>E59+E60</f>
        <v>42942026.43</v>
      </c>
      <c r="F61" s="122">
        <f>F59+F60</f>
        <v>42341951.310000002</v>
      </c>
      <c r="G61" s="121">
        <f>(C61-D61)</f>
        <v>85307959.430000007</v>
      </c>
    </row>
    <row r="62" spans="1:16" ht="15.75" x14ac:dyDescent="0.25">
      <c r="A62" s="124" t="s">
        <v>134</v>
      </c>
      <c r="B62" s="122"/>
      <c r="C62" s="122"/>
      <c r="D62" s="122"/>
      <c r="E62" s="122"/>
      <c r="F62" s="122"/>
      <c r="G62" s="121"/>
    </row>
    <row r="63" spans="1:16" s="45" customFormat="1" ht="13.5" customHeight="1" x14ac:dyDescent="0.2">
      <c r="A63" s="125" t="s">
        <v>44</v>
      </c>
      <c r="B63" s="41"/>
      <c r="C63" s="41"/>
      <c r="D63" s="41"/>
      <c r="E63" s="42"/>
      <c r="F63" s="42"/>
      <c r="G63" s="42"/>
      <c r="H63" s="41"/>
      <c r="I63" s="126"/>
      <c r="J63" s="41"/>
      <c r="K63" s="42"/>
      <c r="L63" s="42"/>
      <c r="M63" s="42"/>
      <c r="N63" s="43"/>
    </row>
    <row r="64" spans="1:16" s="45" customFormat="1" ht="15" customHeight="1" x14ac:dyDescent="0.2">
      <c r="A64" s="125" t="s">
        <v>45</v>
      </c>
      <c r="B64" s="47"/>
      <c r="C64" s="47"/>
      <c r="D64" s="47"/>
      <c r="E64" s="47"/>
      <c r="F64" s="47"/>
      <c r="G64" s="47"/>
      <c r="H64" s="47"/>
      <c r="L64" s="47"/>
      <c r="M64" s="47"/>
      <c r="N64" s="129"/>
      <c r="P64" s="130"/>
    </row>
    <row r="65" spans="1:14" s="45" customFormat="1" ht="14.85" customHeight="1" x14ac:dyDescent="0.2">
      <c r="A65" s="131" t="s">
        <v>46</v>
      </c>
      <c r="B65" s="131"/>
      <c r="C65" s="131"/>
      <c r="D65" s="131"/>
      <c r="E65" s="131"/>
      <c r="F65" s="131"/>
      <c r="G65" s="131"/>
      <c r="H65" s="132"/>
      <c r="I65" s="133"/>
      <c r="J65" s="132"/>
      <c r="K65" s="132"/>
      <c r="L65" s="132"/>
      <c r="M65" s="134"/>
      <c r="N65" s="48"/>
    </row>
    <row r="66" spans="1:14" s="45" customFormat="1" ht="14.85" customHeight="1" x14ac:dyDescent="0.2">
      <c r="A66" s="135" t="s">
        <v>47</v>
      </c>
      <c r="B66" s="135"/>
      <c r="C66" s="135"/>
      <c r="D66" s="135"/>
      <c r="E66" s="135"/>
      <c r="F66" s="135"/>
      <c r="G66" s="135"/>
      <c r="H66" s="135"/>
      <c r="I66" s="136"/>
      <c r="J66" s="135"/>
      <c r="K66" s="135"/>
      <c r="L66" s="135"/>
      <c r="M66" s="137"/>
      <c r="N66" s="138"/>
    </row>
    <row r="67" spans="1:14" s="45" customFormat="1" ht="14.85" customHeight="1" x14ac:dyDescent="0.2">
      <c r="A67" s="131" t="s">
        <v>135</v>
      </c>
      <c r="B67" s="131"/>
      <c r="C67" s="131"/>
      <c r="D67" s="131"/>
      <c r="E67" s="131"/>
      <c r="F67" s="131"/>
      <c r="G67" s="131"/>
      <c r="H67" s="132"/>
      <c r="I67" s="127"/>
      <c r="J67" s="128"/>
      <c r="K67" s="47"/>
      <c r="L67" s="132"/>
      <c r="M67" s="134"/>
      <c r="N67" s="138"/>
    </row>
    <row r="68" spans="1:14" s="45" customFormat="1" ht="14.85" customHeight="1" x14ac:dyDescent="0.2">
      <c r="A68" s="207" t="s">
        <v>136</v>
      </c>
      <c r="B68" s="207"/>
      <c r="C68" s="207"/>
      <c r="D68" s="207"/>
      <c r="E68" s="207"/>
      <c r="F68" s="207"/>
      <c r="G68" s="207"/>
      <c r="H68" s="132"/>
      <c r="I68" s="132"/>
      <c r="J68" s="132"/>
      <c r="K68" s="132"/>
      <c r="L68" s="132"/>
      <c r="M68" s="134"/>
      <c r="N68" s="138"/>
    </row>
    <row r="69" spans="1:14" s="45" customFormat="1" ht="14.85" customHeight="1" x14ac:dyDescent="0.2">
      <c r="A69" s="208" t="s">
        <v>137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N69" s="138"/>
    </row>
    <row r="70" spans="1:14" ht="12.75" customHeight="1" x14ac:dyDescent="0.25">
      <c r="A70" s="139"/>
    </row>
    <row r="71" spans="1:14" ht="12.75" customHeight="1" x14ac:dyDescent="0.25">
      <c r="A71" s="139"/>
    </row>
    <row r="72" spans="1:14" ht="12" customHeight="1" x14ac:dyDescent="0.25">
      <c r="A72" s="139"/>
    </row>
    <row r="76" spans="1:14" s="70" customFormat="1" ht="13.5" customHeight="1" x14ac:dyDescent="0.2">
      <c r="A76" s="60"/>
      <c r="B76" s="62"/>
      <c r="C76" s="62" t="s">
        <v>64</v>
      </c>
      <c r="D76" s="62"/>
      <c r="E76" s="209" t="s">
        <v>138</v>
      </c>
      <c r="F76" s="209"/>
      <c r="G76" s="209"/>
      <c r="H76" s="209"/>
      <c r="I76" s="140"/>
    </row>
    <row r="77" spans="1:14" s="1" customFormat="1" ht="13.5" customHeight="1" x14ac:dyDescent="0.2">
      <c r="A77" s="66"/>
      <c r="B77" s="66"/>
      <c r="C77" s="66" t="s">
        <v>66</v>
      </c>
      <c r="D77" s="66"/>
      <c r="E77" s="210" t="s">
        <v>67</v>
      </c>
      <c r="F77" s="210"/>
      <c r="G77" s="210"/>
      <c r="H77" s="210"/>
      <c r="I77" s="2"/>
    </row>
    <row r="78" spans="1:14" s="1" customFormat="1" ht="13.5" customHeight="1" x14ac:dyDescent="0.2">
      <c r="A78" s="68"/>
      <c r="B78" s="68"/>
      <c r="C78" s="68" t="s">
        <v>68</v>
      </c>
      <c r="D78" s="68"/>
      <c r="E78" s="211" t="s">
        <v>69</v>
      </c>
      <c r="F78" s="211"/>
      <c r="G78" s="211"/>
      <c r="H78" s="211"/>
      <c r="I78" s="2"/>
    </row>
    <row r="79" spans="1:14" s="1" customFormat="1" ht="13.5" customHeight="1" x14ac:dyDescent="0.2">
      <c r="A79" s="59"/>
      <c r="B79" s="68"/>
      <c r="C79" s="68" t="s">
        <v>70</v>
      </c>
      <c r="D79" s="68"/>
      <c r="E79" s="212" t="s">
        <v>70</v>
      </c>
      <c r="F79" s="212"/>
      <c r="G79" s="212"/>
      <c r="H79" s="212"/>
      <c r="I79" s="2"/>
    </row>
  </sheetData>
  <mergeCells count="72">
    <mergeCell ref="A2:G2"/>
    <mergeCell ref="A3:G3"/>
    <mergeCell ref="A4:G4"/>
    <mergeCell ref="A5:G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E79:H79"/>
    <mergeCell ref="B35:C35"/>
    <mergeCell ref="D35:E35"/>
    <mergeCell ref="B36:C36"/>
    <mergeCell ref="D36:E36"/>
    <mergeCell ref="B37:C37"/>
    <mergeCell ref="D37:E37"/>
    <mergeCell ref="A68:G68"/>
    <mergeCell ref="A69:L69"/>
    <mergeCell ref="E76:H76"/>
    <mergeCell ref="E77:H77"/>
    <mergeCell ref="E78:H78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89B7-1B2C-4762-9C0A-550DB4834A10}">
  <sheetPr codeName="Plan11">
    <tabColor indexed="42"/>
    <pageSetUpPr fitToPage="1"/>
  </sheetPr>
  <dimension ref="A1:L43"/>
  <sheetViews>
    <sheetView topLeftCell="A4" zoomScaleNormal="100" workbookViewId="0">
      <selection activeCell="M30" sqref="M30"/>
    </sheetView>
  </sheetViews>
  <sheetFormatPr defaultRowHeight="15" x14ac:dyDescent="0.25"/>
  <cols>
    <col min="1" max="1" width="47.7109375" style="79" bestFit="1" customWidth="1"/>
    <col min="2" max="2" width="21.42578125" style="79" customWidth="1"/>
    <col min="3" max="3" width="22.85546875" style="79" customWidth="1"/>
    <col min="4" max="4" width="16.42578125" style="79" bestFit="1" customWidth="1"/>
    <col min="5" max="5" width="15.140625" style="79" bestFit="1" customWidth="1"/>
    <col min="6" max="6" width="19.42578125" style="79" customWidth="1"/>
    <col min="7" max="7" width="19.140625" style="79" bestFit="1" customWidth="1"/>
    <col min="8" max="8" width="9.140625" style="79" customWidth="1"/>
    <col min="9" max="253" width="9.140625" style="79"/>
    <col min="254" max="254" width="47.7109375" style="79" bestFit="1" customWidth="1"/>
    <col min="255" max="255" width="21.42578125" style="79" customWidth="1"/>
    <col min="256" max="256" width="22.85546875" style="79" customWidth="1"/>
    <col min="257" max="257" width="16.42578125" style="79" bestFit="1" customWidth="1"/>
    <col min="258" max="258" width="15.140625" style="79" bestFit="1" customWidth="1"/>
    <col min="259" max="259" width="19.42578125" style="79" customWidth="1"/>
    <col min="260" max="260" width="19.140625" style="79" bestFit="1" customWidth="1"/>
    <col min="261" max="261" width="9.140625" style="79"/>
    <col min="262" max="262" width="15.28515625" style="79" customWidth="1"/>
    <col min="263" max="263" width="14.140625" style="79" customWidth="1"/>
    <col min="264" max="264" width="18" style="79" customWidth="1"/>
    <col min="265" max="509" width="9.140625" style="79"/>
    <col min="510" max="510" width="47.7109375" style="79" bestFit="1" customWidth="1"/>
    <col min="511" max="511" width="21.42578125" style="79" customWidth="1"/>
    <col min="512" max="512" width="22.85546875" style="79" customWidth="1"/>
    <col min="513" max="513" width="16.42578125" style="79" bestFit="1" customWidth="1"/>
    <col min="514" max="514" width="15.140625" style="79" bestFit="1" customWidth="1"/>
    <col min="515" max="515" width="19.42578125" style="79" customWidth="1"/>
    <col min="516" max="516" width="19.140625" style="79" bestFit="1" customWidth="1"/>
    <col min="517" max="517" width="9.140625" style="79"/>
    <col min="518" max="518" width="15.28515625" style="79" customWidth="1"/>
    <col min="519" max="519" width="14.140625" style="79" customWidth="1"/>
    <col min="520" max="520" width="18" style="79" customWidth="1"/>
    <col min="521" max="765" width="9.140625" style="79"/>
    <col min="766" max="766" width="47.7109375" style="79" bestFit="1" customWidth="1"/>
    <col min="767" max="767" width="21.42578125" style="79" customWidth="1"/>
    <col min="768" max="768" width="22.85546875" style="79" customWidth="1"/>
    <col min="769" max="769" width="16.42578125" style="79" bestFit="1" customWidth="1"/>
    <col min="770" max="770" width="15.140625" style="79" bestFit="1" customWidth="1"/>
    <col min="771" max="771" width="19.42578125" style="79" customWidth="1"/>
    <col min="772" max="772" width="19.140625" style="79" bestFit="1" customWidth="1"/>
    <col min="773" max="773" width="9.140625" style="79"/>
    <col min="774" max="774" width="15.28515625" style="79" customWidth="1"/>
    <col min="775" max="775" width="14.140625" style="79" customWidth="1"/>
    <col min="776" max="776" width="18" style="79" customWidth="1"/>
    <col min="777" max="1021" width="9.140625" style="79"/>
    <col min="1022" max="1022" width="47.7109375" style="79" bestFit="1" customWidth="1"/>
    <col min="1023" max="1023" width="21.42578125" style="79" customWidth="1"/>
    <col min="1024" max="1024" width="22.85546875" style="79" customWidth="1"/>
    <col min="1025" max="1025" width="16.42578125" style="79" bestFit="1" customWidth="1"/>
    <col min="1026" max="1026" width="15.140625" style="79" bestFit="1" customWidth="1"/>
    <col min="1027" max="1027" width="19.42578125" style="79" customWidth="1"/>
    <col min="1028" max="1028" width="19.140625" style="79" bestFit="1" customWidth="1"/>
    <col min="1029" max="1029" width="9.140625" style="79"/>
    <col min="1030" max="1030" width="15.28515625" style="79" customWidth="1"/>
    <col min="1031" max="1031" width="14.140625" style="79" customWidth="1"/>
    <col min="1032" max="1032" width="18" style="79" customWidth="1"/>
    <col min="1033" max="1277" width="9.140625" style="79"/>
    <col min="1278" max="1278" width="47.7109375" style="79" bestFit="1" customWidth="1"/>
    <col min="1279" max="1279" width="21.42578125" style="79" customWidth="1"/>
    <col min="1280" max="1280" width="22.85546875" style="79" customWidth="1"/>
    <col min="1281" max="1281" width="16.42578125" style="79" bestFit="1" customWidth="1"/>
    <col min="1282" max="1282" width="15.140625" style="79" bestFit="1" customWidth="1"/>
    <col min="1283" max="1283" width="19.42578125" style="79" customWidth="1"/>
    <col min="1284" max="1284" width="19.140625" style="79" bestFit="1" customWidth="1"/>
    <col min="1285" max="1285" width="9.140625" style="79"/>
    <col min="1286" max="1286" width="15.28515625" style="79" customWidth="1"/>
    <col min="1287" max="1287" width="14.140625" style="79" customWidth="1"/>
    <col min="1288" max="1288" width="18" style="79" customWidth="1"/>
    <col min="1289" max="1533" width="9.140625" style="79"/>
    <col min="1534" max="1534" width="47.7109375" style="79" bestFit="1" customWidth="1"/>
    <col min="1535" max="1535" width="21.42578125" style="79" customWidth="1"/>
    <col min="1536" max="1536" width="22.85546875" style="79" customWidth="1"/>
    <col min="1537" max="1537" width="16.42578125" style="79" bestFit="1" customWidth="1"/>
    <col min="1538" max="1538" width="15.140625" style="79" bestFit="1" customWidth="1"/>
    <col min="1539" max="1539" width="19.42578125" style="79" customWidth="1"/>
    <col min="1540" max="1540" width="19.140625" style="79" bestFit="1" customWidth="1"/>
    <col min="1541" max="1541" width="9.140625" style="79"/>
    <col min="1542" max="1542" width="15.28515625" style="79" customWidth="1"/>
    <col min="1543" max="1543" width="14.140625" style="79" customWidth="1"/>
    <col min="1544" max="1544" width="18" style="79" customWidth="1"/>
    <col min="1545" max="1789" width="9.140625" style="79"/>
    <col min="1790" max="1790" width="47.7109375" style="79" bestFit="1" customWidth="1"/>
    <col min="1791" max="1791" width="21.42578125" style="79" customWidth="1"/>
    <col min="1792" max="1792" width="22.85546875" style="79" customWidth="1"/>
    <col min="1793" max="1793" width="16.42578125" style="79" bestFit="1" customWidth="1"/>
    <col min="1794" max="1794" width="15.140625" style="79" bestFit="1" customWidth="1"/>
    <col min="1795" max="1795" width="19.42578125" style="79" customWidth="1"/>
    <col min="1796" max="1796" width="19.140625" style="79" bestFit="1" customWidth="1"/>
    <col min="1797" max="1797" width="9.140625" style="79"/>
    <col min="1798" max="1798" width="15.28515625" style="79" customWidth="1"/>
    <col min="1799" max="1799" width="14.140625" style="79" customWidth="1"/>
    <col min="1800" max="1800" width="18" style="79" customWidth="1"/>
    <col min="1801" max="2045" width="9.140625" style="79"/>
    <col min="2046" max="2046" width="47.7109375" style="79" bestFit="1" customWidth="1"/>
    <col min="2047" max="2047" width="21.42578125" style="79" customWidth="1"/>
    <col min="2048" max="2048" width="22.85546875" style="79" customWidth="1"/>
    <col min="2049" max="2049" width="16.42578125" style="79" bestFit="1" customWidth="1"/>
    <col min="2050" max="2050" width="15.140625" style="79" bestFit="1" customWidth="1"/>
    <col min="2051" max="2051" width="19.42578125" style="79" customWidth="1"/>
    <col min="2052" max="2052" width="19.140625" style="79" bestFit="1" customWidth="1"/>
    <col min="2053" max="2053" width="9.140625" style="79"/>
    <col min="2054" max="2054" width="15.28515625" style="79" customWidth="1"/>
    <col min="2055" max="2055" width="14.140625" style="79" customWidth="1"/>
    <col min="2056" max="2056" width="18" style="79" customWidth="1"/>
    <col min="2057" max="2301" width="9.140625" style="79"/>
    <col min="2302" max="2302" width="47.7109375" style="79" bestFit="1" customWidth="1"/>
    <col min="2303" max="2303" width="21.42578125" style="79" customWidth="1"/>
    <col min="2304" max="2304" width="22.85546875" style="79" customWidth="1"/>
    <col min="2305" max="2305" width="16.42578125" style="79" bestFit="1" customWidth="1"/>
    <col min="2306" max="2306" width="15.140625" style="79" bestFit="1" customWidth="1"/>
    <col min="2307" max="2307" width="19.42578125" style="79" customWidth="1"/>
    <col min="2308" max="2308" width="19.140625" style="79" bestFit="1" customWidth="1"/>
    <col min="2309" max="2309" width="9.140625" style="79"/>
    <col min="2310" max="2310" width="15.28515625" style="79" customWidth="1"/>
    <col min="2311" max="2311" width="14.140625" style="79" customWidth="1"/>
    <col min="2312" max="2312" width="18" style="79" customWidth="1"/>
    <col min="2313" max="2557" width="9.140625" style="79"/>
    <col min="2558" max="2558" width="47.7109375" style="79" bestFit="1" customWidth="1"/>
    <col min="2559" max="2559" width="21.42578125" style="79" customWidth="1"/>
    <col min="2560" max="2560" width="22.85546875" style="79" customWidth="1"/>
    <col min="2561" max="2561" width="16.42578125" style="79" bestFit="1" customWidth="1"/>
    <col min="2562" max="2562" width="15.140625" style="79" bestFit="1" customWidth="1"/>
    <col min="2563" max="2563" width="19.42578125" style="79" customWidth="1"/>
    <col min="2564" max="2564" width="19.140625" style="79" bestFit="1" customWidth="1"/>
    <col min="2565" max="2565" width="9.140625" style="79"/>
    <col min="2566" max="2566" width="15.28515625" style="79" customWidth="1"/>
    <col min="2567" max="2567" width="14.140625" style="79" customWidth="1"/>
    <col min="2568" max="2568" width="18" style="79" customWidth="1"/>
    <col min="2569" max="2813" width="9.140625" style="79"/>
    <col min="2814" max="2814" width="47.7109375" style="79" bestFit="1" customWidth="1"/>
    <col min="2815" max="2815" width="21.42578125" style="79" customWidth="1"/>
    <col min="2816" max="2816" width="22.85546875" style="79" customWidth="1"/>
    <col min="2817" max="2817" width="16.42578125" style="79" bestFit="1" customWidth="1"/>
    <col min="2818" max="2818" width="15.140625" style="79" bestFit="1" customWidth="1"/>
    <col min="2819" max="2819" width="19.42578125" style="79" customWidth="1"/>
    <col min="2820" max="2820" width="19.140625" style="79" bestFit="1" customWidth="1"/>
    <col min="2821" max="2821" width="9.140625" style="79"/>
    <col min="2822" max="2822" width="15.28515625" style="79" customWidth="1"/>
    <col min="2823" max="2823" width="14.140625" style="79" customWidth="1"/>
    <col min="2824" max="2824" width="18" style="79" customWidth="1"/>
    <col min="2825" max="3069" width="9.140625" style="79"/>
    <col min="3070" max="3070" width="47.7109375" style="79" bestFit="1" customWidth="1"/>
    <col min="3071" max="3071" width="21.42578125" style="79" customWidth="1"/>
    <col min="3072" max="3072" width="22.85546875" style="79" customWidth="1"/>
    <col min="3073" max="3073" width="16.42578125" style="79" bestFit="1" customWidth="1"/>
    <col min="3074" max="3074" width="15.140625" style="79" bestFit="1" customWidth="1"/>
    <col min="3075" max="3075" width="19.42578125" style="79" customWidth="1"/>
    <col min="3076" max="3076" width="19.140625" style="79" bestFit="1" customWidth="1"/>
    <col min="3077" max="3077" width="9.140625" style="79"/>
    <col min="3078" max="3078" width="15.28515625" style="79" customWidth="1"/>
    <col min="3079" max="3079" width="14.140625" style="79" customWidth="1"/>
    <col min="3080" max="3080" width="18" style="79" customWidth="1"/>
    <col min="3081" max="3325" width="9.140625" style="79"/>
    <col min="3326" max="3326" width="47.7109375" style="79" bestFit="1" customWidth="1"/>
    <col min="3327" max="3327" width="21.42578125" style="79" customWidth="1"/>
    <col min="3328" max="3328" width="22.85546875" style="79" customWidth="1"/>
    <col min="3329" max="3329" width="16.42578125" style="79" bestFit="1" customWidth="1"/>
    <col min="3330" max="3330" width="15.140625" style="79" bestFit="1" customWidth="1"/>
    <col min="3331" max="3331" width="19.42578125" style="79" customWidth="1"/>
    <col min="3332" max="3332" width="19.140625" style="79" bestFit="1" customWidth="1"/>
    <col min="3333" max="3333" width="9.140625" style="79"/>
    <col min="3334" max="3334" width="15.28515625" style="79" customWidth="1"/>
    <col min="3335" max="3335" width="14.140625" style="79" customWidth="1"/>
    <col min="3336" max="3336" width="18" style="79" customWidth="1"/>
    <col min="3337" max="3581" width="9.140625" style="79"/>
    <col min="3582" max="3582" width="47.7109375" style="79" bestFit="1" customWidth="1"/>
    <col min="3583" max="3583" width="21.42578125" style="79" customWidth="1"/>
    <col min="3584" max="3584" width="22.85546875" style="79" customWidth="1"/>
    <col min="3585" max="3585" width="16.42578125" style="79" bestFit="1" customWidth="1"/>
    <col min="3586" max="3586" width="15.140625" style="79" bestFit="1" customWidth="1"/>
    <col min="3587" max="3587" width="19.42578125" style="79" customWidth="1"/>
    <col min="3588" max="3588" width="19.140625" style="79" bestFit="1" customWidth="1"/>
    <col min="3589" max="3589" width="9.140625" style="79"/>
    <col min="3590" max="3590" width="15.28515625" style="79" customWidth="1"/>
    <col min="3591" max="3591" width="14.140625" style="79" customWidth="1"/>
    <col min="3592" max="3592" width="18" style="79" customWidth="1"/>
    <col min="3593" max="3837" width="9.140625" style="79"/>
    <col min="3838" max="3838" width="47.7109375" style="79" bestFit="1" customWidth="1"/>
    <col min="3839" max="3839" width="21.42578125" style="79" customWidth="1"/>
    <col min="3840" max="3840" width="22.85546875" style="79" customWidth="1"/>
    <col min="3841" max="3841" width="16.42578125" style="79" bestFit="1" customWidth="1"/>
    <col min="3842" max="3842" width="15.140625" style="79" bestFit="1" customWidth="1"/>
    <col min="3843" max="3843" width="19.42578125" style="79" customWidth="1"/>
    <col min="3844" max="3844" width="19.140625" style="79" bestFit="1" customWidth="1"/>
    <col min="3845" max="3845" width="9.140625" style="79"/>
    <col min="3846" max="3846" width="15.28515625" style="79" customWidth="1"/>
    <col min="3847" max="3847" width="14.140625" style="79" customWidth="1"/>
    <col min="3848" max="3848" width="18" style="79" customWidth="1"/>
    <col min="3849" max="4093" width="9.140625" style="79"/>
    <col min="4094" max="4094" width="47.7109375" style="79" bestFit="1" customWidth="1"/>
    <col min="4095" max="4095" width="21.42578125" style="79" customWidth="1"/>
    <col min="4096" max="4096" width="22.85546875" style="79" customWidth="1"/>
    <col min="4097" max="4097" width="16.42578125" style="79" bestFit="1" customWidth="1"/>
    <col min="4098" max="4098" width="15.140625" style="79" bestFit="1" customWidth="1"/>
    <col min="4099" max="4099" width="19.42578125" style="79" customWidth="1"/>
    <col min="4100" max="4100" width="19.140625" style="79" bestFit="1" customWidth="1"/>
    <col min="4101" max="4101" width="9.140625" style="79"/>
    <col min="4102" max="4102" width="15.28515625" style="79" customWidth="1"/>
    <col min="4103" max="4103" width="14.140625" style="79" customWidth="1"/>
    <col min="4104" max="4104" width="18" style="79" customWidth="1"/>
    <col min="4105" max="4349" width="9.140625" style="79"/>
    <col min="4350" max="4350" width="47.7109375" style="79" bestFit="1" customWidth="1"/>
    <col min="4351" max="4351" width="21.42578125" style="79" customWidth="1"/>
    <col min="4352" max="4352" width="22.85546875" style="79" customWidth="1"/>
    <col min="4353" max="4353" width="16.42578125" style="79" bestFit="1" customWidth="1"/>
    <col min="4354" max="4354" width="15.140625" style="79" bestFit="1" customWidth="1"/>
    <col min="4355" max="4355" width="19.42578125" style="79" customWidth="1"/>
    <col min="4356" max="4356" width="19.140625" style="79" bestFit="1" customWidth="1"/>
    <col min="4357" max="4357" width="9.140625" style="79"/>
    <col min="4358" max="4358" width="15.28515625" style="79" customWidth="1"/>
    <col min="4359" max="4359" width="14.140625" style="79" customWidth="1"/>
    <col min="4360" max="4360" width="18" style="79" customWidth="1"/>
    <col min="4361" max="4605" width="9.140625" style="79"/>
    <col min="4606" max="4606" width="47.7109375" style="79" bestFit="1" customWidth="1"/>
    <col min="4607" max="4607" width="21.42578125" style="79" customWidth="1"/>
    <col min="4608" max="4608" width="22.85546875" style="79" customWidth="1"/>
    <col min="4609" max="4609" width="16.42578125" style="79" bestFit="1" customWidth="1"/>
    <col min="4610" max="4610" width="15.140625" style="79" bestFit="1" customWidth="1"/>
    <col min="4611" max="4611" width="19.42578125" style="79" customWidth="1"/>
    <col min="4612" max="4612" width="19.140625" style="79" bestFit="1" customWidth="1"/>
    <col min="4613" max="4613" width="9.140625" style="79"/>
    <col min="4614" max="4614" width="15.28515625" style="79" customWidth="1"/>
    <col min="4615" max="4615" width="14.140625" style="79" customWidth="1"/>
    <col min="4616" max="4616" width="18" style="79" customWidth="1"/>
    <col min="4617" max="4861" width="9.140625" style="79"/>
    <col min="4862" max="4862" width="47.7109375" style="79" bestFit="1" customWidth="1"/>
    <col min="4863" max="4863" width="21.42578125" style="79" customWidth="1"/>
    <col min="4864" max="4864" width="22.85546875" style="79" customWidth="1"/>
    <col min="4865" max="4865" width="16.42578125" style="79" bestFit="1" customWidth="1"/>
    <col min="4866" max="4866" width="15.140625" style="79" bestFit="1" customWidth="1"/>
    <col min="4867" max="4867" width="19.42578125" style="79" customWidth="1"/>
    <col min="4868" max="4868" width="19.140625" style="79" bestFit="1" customWidth="1"/>
    <col min="4869" max="4869" width="9.140625" style="79"/>
    <col min="4870" max="4870" width="15.28515625" style="79" customWidth="1"/>
    <col min="4871" max="4871" width="14.140625" style="79" customWidth="1"/>
    <col min="4872" max="4872" width="18" style="79" customWidth="1"/>
    <col min="4873" max="5117" width="9.140625" style="79"/>
    <col min="5118" max="5118" width="47.7109375" style="79" bestFit="1" customWidth="1"/>
    <col min="5119" max="5119" width="21.42578125" style="79" customWidth="1"/>
    <col min="5120" max="5120" width="22.85546875" style="79" customWidth="1"/>
    <col min="5121" max="5121" width="16.42578125" style="79" bestFit="1" customWidth="1"/>
    <col min="5122" max="5122" width="15.140625" style="79" bestFit="1" customWidth="1"/>
    <col min="5123" max="5123" width="19.42578125" style="79" customWidth="1"/>
    <col min="5124" max="5124" width="19.140625" style="79" bestFit="1" customWidth="1"/>
    <col min="5125" max="5125" width="9.140625" style="79"/>
    <col min="5126" max="5126" width="15.28515625" style="79" customWidth="1"/>
    <col min="5127" max="5127" width="14.140625" style="79" customWidth="1"/>
    <col min="5128" max="5128" width="18" style="79" customWidth="1"/>
    <col min="5129" max="5373" width="9.140625" style="79"/>
    <col min="5374" max="5374" width="47.7109375" style="79" bestFit="1" customWidth="1"/>
    <col min="5375" max="5375" width="21.42578125" style="79" customWidth="1"/>
    <col min="5376" max="5376" width="22.85546875" style="79" customWidth="1"/>
    <col min="5377" max="5377" width="16.42578125" style="79" bestFit="1" customWidth="1"/>
    <col min="5378" max="5378" width="15.140625" style="79" bestFit="1" customWidth="1"/>
    <col min="5379" max="5379" width="19.42578125" style="79" customWidth="1"/>
    <col min="5380" max="5380" width="19.140625" style="79" bestFit="1" customWidth="1"/>
    <col min="5381" max="5381" width="9.140625" style="79"/>
    <col min="5382" max="5382" width="15.28515625" style="79" customWidth="1"/>
    <col min="5383" max="5383" width="14.140625" style="79" customWidth="1"/>
    <col min="5384" max="5384" width="18" style="79" customWidth="1"/>
    <col min="5385" max="5629" width="9.140625" style="79"/>
    <col min="5630" max="5630" width="47.7109375" style="79" bestFit="1" customWidth="1"/>
    <col min="5631" max="5631" width="21.42578125" style="79" customWidth="1"/>
    <col min="5632" max="5632" width="22.85546875" style="79" customWidth="1"/>
    <col min="5633" max="5633" width="16.42578125" style="79" bestFit="1" customWidth="1"/>
    <col min="5634" max="5634" width="15.140625" style="79" bestFit="1" customWidth="1"/>
    <col min="5635" max="5635" width="19.42578125" style="79" customWidth="1"/>
    <col min="5636" max="5636" width="19.140625" style="79" bestFit="1" customWidth="1"/>
    <col min="5637" max="5637" width="9.140625" style="79"/>
    <col min="5638" max="5638" width="15.28515625" style="79" customWidth="1"/>
    <col min="5639" max="5639" width="14.140625" style="79" customWidth="1"/>
    <col min="5640" max="5640" width="18" style="79" customWidth="1"/>
    <col min="5641" max="5885" width="9.140625" style="79"/>
    <col min="5886" max="5886" width="47.7109375" style="79" bestFit="1" customWidth="1"/>
    <col min="5887" max="5887" width="21.42578125" style="79" customWidth="1"/>
    <col min="5888" max="5888" width="22.85546875" style="79" customWidth="1"/>
    <col min="5889" max="5889" width="16.42578125" style="79" bestFit="1" customWidth="1"/>
    <col min="5890" max="5890" width="15.140625" style="79" bestFit="1" customWidth="1"/>
    <col min="5891" max="5891" width="19.42578125" style="79" customWidth="1"/>
    <col min="5892" max="5892" width="19.140625" style="79" bestFit="1" customWidth="1"/>
    <col min="5893" max="5893" width="9.140625" style="79"/>
    <col min="5894" max="5894" width="15.28515625" style="79" customWidth="1"/>
    <col min="5895" max="5895" width="14.140625" style="79" customWidth="1"/>
    <col min="5896" max="5896" width="18" style="79" customWidth="1"/>
    <col min="5897" max="6141" width="9.140625" style="79"/>
    <col min="6142" max="6142" width="47.7109375" style="79" bestFit="1" customWidth="1"/>
    <col min="6143" max="6143" width="21.42578125" style="79" customWidth="1"/>
    <col min="6144" max="6144" width="22.85546875" style="79" customWidth="1"/>
    <col min="6145" max="6145" width="16.42578125" style="79" bestFit="1" customWidth="1"/>
    <col min="6146" max="6146" width="15.140625" style="79" bestFit="1" customWidth="1"/>
    <col min="6147" max="6147" width="19.42578125" style="79" customWidth="1"/>
    <col min="6148" max="6148" width="19.140625" style="79" bestFit="1" customWidth="1"/>
    <col min="6149" max="6149" width="9.140625" style="79"/>
    <col min="6150" max="6150" width="15.28515625" style="79" customWidth="1"/>
    <col min="6151" max="6151" width="14.140625" style="79" customWidth="1"/>
    <col min="6152" max="6152" width="18" style="79" customWidth="1"/>
    <col min="6153" max="6397" width="9.140625" style="79"/>
    <col min="6398" max="6398" width="47.7109375" style="79" bestFit="1" customWidth="1"/>
    <col min="6399" max="6399" width="21.42578125" style="79" customWidth="1"/>
    <col min="6400" max="6400" width="22.85546875" style="79" customWidth="1"/>
    <col min="6401" max="6401" width="16.42578125" style="79" bestFit="1" customWidth="1"/>
    <col min="6402" max="6402" width="15.140625" style="79" bestFit="1" customWidth="1"/>
    <col min="6403" max="6403" width="19.42578125" style="79" customWidth="1"/>
    <col min="6404" max="6404" width="19.140625" style="79" bestFit="1" customWidth="1"/>
    <col min="6405" max="6405" width="9.140625" style="79"/>
    <col min="6406" max="6406" width="15.28515625" style="79" customWidth="1"/>
    <col min="6407" max="6407" width="14.140625" style="79" customWidth="1"/>
    <col min="6408" max="6408" width="18" style="79" customWidth="1"/>
    <col min="6409" max="6653" width="9.140625" style="79"/>
    <col min="6654" max="6654" width="47.7109375" style="79" bestFit="1" customWidth="1"/>
    <col min="6655" max="6655" width="21.42578125" style="79" customWidth="1"/>
    <col min="6656" max="6656" width="22.85546875" style="79" customWidth="1"/>
    <col min="6657" max="6657" width="16.42578125" style="79" bestFit="1" customWidth="1"/>
    <col min="6658" max="6658" width="15.140625" style="79" bestFit="1" customWidth="1"/>
    <col min="6659" max="6659" width="19.42578125" style="79" customWidth="1"/>
    <col min="6660" max="6660" width="19.140625" style="79" bestFit="1" customWidth="1"/>
    <col min="6661" max="6661" width="9.140625" style="79"/>
    <col min="6662" max="6662" width="15.28515625" style="79" customWidth="1"/>
    <col min="6663" max="6663" width="14.140625" style="79" customWidth="1"/>
    <col min="6664" max="6664" width="18" style="79" customWidth="1"/>
    <col min="6665" max="6909" width="9.140625" style="79"/>
    <col min="6910" max="6910" width="47.7109375" style="79" bestFit="1" customWidth="1"/>
    <col min="6911" max="6911" width="21.42578125" style="79" customWidth="1"/>
    <col min="6912" max="6912" width="22.85546875" style="79" customWidth="1"/>
    <col min="6913" max="6913" width="16.42578125" style="79" bestFit="1" customWidth="1"/>
    <col min="6914" max="6914" width="15.140625" style="79" bestFit="1" customWidth="1"/>
    <col min="6915" max="6915" width="19.42578125" style="79" customWidth="1"/>
    <col min="6916" max="6916" width="19.140625" style="79" bestFit="1" customWidth="1"/>
    <col min="6917" max="6917" width="9.140625" style="79"/>
    <col min="6918" max="6918" width="15.28515625" style="79" customWidth="1"/>
    <col min="6919" max="6919" width="14.140625" style="79" customWidth="1"/>
    <col min="6920" max="6920" width="18" style="79" customWidth="1"/>
    <col min="6921" max="7165" width="9.140625" style="79"/>
    <col min="7166" max="7166" width="47.7109375" style="79" bestFit="1" customWidth="1"/>
    <col min="7167" max="7167" width="21.42578125" style="79" customWidth="1"/>
    <col min="7168" max="7168" width="22.85546875" style="79" customWidth="1"/>
    <col min="7169" max="7169" width="16.42578125" style="79" bestFit="1" customWidth="1"/>
    <col min="7170" max="7170" width="15.140625" style="79" bestFit="1" customWidth="1"/>
    <col min="7171" max="7171" width="19.42578125" style="79" customWidth="1"/>
    <col min="7172" max="7172" width="19.140625" style="79" bestFit="1" customWidth="1"/>
    <col min="7173" max="7173" width="9.140625" style="79"/>
    <col min="7174" max="7174" width="15.28515625" style="79" customWidth="1"/>
    <col min="7175" max="7175" width="14.140625" style="79" customWidth="1"/>
    <col min="7176" max="7176" width="18" style="79" customWidth="1"/>
    <col min="7177" max="7421" width="9.140625" style="79"/>
    <col min="7422" max="7422" width="47.7109375" style="79" bestFit="1" customWidth="1"/>
    <col min="7423" max="7423" width="21.42578125" style="79" customWidth="1"/>
    <col min="7424" max="7424" width="22.85546875" style="79" customWidth="1"/>
    <col min="7425" max="7425" width="16.42578125" style="79" bestFit="1" customWidth="1"/>
    <col min="7426" max="7426" width="15.140625" style="79" bestFit="1" customWidth="1"/>
    <col min="7427" max="7427" width="19.42578125" style="79" customWidth="1"/>
    <col min="7428" max="7428" width="19.140625" style="79" bestFit="1" customWidth="1"/>
    <col min="7429" max="7429" width="9.140625" style="79"/>
    <col min="7430" max="7430" width="15.28515625" style="79" customWidth="1"/>
    <col min="7431" max="7431" width="14.140625" style="79" customWidth="1"/>
    <col min="7432" max="7432" width="18" style="79" customWidth="1"/>
    <col min="7433" max="7677" width="9.140625" style="79"/>
    <col min="7678" max="7678" width="47.7109375" style="79" bestFit="1" customWidth="1"/>
    <col min="7679" max="7679" width="21.42578125" style="79" customWidth="1"/>
    <col min="7680" max="7680" width="22.85546875" style="79" customWidth="1"/>
    <col min="7681" max="7681" width="16.42578125" style="79" bestFit="1" customWidth="1"/>
    <col min="7682" max="7682" width="15.140625" style="79" bestFit="1" customWidth="1"/>
    <col min="7683" max="7683" width="19.42578125" style="79" customWidth="1"/>
    <col min="7684" max="7684" width="19.140625" style="79" bestFit="1" customWidth="1"/>
    <col min="7685" max="7685" width="9.140625" style="79"/>
    <col min="7686" max="7686" width="15.28515625" style="79" customWidth="1"/>
    <col min="7687" max="7687" width="14.140625" style="79" customWidth="1"/>
    <col min="7688" max="7688" width="18" style="79" customWidth="1"/>
    <col min="7689" max="7933" width="9.140625" style="79"/>
    <col min="7934" max="7934" width="47.7109375" style="79" bestFit="1" customWidth="1"/>
    <col min="7935" max="7935" width="21.42578125" style="79" customWidth="1"/>
    <col min="7936" max="7936" width="22.85546875" style="79" customWidth="1"/>
    <col min="7937" max="7937" width="16.42578125" style="79" bestFit="1" customWidth="1"/>
    <col min="7938" max="7938" width="15.140625" style="79" bestFit="1" customWidth="1"/>
    <col min="7939" max="7939" width="19.42578125" style="79" customWidth="1"/>
    <col min="7940" max="7940" width="19.140625" style="79" bestFit="1" customWidth="1"/>
    <col min="7941" max="7941" width="9.140625" style="79"/>
    <col min="7942" max="7942" width="15.28515625" style="79" customWidth="1"/>
    <col min="7943" max="7943" width="14.140625" style="79" customWidth="1"/>
    <col min="7944" max="7944" width="18" style="79" customWidth="1"/>
    <col min="7945" max="8189" width="9.140625" style="79"/>
    <col min="8190" max="8190" width="47.7109375" style="79" bestFit="1" customWidth="1"/>
    <col min="8191" max="8191" width="21.42578125" style="79" customWidth="1"/>
    <col min="8192" max="8192" width="22.85546875" style="79" customWidth="1"/>
    <col min="8193" max="8193" width="16.42578125" style="79" bestFit="1" customWidth="1"/>
    <col min="8194" max="8194" width="15.140625" style="79" bestFit="1" customWidth="1"/>
    <col min="8195" max="8195" width="19.42578125" style="79" customWidth="1"/>
    <col min="8196" max="8196" width="19.140625" style="79" bestFit="1" customWidth="1"/>
    <col min="8197" max="8197" width="9.140625" style="79"/>
    <col min="8198" max="8198" width="15.28515625" style="79" customWidth="1"/>
    <col min="8199" max="8199" width="14.140625" style="79" customWidth="1"/>
    <col min="8200" max="8200" width="18" style="79" customWidth="1"/>
    <col min="8201" max="8445" width="9.140625" style="79"/>
    <col min="8446" max="8446" width="47.7109375" style="79" bestFit="1" customWidth="1"/>
    <col min="8447" max="8447" width="21.42578125" style="79" customWidth="1"/>
    <col min="8448" max="8448" width="22.85546875" style="79" customWidth="1"/>
    <col min="8449" max="8449" width="16.42578125" style="79" bestFit="1" customWidth="1"/>
    <col min="8450" max="8450" width="15.140625" style="79" bestFit="1" customWidth="1"/>
    <col min="8451" max="8451" width="19.42578125" style="79" customWidth="1"/>
    <col min="8452" max="8452" width="19.140625" style="79" bestFit="1" customWidth="1"/>
    <col min="8453" max="8453" width="9.140625" style="79"/>
    <col min="8454" max="8454" width="15.28515625" style="79" customWidth="1"/>
    <col min="8455" max="8455" width="14.140625" style="79" customWidth="1"/>
    <col min="8456" max="8456" width="18" style="79" customWidth="1"/>
    <col min="8457" max="8701" width="9.140625" style="79"/>
    <col min="8702" max="8702" width="47.7109375" style="79" bestFit="1" customWidth="1"/>
    <col min="8703" max="8703" width="21.42578125" style="79" customWidth="1"/>
    <col min="8704" max="8704" width="22.85546875" style="79" customWidth="1"/>
    <col min="8705" max="8705" width="16.42578125" style="79" bestFit="1" customWidth="1"/>
    <col min="8706" max="8706" width="15.140625" style="79" bestFit="1" customWidth="1"/>
    <col min="8707" max="8707" width="19.42578125" style="79" customWidth="1"/>
    <col min="8708" max="8708" width="19.140625" style="79" bestFit="1" customWidth="1"/>
    <col min="8709" max="8709" width="9.140625" style="79"/>
    <col min="8710" max="8710" width="15.28515625" style="79" customWidth="1"/>
    <col min="8711" max="8711" width="14.140625" style="79" customWidth="1"/>
    <col min="8712" max="8712" width="18" style="79" customWidth="1"/>
    <col min="8713" max="8957" width="9.140625" style="79"/>
    <col min="8958" max="8958" width="47.7109375" style="79" bestFit="1" customWidth="1"/>
    <col min="8959" max="8959" width="21.42578125" style="79" customWidth="1"/>
    <col min="8960" max="8960" width="22.85546875" style="79" customWidth="1"/>
    <col min="8961" max="8961" width="16.42578125" style="79" bestFit="1" customWidth="1"/>
    <col min="8962" max="8962" width="15.140625" style="79" bestFit="1" customWidth="1"/>
    <col min="8963" max="8963" width="19.42578125" style="79" customWidth="1"/>
    <col min="8964" max="8964" width="19.140625" style="79" bestFit="1" customWidth="1"/>
    <col min="8965" max="8965" width="9.140625" style="79"/>
    <col min="8966" max="8966" width="15.28515625" style="79" customWidth="1"/>
    <col min="8967" max="8967" width="14.140625" style="79" customWidth="1"/>
    <col min="8968" max="8968" width="18" style="79" customWidth="1"/>
    <col min="8969" max="9213" width="9.140625" style="79"/>
    <col min="9214" max="9214" width="47.7109375" style="79" bestFit="1" customWidth="1"/>
    <col min="9215" max="9215" width="21.42578125" style="79" customWidth="1"/>
    <col min="9216" max="9216" width="22.85546875" style="79" customWidth="1"/>
    <col min="9217" max="9217" width="16.42578125" style="79" bestFit="1" customWidth="1"/>
    <col min="9218" max="9218" width="15.140625" style="79" bestFit="1" customWidth="1"/>
    <col min="9219" max="9219" width="19.42578125" style="79" customWidth="1"/>
    <col min="9220" max="9220" width="19.140625" style="79" bestFit="1" customWidth="1"/>
    <col min="9221" max="9221" width="9.140625" style="79"/>
    <col min="9222" max="9222" width="15.28515625" style="79" customWidth="1"/>
    <col min="9223" max="9223" width="14.140625" style="79" customWidth="1"/>
    <col min="9224" max="9224" width="18" style="79" customWidth="1"/>
    <col min="9225" max="9469" width="9.140625" style="79"/>
    <col min="9470" max="9470" width="47.7109375" style="79" bestFit="1" customWidth="1"/>
    <col min="9471" max="9471" width="21.42578125" style="79" customWidth="1"/>
    <col min="9472" max="9472" width="22.85546875" style="79" customWidth="1"/>
    <col min="9473" max="9473" width="16.42578125" style="79" bestFit="1" customWidth="1"/>
    <col min="9474" max="9474" width="15.140625" style="79" bestFit="1" customWidth="1"/>
    <col min="9475" max="9475" width="19.42578125" style="79" customWidth="1"/>
    <col min="9476" max="9476" width="19.140625" style="79" bestFit="1" customWidth="1"/>
    <col min="9477" max="9477" width="9.140625" style="79"/>
    <col min="9478" max="9478" width="15.28515625" style="79" customWidth="1"/>
    <col min="9479" max="9479" width="14.140625" style="79" customWidth="1"/>
    <col min="9480" max="9480" width="18" style="79" customWidth="1"/>
    <col min="9481" max="9725" width="9.140625" style="79"/>
    <col min="9726" max="9726" width="47.7109375" style="79" bestFit="1" customWidth="1"/>
    <col min="9727" max="9727" width="21.42578125" style="79" customWidth="1"/>
    <col min="9728" max="9728" width="22.85546875" style="79" customWidth="1"/>
    <col min="9729" max="9729" width="16.42578125" style="79" bestFit="1" customWidth="1"/>
    <col min="9730" max="9730" width="15.140625" style="79" bestFit="1" customWidth="1"/>
    <col min="9731" max="9731" width="19.42578125" style="79" customWidth="1"/>
    <col min="9732" max="9732" width="19.140625" style="79" bestFit="1" customWidth="1"/>
    <col min="9733" max="9733" width="9.140625" style="79"/>
    <col min="9734" max="9734" width="15.28515625" style="79" customWidth="1"/>
    <col min="9735" max="9735" width="14.140625" style="79" customWidth="1"/>
    <col min="9736" max="9736" width="18" style="79" customWidth="1"/>
    <col min="9737" max="9981" width="9.140625" style="79"/>
    <col min="9982" max="9982" width="47.7109375" style="79" bestFit="1" customWidth="1"/>
    <col min="9983" max="9983" width="21.42578125" style="79" customWidth="1"/>
    <col min="9984" max="9984" width="22.85546875" style="79" customWidth="1"/>
    <col min="9985" max="9985" width="16.42578125" style="79" bestFit="1" customWidth="1"/>
    <col min="9986" max="9986" width="15.140625" style="79" bestFit="1" customWidth="1"/>
    <col min="9987" max="9987" width="19.42578125" style="79" customWidth="1"/>
    <col min="9988" max="9988" width="19.140625" style="79" bestFit="1" customWidth="1"/>
    <col min="9989" max="9989" width="9.140625" style="79"/>
    <col min="9990" max="9990" width="15.28515625" style="79" customWidth="1"/>
    <col min="9991" max="9991" width="14.140625" style="79" customWidth="1"/>
    <col min="9992" max="9992" width="18" style="79" customWidth="1"/>
    <col min="9993" max="10237" width="9.140625" style="79"/>
    <col min="10238" max="10238" width="47.7109375" style="79" bestFit="1" customWidth="1"/>
    <col min="10239" max="10239" width="21.42578125" style="79" customWidth="1"/>
    <col min="10240" max="10240" width="22.85546875" style="79" customWidth="1"/>
    <col min="10241" max="10241" width="16.42578125" style="79" bestFit="1" customWidth="1"/>
    <col min="10242" max="10242" width="15.140625" style="79" bestFit="1" customWidth="1"/>
    <col min="10243" max="10243" width="19.42578125" style="79" customWidth="1"/>
    <col min="10244" max="10244" width="19.140625" style="79" bestFit="1" customWidth="1"/>
    <col min="10245" max="10245" width="9.140625" style="79"/>
    <col min="10246" max="10246" width="15.28515625" style="79" customWidth="1"/>
    <col min="10247" max="10247" width="14.140625" style="79" customWidth="1"/>
    <col min="10248" max="10248" width="18" style="79" customWidth="1"/>
    <col min="10249" max="10493" width="9.140625" style="79"/>
    <col min="10494" max="10494" width="47.7109375" style="79" bestFit="1" customWidth="1"/>
    <col min="10495" max="10495" width="21.42578125" style="79" customWidth="1"/>
    <col min="10496" max="10496" width="22.85546875" style="79" customWidth="1"/>
    <col min="10497" max="10497" width="16.42578125" style="79" bestFit="1" customWidth="1"/>
    <col min="10498" max="10498" width="15.140625" style="79" bestFit="1" customWidth="1"/>
    <col min="10499" max="10499" width="19.42578125" style="79" customWidth="1"/>
    <col min="10500" max="10500" width="19.140625" style="79" bestFit="1" customWidth="1"/>
    <col min="10501" max="10501" width="9.140625" style="79"/>
    <col min="10502" max="10502" width="15.28515625" style="79" customWidth="1"/>
    <col min="10503" max="10503" width="14.140625" style="79" customWidth="1"/>
    <col min="10504" max="10504" width="18" style="79" customWidth="1"/>
    <col min="10505" max="10749" width="9.140625" style="79"/>
    <col min="10750" max="10750" width="47.7109375" style="79" bestFit="1" customWidth="1"/>
    <col min="10751" max="10751" width="21.42578125" style="79" customWidth="1"/>
    <col min="10752" max="10752" width="22.85546875" style="79" customWidth="1"/>
    <col min="10753" max="10753" width="16.42578125" style="79" bestFit="1" customWidth="1"/>
    <col min="10754" max="10754" width="15.140625" style="79" bestFit="1" customWidth="1"/>
    <col min="10755" max="10755" width="19.42578125" style="79" customWidth="1"/>
    <col min="10756" max="10756" width="19.140625" style="79" bestFit="1" customWidth="1"/>
    <col min="10757" max="10757" width="9.140625" style="79"/>
    <col min="10758" max="10758" width="15.28515625" style="79" customWidth="1"/>
    <col min="10759" max="10759" width="14.140625" style="79" customWidth="1"/>
    <col min="10760" max="10760" width="18" style="79" customWidth="1"/>
    <col min="10761" max="11005" width="9.140625" style="79"/>
    <col min="11006" max="11006" width="47.7109375" style="79" bestFit="1" customWidth="1"/>
    <col min="11007" max="11007" width="21.42578125" style="79" customWidth="1"/>
    <col min="11008" max="11008" width="22.85546875" style="79" customWidth="1"/>
    <col min="11009" max="11009" width="16.42578125" style="79" bestFit="1" customWidth="1"/>
    <col min="11010" max="11010" width="15.140625" style="79" bestFit="1" customWidth="1"/>
    <col min="11011" max="11011" width="19.42578125" style="79" customWidth="1"/>
    <col min="11012" max="11012" width="19.140625" style="79" bestFit="1" customWidth="1"/>
    <col min="11013" max="11013" width="9.140625" style="79"/>
    <col min="11014" max="11014" width="15.28515625" style="79" customWidth="1"/>
    <col min="11015" max="11015" width="14.140625" style="79" customWidth="1"/>
    <col min="11016" max="11016" width="18" style="79" customWidth="1"/>
    <col min="11017" max="11261" width="9.140625" style="79"/>
    <col min="11262" max="11262" width="47.7109375" style="79" bestFit="1" customWidth="1"/>
    <col min="11263" max="11263" width="21.42578125" style="79" customWidth="1"/>
    <col min="11264" max="11264" width="22.85546875" style="79" customWidth="1"/>
    <col min="11265" max="11265" width="16.42578125" style="79" bestFit="1" customWidth="1"/>
    <col min="11266" max="11266" width="15.140625" style="79" bestFit="1" customWidth="1"/>
    <col min="11267" max="11267" width="19.42578125" style="79" customWidth="1"/>
    <col min="11268" max="11268" width="19.140625" style="79" bestFit="1" customWidth="1"/>
    <col min="11269" max="11269" width="9.140625" style="79"/>
    <col min="11270" max="11270" width="15.28515625" style="79" customWidth="1"/>
    <col min="11271" max="11271" width="14.140625" style="79" customWidth="1"/>
    <col min="11272" max="11272" width="18" style="79" customWidth="1"/>
    <col min="11273" max="11517" width="9.140625" style="79"/>
    <col min="11518" max="11518" width="47.7109375" style="79" bestFit="1" customWidth="1"/>
    <col min="11519" max="11519" width="21.42578125" style="79" customWidth="1"/>
    <col min="11520" max="11520" width="22.85546875" style="79" customWidth="1"/>
    <col min="11521" max="11521" width="16.42578125" style="79" bestFit="1" customWidth="1"/>
    <col min="11522" max="11522" width="15.140625" style="79" bestFit="1" customWidth="1"/>
    <col min="11523" max="11523" width="19.42578125" style="79" customWidth="1"/>
    <col min="11524" max="11524" width="19.140625" style="79" bestFit="1" customWidth="1"/>
    <col min="11525" max="11525" width="9.140625" style="79"/>
    <col min="11526" max="11526" width="15.28515625" style="79" customWidth="1"/>
    <col min="11527" max="11527" width="14.140625" style="79" customWidth="1"/>
    <col min="11528" max="11528" width="18" style="79" customWidth="1"/>
    <col min="11529" max="11773" width="9.140625" style="79"/>
    <col min="11774" max="11774" width="47.7109375" style="79" bestFit="1" customWidth="1"/>
    <col min="11775" max="11775" width="21.42578125" style="79" customWidth="1"/>
    <col min="11776" max="11776" width="22.85546875" style="79" customWidth="1"/>
    <col min="11777" max="11777" width="16.42578125" style="79" bestFit="1" customWidth="1"/>
    <col min="11778" max="11778" width="15.140625" style="79" bestFit="1" customWidth="1"/>
    <col min="11779" max="11779" width="19.42578125" style="79" customWidth="1"/>
    <col min="11780" max="11780" width="19.140625" style="79" bestFit="1" customWidth="1"/>
    <col min="11781" max="11781" width="9.140625" style="79"/>
    <col min="11782" max="11782" width="15.28515625" style="79" customWidth="1"/>
    <col min="11783" max="11783" width="14.140625" style="79" customWidth="1"/>
    <col min="11784" max="11784" width="18" style="79" customWidth="1"/>
    <col min="11785" max="12029" width="9.140625" style="79"/>
    <col min="12030" max="12030" width="47.7109375" style="79" bestFit="1" customWidth="1"/>
    <col min="12031" max="12031" width="21.42578125" style="79" customWidth="1"/>
    <col min="12032" max="12032" width="22.85546875" style="79" customWidth="1"/>
    <col min="12033" max="12033" width="16.42578125" style="79" bestFit="1" customWidth="1"/>
    <col min="12034" max="12034" width="15.140625" style="79" bestFit="1" customWidth="1"/>
    <col min="12035" max="12035" width="19.42578125" style="79" customWidth="1"/>
    <col min="12036" max="12036" width="19.140625" style="79" bestFit="1" customWidth="1"/>
    <col min="12037" max="12037" width="9.140625" style="79"/>
    <col min="12038" max="12038" width="15.28515625" style="79" customWidth="1"/>
    <col min="12039" max="12039" width="14.140625" style="79" customWidth="1"/>
    <col min="12040" max="12040" width="18" style="79" customWidth="1"/>
    <col min="12041" max="12285" width="9.140625" style="79"/>
    <col min="12286" max="12286" width="47.7109375" style="79" bestFit="1" customWidth="1"/>
    <col min="12287" max="12287" width="21.42578125" style="79" customWidth="1"/>
    <col min="12288" max="12288" width="22.85546875" style="79" customWidth="1"/>
    <col min="12289" max="12289" width="16.42578125" style="79" bestFit="1" customWidth="1"/>
    <col min="12290" max="12290" width="15.140625" style="79" bestFit="1" customWidth="1"/>
    <col min="12291" max="12291" width="19.42578125" style="79" customWidth="1"/>
    <col min="12292" max="12292" width="19.140625" style="79" bestFit="1" customWidth="1"/>
    <col min="12293" max="12293" width="9.140625" style="79"/>
    <col min="12294" max="12294" width="15.28515625" style="79" customWidth="1"/>
    <col min="12295" max="12295" width="14.140625" style="79" customWidth="1"/>
    <col min="12296" max="12296" width="18" style="79" customWidth="1"/>
    <col min="12297" max="12541" width="9.140625" style="79"/>
    <col min="12542" max="12542" width="47.7109375" style="79" bestFit="1" customWidth="1"/>
    <col min="12543" max="12543" width="21.42578125" style="79" customWidth="1"/>
    <col min="12544" max="12544" width="22.85546875" style="79" customWidth="1"/>
    <col min="12545" max="12545" width="16.42578125" style="79" bestFit="1" customWidth="1"/>
    <col min="12546" max="12546" width="15.140625" style="79" bestFit="1" customWidth="1"/>
    <col min="12547" max="12547" width="19.42578125" style="79" customWidth="1"/>
    <col min="12548" max="12548" width="19.140625" style="79" bestFit="1" customWidth="1"/>
    <col min="12549" max="12549" width="9.140625" style="79"/>
    <col min="12550" max="12550" width="15.28515625" style="79" customWidth="1"/>
    <col min="12551" max="12551" width="14.140625" style="79" customWidth="1"/>
    <col min="12552" max="12552" width="18" style="79" customWidth="1"/>
    <col min="12553" max="12797" width="9.140625" style="79"/>
    <col min="12798" max="12798" width="47.7109375" style="79" bestFit="1" customWidth="1"/>
    <col min="12799" max="12799" width="21.42578125" style="79" customWidth="1"/>
    <col min="12800" max="12800" width="22.85546875" style="79" customWidth="1"/>
    <col min="12801" max="12801" width="16.42578125" style="79" bestFit="1" customWidth="1"/>
    <col min="12802" max="12802" width="15.140625" style="79" bestFit="1" customWidth="1"/>
    <col min="12803" max="12803" width="19.42578125" style="79" customWidth="1"/>
    <col min="12804" max="12804" width="19.140625" style="79" bestFit="1" customWidth="1"/>
    <col min="12805" max="12805" width="9.140625" style="79"/>
    <col min="12806" max="12806" width="15.28515625" style="79" customWidth="1"/>
    <col min="12807" max="12807" width="14.140625" style="79" customWidth="1"/>
    <col min="12808" max="12808" width="18" style="79" customWidth="1"/>
    <col min="12809" max="13053" width="9.140625" style="79"/>
    <col min="13054" max="13054" width="47.7109375" style="79" bestFit="1" customWidth="1"/>
    <col min="13055" max="13055" width="21.42578125" style="79" customWidth="1"/>
    <col min="13056" max="13056" width="22.85546875" style="79" customWidth="1"/>
    <col min="13057" max="13057" width="16.42578125" style="79" bestFit="1" customWidth="1"/>
    <col min="13058" max="13058" width="15.140625" style="79" bestFit="1" customWidth="1"/>
    <col min="13059" max="13059" width="19.42578125" style="79" customWidth="1"/>
    <col min="13060" max="13060" width="19.140625" style="79" bestFit="1" customWidth="1"/>
    <col min="13061" max="13061" width="9.140625" style="79"/>
    <col min="13062" max="13062" width="15.28515625" style="79" customWidth="1"/>
    <col min="13063" max="13063" width="14.140625" style="79" customWidth="1"/>
    <col min="13064" max="13064" width="18" style="79" customWidth="1"/>
    <col min="13065" max="13309" width="9.140625" style="79"/>
    <col min="13310" max="13310" width="47.7109375" style="79" bestFit="1" customWidth="1"/>
    <col min="13311" max="13311" width="21.42578125" style="79" customWidth="1"/>
    <col min="13312" max="13312" width="22.85546875" style="79" customWidth="1"/>
    <col min="13313" max="13313" width="16.42578125" style="79" bestFit="1" customWidth="1"/>
    <col min="13314" max="13314" width="15.140625" style="79" bestFit="1" customWidth="1"/>
    <col min="13315" max="13315" width="19.42578125" style="79" customWidth="1"/>
    <col min="13316" max="13316" width="19.140625" style="79" bestFit="1" customWidth="1"/>
    <col min="13317" max="13317" width="9.140625" style="79"/>
    <col min="13318" max="13318" width="15.28515625" style="79" customWidth="1"/>
    <col min="13319" max="13319" width="14.140625" style="79" customWidth="1"/>
    <col min="13320" max="13320" width="18" style="79" customWidth="1"/>
    <col min="13321" max="13565" width="9.140625" style="79"/>
    <col min="13566" max="13566" width="47.7109375" style="79" bestFit="1" customWidth="1"/>
    <col min="13567" max="13567" width="21.42578125" style="79" customWidth="1"/>
    <col min="13568" max="13568" width="22.85546875" style="79" customWidth="1"/>
    <col min="13569" max="13569" width="16.42578125" style="79" bestFit="1" customWidth="1"/>
    <col min="13570" max="13570" width="15.140625" style="79" bestFit="1" customWidth="1"/>
    <col min="13571" max="13571" width="19.42578125" style="79" customWidth="1"/>
    <col min="13572" max="13572" width="19.140625" style="79" bestFit="1" customWidth="1"/>
    <col min="13573" max="13573" width="9.140625" style="79"/>
    <col min="13574" max="13574" width="15.28515625" style="79" customWidth="1"/>
    <col min="13575" max="13575" width="14.140625" style="79" customWidth="1"/>
    <col min="13576" max="13576" width="18" style="79" customWidth="1"/>
    <col min="13577" max="13821" width="9.140625" style="79"/>
    <col min="13822" max="13822" width="47.7109375" style="79" bestFit="1" customWidth="1"/>
    <col min="13823" max="13823" width="21.42578125" style="79" customWidth="1"/>
    <col min="13824" max="13824" width="22.85546875" style="79" customWidth="1"/>
    <col min="13825" max="13825" width="16.42578125" style="79" bestFit="1" customWidth="1"/>
    <col min="13826" max="13826" width="15.140625" style="79" bestFit="1" customWidth="1"/>
    <col min="13827" max="13827" width="19.42578125" style="79" customWidth="1"/>
    <col min="13828" max="13828" width="19.140625" style="79" bestFit="1" customWidth="1"/>
    <col min="13829" max="13829" width="9.140625" style="79"/>
    <col min="13830" max="13830" width="15.28515625" style="79" customWidth="1"/>
    <col min="13831" max="13831" width="14.140625" style="79" customWidth="1"/>
    <col min="13832" max="13832" width="18" style="79" customWidth="1"/>
    <col min="13833" max="14077" width="9.140625" style="79"/>
    <col min="14078" max="14078" width="47.7109375" style="79" bestFit="1" customWidth="1"/>
    <col min="14079" max="14079" width="21.42578125" style="79" customWidth="1"/>
    <col min="14080" max="14080" width="22.85546875" style="79" customWidth="1"/>
    <col min="14081" max="14081" width="16.42578125" style="79" bestFit="1" customWidth="1"/>
    <col min="14082" max="14082" width="15.140625" style="79" bestFit="1" customWidth="1"/>
    <col min="14083" max="14083" width="19.42578125" style="79" customWidth="1"/>
    <col min="14084" max="14084" width="19.140625" style="79" bestFit="1" customWidth="1"/>
    <col min="14085" max="14085" width="9.140625" style="79"/>
    <col min="14086" max="14086" width="15.28515625" style="79" customWidth="1"/>
    <col min="14087" max="14087" width="14.140625" style="79" customWidth="1"/>
    <col min="14088" max="14088" width="18" style="79" customWidth="1"/>
    <col min="14089" max="14333" width="9.140625" style="79"/>
    <col min="14334" max="14334" width="47.7109375" style="79" bestFit="1" customWidth="1"/>
    <col min="14335" max="14335" width="21.42578125" style="79" customWidth="1"/>
    <col min="14336" max="14336" width="22.85546875" style="79" customWidth="1"/>
    <col min="14337" max="14337" width="16.42578125" style="79" bestFit="1" customWidth="1"/>
    <col min="14338" max="14338" width="15.140625" style="79" bestFit="1" customWidth="1"/>
    <col min="14339" max="14339" width="19.42578125" style="79" customWidth="1"/>
    <col min="14340" max="14340" width="19.140625" style="79" bestFit="1" customWidth="1"/>
    <col min="14341" max="14341" width="9.140625" style="79"/>
    <col min="14342" max="14342" width="15.28515625" style="79" customWidth="1"/>
    <col min="14343" max="14343" width="14.140625" style="79" customWidth="1"/>
    <col min="14344" max="14344" width="18" style="79" customWidth="1"/>
    <col min="14345" max="14589" width="9.140625" style="79"/>
    <col min="14590" max="14590" width="47.7109375" style="79" bestFit="1" customWidth="1"/>
    <col min="14591" max="14591" width="21.42578125" style="79" customWidth="1"/>
    <col min="14592" max="14592" width="22.85546875" style="79" customWidth="1"/>
    <col min="14593" max="14593" width="16.42578125" style="79" bestFit="1" customWidth="1"/>
    <col min="14594" max="14594" width="15.140625" style="79" bestFit="1" customWidth="1"/>
    <col min="14595" max="14595" width="19.42578125" style="79" customWidth="1"/>
    <col min="14596" max="14596" width="19.140625" style="79" bestFit="1" customWidth="1"/>
    <col min="14597" max="14597" width="9.140625" style="79"/>
    <col min="14598" max="14598" width="15.28515625" style="79" customWidth="1"/>
    <col min="14599" max="14599" width="14.140625" style="79" customWidth="1"/>
    <col min="14600" max="14600" width="18" style="79" customWidth="1"/>
    <col min="14601" max="14845" width="9.140625" style="79"/>
    <col min="14846" max="14846" width="47.7109375" style="79" bestFit="1" customWidth="1"/>
    <col min="14847" max="14847" width="21.42578125" style="79" customWidth="1"/>
    <col min="14848" max="14848" width="22.85546875" style="79" customWidth="1"/>
    <col min="14849" max="14849" width="16.42578125" style="79" bestFit="1" customWidth="1"/>
    <col min="14850" max="14850" width="15.140625" style="79" bestFit="1" customWidth="1"/>
    <col min="14851" max="14851" width="19.42578125" style="79" customWidth="1"/>
    <col min="14852" max="14852" width="19.140625" style="79" bestFit="1" customWidth="1"/>
    <col min="14853" max="14853" width="9.140625" style="79"/>
    <col min="14854" max="14854" width="15.28515625" style="79" customWidth="1"/>
    <col min="14855" max="14855" width="14.140625" style="79" customWidth="1"/>
    <col min="14856" max="14856" width="18" style="79" customWidth="1"/>
    <col min="14857" max="15101" width="9.140625" style="79"/>
    <col min="15102" max="15102" width="47.7109375" style="79" bestFit="1" customWidth="1"/>
    <col min="15103" max="15103" width="21.42578125" style="79" customWidth="1"/>
    <col min="15104" max="15104" width="22.85546875" style="79" customWidth="1"/>
    <col min="15105" max="15105" width="16.42578125" style="79" bestFit="1" customWidth="1"/>
    <col min="15106" max="15106" width="15.140625" style="79" bestFit="1" customWidth="1"/>
    <col min="15107" max="15107" width="19.42578125" style="79" customWidth="1"/>
    <col min="15108" max="15108" width="19.140625" style="79" bestFit="1" customWidth="1"/>
    <col min="15109" max="15109" width="9.140625" style="79"/>
    <col min="15110" max="15110" width="15.28515625" style="79" customWidth="1"/>
    <col min="15111" max="15111" width="14.140625" style="79" customWidth="1"/>
    <col min="15112" max="15112" width="18" style="79" customWidth="1"/>
    <col min="15113" max="15357" width="9.140625" style="79"/>
    <col min="15358" max="15358" width="47.7109375" style="79" bestFit="1" customWidth="1"/>
    <col min="15359" max="15359" width="21.42578125" style="79" customWidth="1"/>
    <col min="15360" max="15360" width="22.85546875" style="79" customWidth="1"/>
    <col min="15361" max="15361" width="16.42578125" style="79" bestFit="1" customWidth="1"/>
    <col min="15362" max="15362" width="15.140625" style="79" bestFit="1" customWidth="1"/>
    <col min="15363" max="15363" width="19.42578125" style="79" customWidth="1"/>
    <col min="15364" max="15364" width="19.140625" style="79" bestFit="1" customWidth="1"/>
    <col min="15365" max="15365" width="9.140625" style="79"/>
    <col min="15366" max="15366" width="15.28515625" style="79" customWidth="1"/>
    <col min="15367" max="15367" width="14.140625" style="79" customWidth="1"/>
    <col min="15368" max="15368" width="18" style="79" customWidth="1"/>
    <col min="15369" max="15613" width="9.140625" style="79"/>
    <col min="15614" max="15614" width="47.7109375" style="79" bestFit="1" customWidth="1"/>
    <col min="15615" max="15615" width="21.42578125" style="79" customWidth="1"/>
    <col min="15616" max="15616" width="22.85546875" style="79" customWidth="1"/>
    <col min="15617" max="15617" width="16.42578125" style="79" bestFit="1" customWidth="1"/>
    <col min="15618" max="15618" width="15.140625" style="79" bestFit="1" customWidth="1"/>
    <col min="15619" max="15619" width="19.42578125" style="79" customWidth="1"/>
    <col min="15620" max="15620" width="19.140625" style="79" bestFit="1" customWidth="1"/>
    <col min="15621" max="15621" width="9.140625" style="79"/>
    <col min="15622" max="15622" width="15.28515625" style="79" customWidth="1"/>
    <col min="15623" max="15623" width="14.140625" style="79" customWidth="1"/>
    <col min="15624" max="15624" width="18" style="79" customWidth="1"/>
    <col min="15625" max="15869" width="9.140625" style="79"/>
    <col min="15870" max="15870" width="47.7109375" style="79" bestFit="1" customWidth="1"/>
    <col min="15871" max="15871" width="21.42578125" style="79" customWidth="1"/>
    <col min="15872" max="15872" width="22.85546875" style="79" customWidth="1"/>
    <col min="15873" max="15873" width="16.42578125" style="79" bestFit="1" customWidth="1"/>
    <col min="15874" max="15874" width="15.140625" style="79" bestFit="1" customWidth="1"/>
    <col min="15875" max="15875" width="19.42578125" style="79" customWidth="1"/>
    <col min="15876" max="15876" width="19.140625" style="79" bestFit="1" customWidth="1"/>
    <col min="15877" max="15877" width="9.140625" style="79"/>
    <col min="15878" max="15878" width="15.28515625" style="79" customWidth="1"/>
    <col min="15879" max="15879" width="14.140625" style="79" customWidth="1"/>
    <col min="15880" max="15880" width="18" style="79" customWidth="1"/>
    <col min="15881" max="16125" width="9.140625" style="79"/>
    <col min="16126" max="16126" width="47.7109375" style="79" bestFit="1" customWidth="1"/>
    <col min="16127" max="16127" width="21.42578125" style="79" customWidth="1"/>
    <col min="16128" max="16128" width="22.85546875" style="79" customWidth="1"/>
    <col min="16129" max="16129" width="16.42578125" style="79" bestFit="1" customWidth="1"/>
    <col min="16130" max="16130" width="15.140625" style="79" bestFit="1" customWidth="1"/>
    <col min="16131" max="16131" width="19.42578125" style="79" customWidth="1"/>
    <col min="16132" max="16132" width="19.140625" style="79" bestFit="1" customWidth="1"/>
    <col min="16133" max="16133" width="9.140625" style="79"/>
    <col min="16134" max="16134" width="15.28515625" style="79" customWidth="1"/>
    <col min="16135" max="16135" width="14.140625" style="79" customWidth="1"/>
    <col min="16136" max="16136" width="18" style="79" customWidth="1"/>
    <col min="16137" max="16384" width="9.140625" style="79"/>
  </cols>
  <sheetData>
    <row r="1" spans="1:7" x14ac:dyDescent="0.25">
      <c r="A1" s="78">
        <f>'Balanço Orçamentário MCASP'!A1</f>
        <v>43770</v>
      </c>
    </row>
    <row r="2" spans="1:7" x14ac:dyDescent="0.25">
      <c r="A2" s="244" t="s">
        <v>0</v>
      </c>
      <c r="B2" s="244"/>
      <c r="C2" s="244"/>
      <c r="D2" s="244"/>
      <c r="E2" s="244"/>
      <c r="F2" s="244"/>
      <c r="G2" s="244"/>
    </row>
    <row r="3" spans="1:7" x14ac:dyDescent="0.25">
      <c r="A3" s="244" t="s">
        <v>139</v>
      </c>
      <c r="B3" s="244"/>
      <c r="C3" s="244"/>
      <c r="D3" s="244"/>
      <c r="E3" s="244"/>
      <c r="F3" s="244"/>
      <c r="G3" s="244"/>
    </row>
    <row r="4" spans="1:7" x14ac:dyDescent="0.25">
      <c r="A4" s="244" t="s">
        <v>140</v>
      </c>
      <c r="B4" s="244"/>
      <c r="C4" s="244"/>
      <c r="D4" s="244"/>
      <c r="E4" s="244"/>
      <c r="F4" s="244"/>
      <c r="G4" s="244"/>
    </row>
    <row r="5" spans="1:7" x14ac:dyDescent="0.25">
      <c r="A5" s="83"/>
      <c r="B5" s="83"/>
      <c r="C5" s="83"/>
      <c r="D5" s="83"/>
      <c r="E5" s="83"/>
      <c r="F5" s="83"/>
      <c r="G5" s="141"/>
    </row>
    <row r="6" spans="1:7" ht="15.75" thickBot="1" x14ac:dyDescent="0.3">
      <c r="A6" s="83"/>
      <c r="B6" s="83"/>
      <c r="C6" s="83"/>
      <c r="D6" s="83"/>
      <c r="E6" s="83"/>
      <c r="F6" s="83"/>
      <c r="G6" s="83"/>
    </row>
    <row r="7" spans="1:7" ht="15.75" thickBot="1" x14ac:dyDescent="0.3">
      <c r="A7" s="237" t="s">
        <v>141</v>
      </c>
      <c r="B7" s="239" t="s">
        <v>142</v>
      </c>
      <c r="C7" s="240"/>
      <c r="D7" s="246" t="s">
        <v>143</v>
      </c>
      <c r="E7" s="248" t="s">
        <v>144</v>
      </c>
      <c r="F7" s="246" t="s">
        <v>145</v>
      </c>
      <c r="G7" s="250" t="s">
        <v>146</v>
      </c>
    </row>
    <row r="8" spans="1:7" ht="42" customHeight="1" thickBot="1" x14ac:dyDescent="0.3">
      <c r="A8" s="245"/>
      <c r="B8" s="142" t="s">
        <v>147</v>
      </c>
      <c r="C8" s="143" t="s">
        <v>148</v>
      </c>
      <c r="D8" s="247"/>
      <c r="E8" s="249"/>
      <c r="F8" s="247"/>
      <c r="G8" s="251"/>
    </row>
    <row r="9" spans="1:7" ht="16.5" thickBot="1" x14ac:dyDescent="0.3">
      <c r="A9" s="144" t="s">
        <v>149</v>
      </c>
      <c r="B9" s="145">
        <f>SUM(B10:B12)</f>
        <v>0</v>
      </c>
      <c r="C9" s="146">
        <f>SUM(C10:C12)</f>
        <v>5878360.29</v>
      </c>
      <c r="D9" s="146">
        <f>SUM(D10:D12)</f>
        <v>1390063.27</v>
      </c>
      <c r="E9" s="145">
        <f>SUM(E10:E12)</f>
        <v>1390063.27</v>
      </c>
      <c r="F9" s="146">
        <f>SUM(F10:F12)</f>
        <v>4488297.0199999996</v>
      </c>
      <c r="G9" s="147">
        <f t="shared" ref="G9:G16" si="0">B9+C9-E9-F9</f>
        <v>0</v>
      </c>
    </row>
    <row r="10" spans="1:7" ht="15.75" x14ac:dyDescent="0.25">
      <c r="A10" s="148" t="s">
        <v>115</v>
      </c>
      <c r="B10" s="149"/>
      <c r="C10" s="150"/>
      <c r="D10" s="150"/>
      <c r="E10" s="149"/>
      <c r="F10" s="150"/>
      <c r="G10" s="151">
        <f t="shared" si="0"/>
        <v>0</v>
      </c>
    </row>
    <row r="11" spans="1:7" ht="15.75" x14ac:dyDescent="0.25">
      <c r="A11" s="148" t="s">
        <v>116</v>
      </c>
      <c r="B11" s="149"/>
      <c r="C11" s="150"/>
      <c r="D11" s="152"/>
      <c r="E11" s="153"/>
      <c r="F11" s="150"/>
      <c r="G11" s="151">
        <f t="shared" si="0"/>
        <v>0</v>
      </c>
    </row>
    <row r="12" spans="1:7" ht="16.5" thickBot="1" x14ac:dyDescent="0.3">
      <c r="A12" s="148" t="s">
        <v>117</v>
      </c>
      <c r="B12" s="154">
        <f>HLOOKUP($A$1,[1]DADOS!$A1:$IV174,140,0)</f>
        <v>0</v>
      </c>
      <c r="C12" s="155">
        <f>HLOOKUP($A$1,[1]DADOS!$A1:$IV174,124,0)</f>
        <v>5878360.29</v>
      </c>
      <c r="D12" s="156">
        <f>$E$12</f>
        <v>1390063.27</v>
      </c>
      <c r="E12" s="157">
        <f>HLOOKUP($A$1,[1]DADOS!$A1:$IV174,126,0)+HLOOKUP($A$1,[1]DADOS!$A1:$IV174,142,0)</f>
        <v>1390063.27</v>
      </c>
      <c r="F12" s="158">
        <f>HLOOKUP($A$1,[1]DADOS!$A1:$IV174,128,0)+HLOOKUP($A$1,[1]DADOS!$A1:$IV174,136,0)+HLOOKUP($A$1,[1]DADOS!$A1:$IV174,144,0)</f>
        <v>4488297.0199999996</v>
      </c>
      <c r="G12" s="159">
        <f>B12+C12-E12-F12</f>
        <v>0</v>
      </c>
    </row>
    <row r="13" spans="1:7" ht="16.5" thickBot="1" x14ac:dyDescent="0.3">
      <c r="A13" s="144" t="s">
        <v>150</v>
      </c>
      <c r="B13" s="160">
        <f>SUM(B14:B16)</f>
        <v>0</v>
      </c>
      <c r="C13" s="146">
        <f>SUM(C14:C16)</f>
        <v>31770.02</v>
      </c>
      <c r="D13" s="146">
        <f>SUM(D14:D16)</f>
        <v>0</v>
      </c>
      <c r="E13" s="145">
        <f>SUM(E14:E16)</f>
        <v>0</v>
      </c>
      <c r="F13" s="146">
        <f>SUM(F14:F16)</f>
        <v>31770.02</v>
      </c>
      <c r="G13" s="147">
        <f t="shared" si="0"/>
        <v>0</v>
      </c>
    </row>
    <row r="14" spans="1:7" ht="15.75" x14ac:dyDescent="0.25">
      <c r="A14" s="148" t="s">
        <v>119</v>
      </c>
      <c r="B14" s="149">
        <f>HLOOKUP($A$1,[1]DADOS!$A1:$IV174,139,0)</f>
        <v>0</v>
      </c>
      <c r="C14" s="155">
        <f>HLOOKUP($A$1,[1]DADOS!$A1:$IV174,131,0)</f>
        <v>31770.02</v>
      </c>
      <c r="D14" s="158">
        <f>$E$14</f>
        <v>0</v>
      </c>
      <c r="E14" s="154">
        <f>HLOOKUP($A$1,[1]DADOS!$A1:$IV174,133,0)+HLOOKUP($A$1,[1]DADOS!$A1:$IV174,149,0)</f>
        <v>0</v>
      </c>
      <c r="F14" s="158">
        <f>HLOOKUP($A$1,[1]DADOS!$A1:$IV174,135,0)+HLOOKUP($A$1,[1]DADOS!$A1:$IV174,151,0)</f>
        <v>31770.02</v>
      </c>
      <c r="G14" s="151">
        <f t="shared" si="0"/>
        <v>0</v>
      </c>
    </row>
    <row r="15" spans="1:7" ht="15.75" x14ac:dyDescent="0.25">
      <c r="A15" s="148" t="s">
        <v>120</v>
      </c>
      <c r="B15" s="149"/>
      <c r="C15" s="150"/>
      <c r="D15" s="150"/>
      <c r="E15" s="149"/>
      <c r="F15" s="150"/>
      <c r="G15" s="151">
        <f t="shared" si="0"/>
        <v>0</v>
      </c>
    </row>
    <row r="16" spans="1:7" ht="16.5" thickBot="1" x14ac:dyDescent="0.3">
      <c r="A16" s="161" t="s">
        <v>121</v>
      </c>
      <c r="B16" s="149"/>
      <c r="C16" s="150"/>
      <c r="D16" s="150"/>
      <c r="E16" s="162"/>
      <c r="F16" s="150"/>
      <c r="G16" s="151">
        <f t="shared" si="0"/>
        <v>0</v>
      </c>
    </row>
    <row r="17" spans="1:12" s="98" customFormat="1" ht="16.5" thickBot="1" x14ac:dyDescent="0.3">
      <c r="A17" s="163" t="s">
        <v>151</v>
      </c>
      <c r="B17" s="164">
        <f t="shared" ref="B17:G17" si="1">B9+B13</f>
        <v>0</v>
      </c>
      <c r="C17" s="164">
        <f t="shared" si="1"/>
        <v>5910130.3099999996</v>
      </c>
      <c r="D17" s="164">
        <f t="shared" si="1"/>
        <v>1390063.27</v>
      </c>
      <c r="E17" s="164">
        <f t="shared" si="1"/>
        <v>1390063.27</v>
      </c>
      <c r="F17" s="164">
        <f t="shared" si="1"/>
        <v>4520067.0399999991</v>
      </c>
      <c r="G17" s="164">
        <f t="shared" si="1"/>
        <v>0</v>
      </c>
    </row>
    <row r="19" spans="1:12" ht="15.75" thickBot="1" x14ac:dyDescent="0.3">
      <c r="A19" s="83"/>
      <c r="B19" s="83"/>
      <c r="C19" s="83"/>
      <c r="D19" s="83"/>
      <c r="E19" s="83"/>
      <c r="F19" s="83"/>
      <c r="G19" s="83"/>
    </row>
    <row r="20" spans="1:12" ht="15.75" thickBot="1" x14ac:dyDescent="0.3">
      <c r="A20" s="237" t="s">
        <v>152</v>
      </c>
      <c r="B20" s="239" t="s">
        <v>142</v>
      </c>
      <c r="C20" s="240"/>
      <c r="D20" s="241" t="s">
        <v>153</v>
      </c>
      <c r="E20" s="241" t="s">
        <v>154</v>
      </c>
      <c r="F20" s="241" t="s">
        <v>155</v>
      </c>
    </row>
    <row r="21" spans="1:12" ht="30.75" thickBot="1" x14ac:dyDescent="0.3">
      <c r="A21" s="238"/>
      <c r="B21" s="142" t="s">
        <v>147</v>
      </c>
      <c r="C21" s="143" t="s">
        <v>148</v>
      </c>
      <c r="D21" s="242"/>
      <c r="E21" s="242"/>
      <c r="F21" s="242"/>
    </row>
    <row r="22" spans="1:12" ht="16.5" thickBot="1" x14ac:dyDescent="0.3">
      <c r="A22" s="163" t="s">
        <v>149</v>
      </c>
      <c r="B22" s="145">
        <f>SUM(B23:B25)</f>
        <v>33664.910000000003</v>
      </c>
      <c r="C22" s="146">
        <f>SUM(C23:C25)</f>
        <v>152288.07</v>
      </c>
      <c r="D22" s="146">
        <f>SUM(D23:D25)</f>
        <v>150253.07</v>
      </c>
      <c r="E22" s="146">
        <f>SUM(E23:E25)</f>
        <v>31878.15</v>
      </c>
      <c r="F22" s="146">
        <f t="shared" ref="F22:F27" si="2">B22+C22-D22-E22</f>
        <v>3821.760000000002</v>
      </c>
    </row>
    <row r="23" spans="1:12" ht="15.75" x14ac:dyDescent="0.25">
      <c r="A23" s="165" t="s">
        <v>115</v>
      </c>
      <c r="B23" s="149"/>
      <c r="C23" s="149"/>
      <c r="D23" s="152"/>
      <c r="E23" s="152"/>
      <c r="F23" s="150">
        <f t="shared" si="2"/>
        <v>0</v>
      </c>
    </row>
    <row r="24" spans="1:12" ht="15.75" x14ac:dyDescent="0.25">
      <c r="A24" s="165" t="s">
        <v>116</v>
      </c>
      <c r="B24" s="149"/>
      <c r="C24" s="150"/>
      <c r="D24" s="150"/>
      <c r="E24" s="150"/>
      <c r="F24" s="150">
        <f t="shared" si="2"/>
        <v>0</v>
      </c>
    </row>
    <row r="25" spans="1:12" ht="16.5" thickBot="1" x14ac:dyDescent="0.3">
      <c r="A25" s="165" t="s">
        <v>117</v>
      </c>
      <c r="B25" s="157">
        <f>HLOOKUP($A$1,[1]DADOS!$A1:$IV174,141,0)</f>
        <v>33664.910000000003</v>
      </c>
      <c r="C25" s="157">
        <f>HLOOKUP($A$1,[1]DADOS!$A1:$IV174,125,0)</f>
        <v>152288.07</v>
      </c>
      <c r="D25" s="158">
        <f>HLOOKUP($A$1,[1]DADOS!$A1:$IV174,127,0)+HLOOKUP($A$1,[1]DADOS!$A1:$IV174,143,0)</f>
        <v>150253.07</v>
      </c>
      <c r="E25" s="158">
        <f>HLOOKUP($A$1,[1]DADOS!$A1:$IV174,129,0)+HLOOKUP($A$1,[1]DADOS!$A1:$IV174,145,0)</f>
        <v>31878.15</v>
      </c>
      <c r="F25" s="155">
        <f t="shared" si="2"/>
        <v>3821.760000000002</v>
      </c>
    </row>
    <row r="26" spans="1:12" ht="15.75" thickBot="1" x14ac:dyDescent="0.3">
      <c r="A26" s="163" t="s">
        <v>150</v>
      </c>
      <c r="B26" s="160">
        <f>SUM(B27:B29)</f>
        <v>0</v>
      </c>
      <c r="C26" s="166">
        <f>SUM(C27:C29)</f>
        <v>0</v>
      </c>
      <c r="D26" s="166">
        <f>SUM(D27:D29)</f>
        <v>0</v>
      </c>
      <c r="E26" s="166">
        <f>SUM(E27:E29)</f>
        <v>0</v>
      </c>
      <c r="F26" s="166">
        <f t="shared" si="2"/>
        <v>0</v>
      </c>
    </row>
    <row r="27" spans="1:12" ht="15.75" x14ac:dyDescent="0.25">
      <c r="A27" s="165" t="s">
        <v>119</v>
      </c>
      <c r="B27" s="149">
        <f>HLOOKUP($A$1,[1]DADOS!$A1:$IV174,148,0)</f>
        <v>0</v>
      </c>
      <c r="C27" s="167">
        <f>HLOOKUP($A$1,[1]DADOS!$A1:$IV174,132,0)</f>
        <v>0</v>
      </c>
      <c r="D27" s="150">
        <f>HLOOKUP($A$1,[1]DADOS!$A1:$IV174,134,0)+HLOOKUP($A$1,[1]DADOS!$A1:$IV174,150,0)</f>
        <v>0</v>
      </c>
      <c r="E27" s="150">
        <f>HLOOKUP($A$1,[1]DADOS!$A1:$IV174,136,0)+HLOOKUP($A$1,[1]DADOS!$A1:$IV174,152,0)</f>
        <v>0</v>
      </c>
      <c r="F27" s="167">
        <f t="shared" si="2"/>
        <v>0</v>
      </c>
    </row>
    <row r="28" spans="1:12" ht="15.75" x14ac:dyDescent="0.25">
      <c r="A28" s="165" t="s">
        <v>120</v>
      </c>
      <c r="B28" s="149"/>
      <c r="C28" s="150"/>
      <c r="D28" s="150"/>
      <c r="E28" s="150"/>
      <c r="F28" s="150"/>
    </row>
    <row r="29" spans="1:12" ht="16.5" thickBot="1" x14ac:dyDescent="0.3">
      <c r="A29" s="165" t="s">
        <v>121</v>
      </c>
      <c r="B29" s="162"/>
      <c r="C29" s="150"/>
      <c r="D29" s="150"/>
      <c r="E29" s="150"/>
      <c r="F29" s="150"/>
    </row>
    <row r="30" spans="1:12" s="98" customFormat="1" ht="16.5" thickBot="1" x14ac:dyDescent="0.3">
      <c r="A30" s="163" t="s">
        <v>151</v>
      </c>
      <c r="B30" s="164">
        <f>B22+B26</f>
        <v>33664.910000000003</v>
      </c>
      <c r="C30" s="164">
        <f>C22+C26</f>
        <v>152288.07</v>
      </c>
      <c r="D30" s="164">
        <f>D22+D26</f>
        <v>150253.07</v>
      </c>
      <c r="E30" s="164">
        <f>E22+E26</f>
        <v>31878.15</v>
      </c>
      <c r="F30" s="164">
        <f>F22+F26</f>
        <v>3821.760000000002</v>
      </c>
    </row>
    <row r="31" spans="1:12" s="45" customFormat="1" ht="13.5" customHeight="1" x14ac:dyDescent="0.2">
      <c r="A31" s="40" t="s">
        <v>44</v>
      </c>
      <c r="B31" s="41"/>
      <c r="C31" s="41"/>
      <c r="D31" s="41"/>
      <c r="E31" s="42"/>
      <c r="F31" s="42"/>
      <c r="G31" s="42"/>
      <c r="H31" s="41"/>
      <c r="I31" s="42"/>
      <c r="J31" s="43"/>
    </row>
    <row r="32" spans="1:12" s="45" customFormat="1" ht="13.5" customHeight="1" x14ac:dyDescent="0.2">
      <c r="A32" s="40" t="s">
        <v>45</v>
      </c>
      <c r="B32" s="47"/>
      <c r="C32" s="47"/>
      <c r="D32" s="47"/>
      <c r="E32" s="47"/>
      <c r="F32" s="47"/>
      <c r="G32" s="47"/>
      <c r="H32" s="47"/>
      <c r="I32" s="47"/>
      <c r="J32" s="48"/>
      <c r="L32" s="130"/>
    </row>
    <row r="33" spans="1:10" s="45" customFormat="1" ht="12.95" customHeight="1" x14ac:dyDescent="0.2">
      <c r="A33" s="168" t="s">
        <v>46</v>
      </c>
      <c r="B33" s="168"/>
      <c r="C33" s="168"/>
      <c r="D33" s="168"/>
      <c r="E33" s="168"/>
      <c r="F33" s="168"/>
      <c r="G33" s="168"/>
      <c r="H33" s="169"/>
      <c r="I33" s="169"/>
      <c r="J33" s="138"/>
    </row>
    <row r="34" spans="1:10" s="45" customFormat="1" ht="12.95" customHeight="1" x14ac:dyDescent="0.2">
      <c r="A34" s="170" t="s">
        <v>47</v>
      </c>
      <c r="B34" s="170"/>
      <c r="C34" s="170"/>
      <c r="D34" s="170"/>
      <c r="E34" s="170"/>
      <c r="F34" s="170"/>
      <c r="G34" s="170"/>
      <c r="H34" s="170"/>
      <c r="I34" s="170"/>
      <c r="J34" s="137"/>
    </row>
    <row r="35" spans="1:10" s="45" customFormat="1" ht="12.95" customHeight="1" x14ac:dyDescent="0.25">
      <c r="A35" s="171" t="s">
        <v>156</v>
      </c>
      <c r="B35" s="171"/>
      <c r="C35" s="171"/>
      <c r="D35" s="171"/>
      <c r="E35" s="171"/>
      <c r="F35" s="171"/>
      <c r="G35" s="171"/>
      <c r="H35" s="171"/>
      <c r="I35" s="171"/>
      <c r="J35" s="79"/>
    </row>
    <row r="36" spans="1:10" ht="12.95" customHeight="1" x14ac:dyDescent="0.25">
      <c r="A36" s="243" t="s">
        <v>157</v>
      </c>
      <c r="B36" s="243"/>
      <c r="C36" s="243"/>
      <c r="D36" s="243"/>
      <c r="E36" s="243"/>
      <c r="F36" s="243"/>
      <c r="G36" s="243"/>
      <c r="H36" s="243"/>
      <c r="I36" s="243"/>
    </row>
    <row r="40" spans="1:10" s="70" customFormat="1" ht="13.5" customHeight="1" x14ac:dyDescent="0.2">
      <c r="A40" s="60"/>
      <c r="B40" s="236" t="s">
        <v>64</v>
      </c>
      <c r="C40" s="236"/>
      <c r="D40" s="236"/>
      <c r="E40" s="209" t="s">
        <v>138</v>
      </c>
      <c r="F40" s="209"/>
      <c r="G40" s="209"/>
      <c r="H40" s="209"/>
    </row>
    <row r="41" spans="1:10" s="1" customFormat="1" ht="13.5" customHeight="1" x14ac:dyDescent="0.2">
      <c r="A41" s="66"/>
      <c r="B41" s="210" t="s">
        <v>66</v>
      </c>
      <c r="C41" s="210"/>
      <c r="D41" s="210"/>
      <c r="E41" s="210" t="s">
        <v>67</v>
      </c>
      <c r="F41" s="210"/>
      <c r="G41" s="210"/>
      <c r="H41" s="210"/>
    </row>
    <row r="42" spans="1:10" s="1" customFormat="1" ht="13.5" customHeight="1" x14ac:dyDescent="0.2">
      <c r="A42" s="68"/>
      <c r="B42" s="212" t="s">
        <v>68</v>
      </c>
      <c r="C42" s="212"/>
      <c r="D42" s="212"/>
      <c r="E42" s="211" t="s">
        <v>69</v>
      </c>
      <c r="F42" s="211"/>
      <c r="G42" s="211"/>
      <c r="H42" s="211"/>
    </row>
    <row r="43" spans="1:10" s="1" customFormat="1" ht="13.5" customHeight="1" x14ac:dyDescent="0.2">
      <c r="A43" s="59"/>
      <c r="B43" s="212" t="s">
        <v>70</v>
      </c>
      <c r="C43" s="212"/>
      <c r="D43" s="212"/>
      <c r="E43" s="212" t="s">
        <v>70</v>
      </c>
      <c r="F43" s="212"/>
      <c r="G43" s="212"/>
      <c r="H43" s="212"/>
    </row>
  </sheetData>
  <mergeCells count="23">
    <mergeCell ref="A36:I36"/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  <mergeCell ref="B43:D43"/>
    <mergeCell ref="E43:H43"/>
    <mergeCell ref="B40:D40"/>
    <mergeCell ref="E40:H40"/>
    <mergeCell ref="B41:D41"/>
    <mergeCell ref="E41:H41"/>
    <mergeCell ref="B42:D42"/>
    <mergeCell ref="E42:H42"/>
  </mergeCells>
  <pageMargins left="0.511811024" right="0.511811024" top="0.36" bottom="0.33" header="0.31496062000000002" footer="0.31496062000000002"/>
  <pageSetup paperSize="9" scale="82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2021-07-02T14:14:40Z</dcterms:created>
  <dcterms:modified xsi:type="dcterms:W3CDTF">2021-07-02T14:19:18Z</dcterms:modified>
</cp:coreProperties>
</file>