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990" windowWidth="11190" windowHeight="7200" firstSheet="3" activeTab="3"/>
  </bookViews>
  <sheets>
    <sheet name="DADOS" sheetId="1" state="hidden" r:id="rId1"/>
    <sheet name="B.F. 05" sheetId="2" state="hidden" r:id="rId2"/>
    <sheet name="B.F. 00" sheetId="3" state="hidden" r:id="rId3"/>
    <sheet name="Balanço Financeiro" sheetId="4" r:id="rId4"/>
    <sheet name="Balanço Orçamentário MCASP" sheetId="5" r:id="rId5"/>
    <sheet name="Anexos do BO" sheetId="6" r:id="rId6"/>
    <sheet name="B.F. Modelo DEZEMBRO" sheetId="7" state="hidden" r:id="rId7"/>
    <sheet name="BF Mensal c formula 02 colunas" sheetId="8" state="hidden" r:id="rId8"/>
    <sheet name="Plan1" sheetId="9" state="hidden" r:id="rId9"/>
  </sheets>
  <externalReferences>
    <externalReference r:id="rId12"/>
  </externalReferences>
  <definedNames>
    <definedName name="_xlnm.Print_Area" localSheetId="5">'Anexos do BO'!$A$2:$G$43</definedName>
    <definedName name="_xlnm.Print_Area" localSheetId="6">'B.F. Modelo DEZEMBRO'!$A$1:$P$67</definedName>
    <definedName name="_xlnm.Print_Area" localSheetId="3">'Balanço Financeiro'!$A$1:$O$60</definedName>
    <definedName name="_xlnm.Print_Area" localSheetId="4">'Balanço Orçamentário MCASP'!$A$2:$G$78</definedName>
  </definedNames>
  <calcPr fullCalcOnLoad="1"/>
</workbook>
</file>

<file path=xl/comments1.xml><?xml version="1.0" encoding="utf-8"?>
<comments xmlns="http://schemas.openxmlformats.org/spreadsheetml/2006/main">
  <authors>
    <author>d835717</author>
    <author>Cleber Tavares de Souza</author>
    <author>d579973</author>
    <author>Carlos Benito Martinez</author>
  </authors>
  <commentList>
    <comment ref="A151" authorId="0">
      <text>
        <r>
          <rPr>
            <sz val="9"/>
            <rFont val="Tahoma"/>
            <family val="2"/>
          </rPr>
          <t xml:space="preserve">Desvinculação adicional de R$ 5.158.455,99 referente aos valores arrecadados até 31/12/2016 ajustado no saldo Caixa e Equivalente de Caixa. Processo SEI nº 6017.2017/0004407-8.
A SAÍDA FINANCEITO DESTA DESVINCULAÇÃO OCORRERÁ NA COMPETÊNCIA DE FEVEREIRO/2017.
</t>
        </r>
      </text>
    </comment>
    <comment ref="B63" authorId="0">
      <text>
        <r>
          <rPr>
            <sz val="9"/>
            <rFont val="Tahoma"/>
            <family val="2"/>
          </rPr>
          <t>Desvinculação adicional de R$ 15.262.094,25 referente aos valores arrecadados até 31/12/2017 ajustado no saldo Caixa e Equivalente de Caixa. Processo SEI nº 6017.2017/0004407-8.
A SAÍDA FINANCEITO DESTA DESVINCULAÇÃO OCORREREU NA COMPETÊNCIA DE JANEIRO 2018.</t>
        </r>
      </text>
    </comment>
    <comment ref="C63" authorId="0">
      <text>
        <r>
          <rPr>
            <sz val="9"/>
            <rFont val="Tahoma"/>
            <family val="2"/>
          </rPr>
          <t>Transferência financeira da Desvinculação adicional de R$ 15.262.094,25 referente aos valores arrecadados até 31/12/2017 ajustado no saldo Caixa e Equivalente de Caixa. A SAÍDA FINANCEIRA DESTA DESVINCULAÇÃO OCORREREU 31/01/2018.</t>
        </r>
      </text>
    </comment>
    <comment ref="A152" authorId="0">
      <text>
        <r>
          <rPr>
            <sz val="9"/>
            <rFont val="Tahoma"/>
            <family val="2"/>
          </rPr>
          <t xml:space="preserve">Desvinculação da Receita de R$ 15.480.496,12  referente aos valores arrecadados de janeiro a 14 de julho ajustado no saldo Caixa e Equivalente de Caixa. Processo SEI nº 6017.2017/0004407-8.
A SAÍDA FINANCEITO DESTA DESVINCULAÇÃO OCORRERÁ NA COMPETÊNCIA SEGUINTE.
</t>
        </r>
      </text>
    </comment>
    <comment ref="N165" authorId="1">
      <text>
        <r>
          <rPr>
            <sz val="9"/>
            <rFont val="Tahoma"/>
            <family val="2"/>
          </rPr>
          <t>29/12/2017 - RECLASSIFICAÇÃO CONTÁBIL PARA AVERBAÇÃO - Do recolhimento efetuado por meio da Guia de Remessa nº 110/2017, referente à doação ao FUMCAD, para fins de restituição, conforme despacho
as fls. 27 e solicitação as fls. 33 do processo nº 2017-0.042.588-5.</t>
        </r>
      </text>
    </comment>
    <comment ref="N166" authorId="1">
      <text>
        <r>
          <rPr>
            <sz val="9"/>
            <rFont val="Tahoma"/>
            <family val="2"/>
          </rPr>
          <t>29/12/2017 - RECLASSIFICAÇÃO CONTÁBIL PARA AVERBAÇÃO - Do recolhimento efetuado por meio do DRD nº 427/2017, referente à doação ao FUMCAD, para fins de restituição, conforme despacho as fls. 21 e
solicitação as fls. 26 do processo nº 2017-0.108.368-6.</t>
        </r>
      </text>
    </comment>
    <comment ref="A153" authorId="0">
      <text>
        <r>
          <rPr>
            <sz val="9"/>
            <rFont val="Tahoma"/>
            <family val="2"/>
          </rPr>
          <t xml:space="preserve">Desvinculação da Receita de R$ 15.480.496,12  referente aos valores arrecadados de janeiro a 14 de julho ajustado no saldo Caixa e Equivalente de Caixa. Processo SEI nº 6017.2017/0004407-8.
A SAÍDA FINANCEITO DESTA DESVINCULAÇÃO OCORRERÁ NA COMPETÊNCIA SEGUINTE.
</t>
        </r>
      </text>
    </comment>
    <comment ref="C16" authorId="2">
      <text>
        <r>
          <rPr>
            <b/>
            <sz val="9"/>
            <rFont val="Tahoma"/>
            <family val="2"/>
          </rPr>
          <t>Boletim da Receita Atualizada em -R$5.000,00 em fev/18</t>
        </r>
        <r>
          <rPr>
            <sz val="9"/>
            <rFont val="Tahoma"/>
            <family val="2"/>
          </rPr>
          <t xml:space="preserve">
</t>
        </r>
      </text>
    </comment>
    <comment ref="C163" authorId="1">
      <text>
        <r>
          <rPr>
            <sz val="9"/>
            <rFont val="Tahoma"/>
            <family val="2"/>
          </rPr>
          <t>Do valor R$5.000,00 debitado através da Guia de Remessa nº 135758/2017 na conta Créditos - FUMCAD, que reclassificamos para SAF 28460, conforme solicitação as fls. 41 do processo 2017-0.042.588-5.</t>
        </r>
      </text>
    </comment>
    <comment ref="B48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Conta Corrente SECRETARIA DA EDUCAÇÃO 
18.302-4</t>
        </r>
      </text>
    </comment>
    <comment ref="F166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recolhimento DRD n.7747/2017 pg.2/8 Fumcad Imposto de Renda códiog 28460, cta 1.7.70.00.0.1.1.01.00
retirar da planilha/mês de maio</t>
        </r>
      </text>
    </comment>
    <comment ref="F160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</t>
        </r>
      </text>
    </comment>
    <comment ref="F154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repasse para SME
decreto n.58.863/18</t>
        </r>
      </text>
    </comment>
    <comment ref="H63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Rejeição de pgto cf. informado por Dedis, a ser transferido para a conta do fumcad</t>
        </r>
      </text>
    </comment>
    <comment ref="H166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 DRD 3294/2018, com classificação equivocada na conta 28480, que não ´Fumcad.Falei com Gabriel, pediu reclassifcação para Didis em 27/07/2018</t>
        </r>
      </text>
    </comment>
    <comment ref="I63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desvinculação da receita portaria n.220 de 27/07 doc 28/0/8/08.Ajuste não efetauado nesta coluna, pq saiu do disponivel .vide razão
</t>
        </r>
      </text>
    </comment>
    <comment ref="I151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desvinculação de receita R$ 2.951.853,55 - Portaria SF 220 de 28/07/2018;
Orientação Decon: processo sei nº 6017.2017/0004407-8.
No exercício 2018 não houve informação diferente.Assim, efetuamos de forma semelhante.
</t>
        </r>
      </text>
    </comment>
    <comment ref="I154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???</t>
        </r>
      </text>
    </comment>
    <comment ref="I160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acerto na planilha para deduzir o valor do mês de junho: o pgto extra vira orçamentário, conf. Conversado Cleber
</t>
        </r>
      </text>
    </comment>
    <comment ref="I163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saldo credor da conta</t>
        </r>
      </text>
    </comment>
    <comment ref="I166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reclassificação de Didis, em 28/07/2017
</t>
        </r>
      </text>
    </comment>
    <comment ref="I174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saida do disponivel não localizados nos pgtos mod 1.Pgto a ser efetuado em 01/0/8 conforme Defin : 68.674,60+373.
550,00
</t>
        </r>
      </text>
    </comment>
    <comment ref="J163" authorId="3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sd credor da conta</t>
        </r>
      </text>
    </comment>
    <comment ref="J164" authorId="3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sd credor da conta
</t>
        </r>
      </text>
    </comment>
    <comment ref="J63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saida do disponivel, sem estar no rol de pgtos.Em consulta ao disponivel de set está entrando na conta, com histórico de rejeição de pgto.</t>
        </r>
      </text>
    </comment>
    <comment ref="K176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saldo da conta devedora
acerta vr. na planilha mês de outubro linha 
160, H178- 76.091,97
</t>
        </r>
      </text>
    </comment>
    <comment ref="K164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saldo do razaõ
</t>
        </r>
      </text>
    </comment>
    <comment ref="K63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pgto consta no disponivel, mas n na relação de pgto. Consulta
ao disponivel de outubro entra como pgto rejeitado</t>
        </r>
      </text>
    </comment>
    <comment ref="K174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saida do disponivel 355.833,64+49185,34+405018,98-204.595,68 (pgto Modo 1 n identificado) = 200.423,30
-49.185,34 (entrada disponivel em OUT)
=151.237,96 ( pgo em OUT)
Consulta a Cleber, achou melhor deixar tudo em d+1
</t>
        </r>
      </text>
    </comment>
  </commentList>
</comments>
</file>

<file path=xl/sharedStrings.xml><?xml version="1.0" encoding="utf-8"?>
<sst xmlns="http://schemas.openxmlformats.org/spreadsheetml/2006/main" count="778" uniqueCount="288">
  <si>
    <t>FUMCAD_ Fundo Municipal da Criança e do Adolescente</t>
  </si>
  <si>
    <t xml:space="preserve">Balancete Financeiro </t>
  </si>
  <si>
    <t>em R$</t>
  </si>
  <si>
    <t>INGRESSOS</t>
  </si>
  <si>
    <t>DISPÊNDIOS</t>
  </si>
  <si>
    <t>ESPECIFICAÇÃO</t>
  </si>
  <si>
    <t>Exercício Atual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</si>
  <si>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</si>
  <si>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</si>
  <si>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</si>
  <si>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</si>
  <si>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</si>
  <si>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</si>
  <si>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</si>
  <si>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</si>
  <si>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</si>
  <si>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</si>
  <si>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</si>
  <si>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</si>
  <si>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</si>
  <si>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</si>
  <si>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</si>
  <si>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</si>
  <si>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</si>
  <si>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</si>
  <si>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</si>
  <si>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</si>
  <si>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</si>
  <si>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</si>
  <si>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>EMPENHOS NÃO LIQUIDADOS A PAGAR - TESOURO</t>
  </si>
  <si>
    <t>PAGAMENTOS DE RESTOS A PAGAR NÃO PROCESSADOS - TESOURO</t>
  </si>
  <si>
    <t>EMPENHOS NÃO LIQUIDADOS A PAGAR - OUTRAS FONTES</t>
  </si>
  <si>
    <t>PAGAMENTOS DE RESTOS A PAGAR NÃO PROCESSADOS - OUTRAS FONTES</t>
  </si>
  <si>
    <t>EMPENHOS LIQUIDADOS A PAGAR - TESOURO</t>
  </si>
  <si>
    <t>PAGAMENTOS DE RESTOS A PAGAR PROCESSADOS - TESOURO</t>
  </si>
  <si>
    <t>EMPENHOS LIQUIDADOS A PAGAR - OUTRAS FONTES</t>
  </si>
  <si>
    <t>PAGAMENTOS DE RESTOS A PAGAR PROCESSADOS - OUTRAS FONTES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</si>
  <si>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</si>
  <si>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</si>
  <si>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</si>
  <si>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</si>
  <si>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</si>
  <si>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>CAIXA E EQUIVALENTES DE CAIXA - TESOURO</t>
  </si>
  <si>
    <t>CAIXA E EQUIVALENTES DE CAIXA - OUTRAS FONTES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</si>
  <si>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</si>
  <si>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</si>
  <si>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</si>
  <si>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</si>
  <si>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</si>
  <si>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Analista de Planej. e Desenv. Organiz. - Contador</t>
  </si>
  <si>
    <t>Sec. Mun. de Direitos Humanos e Cidadania</t>
  </si>
  <si>
    <t>SMDHC</t>
  </si>
  <si>
    <t>RECEITAS ORÇAMENTÁRIAS</t>
  </si>
  <si>
    <t>Receitas Correntes (I)</t>
  </si>
  <si>
    <t>Receita Tributária</t>
  </si>
  <si>
    <t>Receita de Contribuições</t>
  </si>
  <si>
    <t>Receita Agropecuária</t>
  </si>
  <si>
    <t>Receita de Serviços</t>
  </si>
  <si>
    <t>Transferências Correntes</t>
  </si>
  <si>
    <t>Outras Receitas Correntes</t>
  </si>
  <si>
    <t>Operações de Crédito</t>
  </si>
  <si>
    <t>Amortizações de Empréstimos</t>
  </si>
  <si>
    <t>Recursos Arrecadados em Exercícios Anteriores (III)</t>
  </si>
  <si>
    <t>Operações de Crédito / Refinanciamento (V)</t>
  </si>
  <si>
    <t>Operações de Crédito Internas</t>
  </si>
  <si>
    <t>Operações de Crédito Externas</t>
  </si>
  <si>
    <t>Déficit (VII)</t>
  </si>
  <si>
    <t>Reabertura de Créditos Adicionais</t>
  </si>
  <si>
    <t>DESPESAS ORÇAMENTÁRIAS</t>
  </si>
  <si>
    <t>Despesas Empenhadas (g)</t>
  </si>
  <si>
    <t>Despesas Pagas (i)</t>
  </si>
  <si>
    <t>Despesas Correntes (IX)</t>
  </si>
  <si>
    <t>Pessoal e Encargos Sociais</t>
  </si>
  <si>
    <t>Juros e Encargos da Dívida</t>
  </si>
  <si>
    <t>Outras Despesas Correntes</t>
  </si>
  <si>
    <t>Investimentos</t>
  </si>
  <si>
    <t>Inversões Financeiras</t>
  </si>
  <si>
    <t>Amortização da Dívida</t>
  </si>
  <si>
    <t>Reserva de Contingência (XI)</t>
  </si>
  <si>
    <t>Reserva do RPPS (XII)</t>
  </si>
  <si>
    <t>Amortização da Dívida/ Refinanciamento (XIV)</t>
  </si>
  <si>
    <t>Amortização da Dívida Interna</t>
  </si>
  <si>
    <t>Outras Dívidas</t>
  </si>
  <si>
    <t>Amortização da Dívida Externa</t>
  </si>
  <si>
    <t>Superávit (XVI)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</si>
  <si>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</si>
  <si>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</si>
  <si>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</si>
  <si>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</si>
  <si>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</si>
  <si>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</si>
  <si>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</si>
  <si>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</si>
  <si>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</si>
  <si>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</si>
  <si>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1.9.1.9.32.20.02.00</t>
  </si>
  <si>
    <t>RELATÓRIOS</t>
  </si>
  <si>
    <t>DIFERENÇA</t>
  </si>
  <si>
    <t>FONTE 05</t>
  </si>
  <si>
    <t>FONTE 00</t>
  </si>
  <si>
    <t>BOLETIM DA RECEITA POR FONTE E ORGÃO</t>
  </si>
  <si>
    <t>Receita Prevista</t>
  </si>
  <si>
    <t>Realizada no Mês</t>
  </si>
  <si>
    <t>Realizada até o Mês</t>
  </si>
  <si>
    <t>Conta Corrente</t>
  </si>
  <si>
    <t>Cód. 100738 - 8946-X</t>
  </si>
  <si>
    <t>Cód. 100738 - Aplicação</t>
  </si>
  <si>
    <t>Cód. 100071 - 5738-X</t>
  </si>
  <si>
    <t>Saldo Inicial</t>
  </si>
  <si>
    <t>FONTE 08 - Tesouro Municipal - Recursos Vinculados</t>
  </si>
  <si>
    <t>Realizada no Mês - CONCILIADO</t>
  </si>
  <si>
    <t>Realizada até o Mês - CONCILIADO</t>
  </si>
  <si>
    <t>FONTE 05 - Outras Fontes</t>
  </si>
  <si>
    <t>RAZÃO DE DISPONÍVEIS</t>
  </si>
  <si>
    <t>RAZÃO DE ARRECADAÇÃO</t>
  </si>
  <si>
    <t>(23239) - FUMCAD - Multas Judiciais</t>
  </si>
  <si>
    <t>Valores Indevidos (-)</t>
  </si>
  <si>
    <t>ACOMPANHAMENTO DE EXECUÇÃO ORÇAMENTÁRIA</t>
  </si>
  <si>
    <t>Empenhado Até o Mês</t>
  </si>
  <si>
    <t>Pago Até o Mês</t>
  </si>
  <si>
    <t>Liquidado Até o Mês</t>
  </si>
  <si>
    <t>Liquidado A Pagar</t>
  </si>
  <si>
    <t>NÃO Liquidado A Pagar</t>
  </si>
  <si>
    <t>POR FONTE RECURSO</t>
  </si>
  <si>
    <t>POR CONTA DE DESPESA</t>
  </si>
  <si>
    <t>Orçamento Inicial</t>
  </si>
  <si>
    <t>Orçamento Atualizado</t>
  </si>
  <si>
    <t>DESPESA CORRENTE</t>
  </si>
  <si>
    <t>DESPESA CAPITAL</t>
  </si>
  <si>
    <r>
      <t xml:space="preserve">ACOMPANHAMENTO DE EXECUÇÃO ORÇAMENTÁRIA - </t>
    </r>
    <r>
      <rPr>
        <b/>
        <i/>
        <sz val="10"/>
        <color indexed="8"/>
        <rFont val="Arial"/>
        <family val="2"/>
      </rPr>
      <t>RESTO A PAGAR</t>
    </r>
  </si>
  <si>
    <t>Não Processado</t>
  </si>
  <si>
    <t>Processado</t>
  </si>
  <si>
    <t>PAGAMENTO</t>
  </si>
  <si>
    <t>POR CONTA DE DESPESA - DESPESA CORRENTE</t>
  </si>
  <si>
    <t>SALDO TRANSFERIDO</t>
  </si>
  <si>
    <t>CANCELAMENTO</t>
  </si>
  <si>
    <t>POR CONTA DE DESPESA - DESPESA CAPITAL</t>
  </si>
  <si>
    <t>TOTAL GERAL</t>
  </si>
  <si>
    <t>Fonte:</t>
  </si>
  <si>
    <t>Notas Explicativas:</t>
  </si>
  <si>
    <t>Nome do Responsável e assinatura</t>
  </si>
  <si>
    <t>Cargo</t>
  </si>
  <si>
    <t>CRC</t>
  </si>
  <si>
    <t>Balanço Financeiro - FONTE 05</t>
  </si>
  <si>
    <t>Balanço Financeiro - FONTE 00</t>
  </si>
  <si>
    <t xml:space="preserve">     Retenção Extra</t>
  </si>
  <si>
    <t>PAGAMENTOS eE RESTOS A PAGAR PROCESSAeOS - TESOURO</t>
  </si>
  <si>
    <t>Cód. 100072 - 5737-1</t>
  </si>
  <si>
    <r>
      <t xml:space="preserve">A.E.O. - </t>
    </r>
    <r>
      <rPr>
        <b/>
        <i/>
        <sz val="10"/>
        <color indexed="8"/>
        <rFont val="Arial"/>
        <family val="2"/>
      </rPr>
      <t>RESTO A PAGAR - COMPETÊNCIAS ANTERIORES</t>
    </r>
  </si>
  <si>
    <t>TRANSFERÊNCIAS FINANCEIRAS RECEBIDAS (II)</t>
  </si>
  <si>
    <t>TRANSFERÊNCIAS FINANCEIRAS CONCEDIDAS (VII)</t>
  </si>
  <si>
    <t>Não Processado - FONTE 05</t>
  </si>
  <si>
    <t>Processado - FONTE 00</t>
  </si>
  <si>
    <t>Não Processado - FONTE 00</t>
  </si>
  <si>
    <t>Processado - FONTE 05</t>
  </si>
  <si>
    <t xml:space="preserve">RECEBIMENTOS EXTRAORÇAMENTÁRIOS (III)  </t>
  </si>
  <si>
    <t xml:space="preserve">PAGAMENTOS EXTRAORÇAMENTÁRIOS  (VIII)    </t>
  </si>
  <si>
    <t>RECURSO MÊS ANTERIOR</t>
  </si>
  <si>
    <t>TOTAL RECEBIMENTO ACUMULADO</t>
  </si>
  <si>
    <t>TOTAL PAGAMENTO ACUMULADO</t>
  </si>
  <si>
    <t>Cód. 100071 - Aplicação</t>
  </si>
  <si>
    <t>EXECUÇÃO DE RESTOS A PAGAR PROCESSADO E NÃO PROCESSADOS</t>
  </si>
  <si>
    <t>BALANÇO ORÇAMENTÁRIO</t>
  </si>
  <si>
    <t>ORÇAMENTOS FISCAL E DA SEGURIDADE SOCIAL</t>
  </si>
  <si>
    <t>Previsão Inicial (a)</t>
  </si>
  <si>
    <t>Previsão Atualizada (b)</t>
  </si>
  <si>
    <t>Receitas Realizadas ( c )</t>
  </si>
  <si>
    <t>Saldo d= (c-b)</t>
  </si>
  <si>
    <t>Receita Patrimonial</t>
  </si>
  <si>
    <t>Receita Industrial</t>
  </si>
  <si>
    <t>Receitas de Capital (II)</t>
  </si>
  <si>
    <t>Alienação de Bens</t>
  </si>
  <si>
    <t>Transferências de Capital</t>
  </si>
  <si>
    <t>Outras Receitas de Capital</t>
  </si>
  <si>
    <t>SUBTOTAL DAS RECEITAS (IV) = (I + II + III)</t>
  </si>
  <si>
    <t>Mobiliária</t>
  </si>
  <si>
    <t>Contratual</t>
  </si>
  <si>
    <t>SUBTOTAL COM REFINANCIAMENTO ( VI) = (IV + V)</t>
  </si>
  <si>
    <t>TOTAL (VIII) = (VI + VII)</t>
  </si>
  <si>
    <t>SALDOS DE EXERCÍCIO ANTERIORES</t>
  </si>
  <si>
    <t>Dotação Inicial (e)</t>
  </si>
  <si>
    <t>Dotação Atualizada (f)</t>
  </si>
  <si>
    <t>Despesas Liquidadas (h)</t>
  </si>
  <si>
    <t>Saldo da dotação (j) =(f-g)</t>
  </si>
  <si>
    <t>Despesas de Capital (X)</t>
  </si>
  <si>
    <t>SUBTOTAL DAS DESPESAS (XIII) = (IX + X + XI + XII)</t>
  </si>
  <si>
    <t>Dívida mobiliária</t>
  </si>
  <si>
    <t>Dívida Mobiliária</t>
  </si>
  <si>
    <t>SUBTOTAL COM REFINANCIAMENTO (XV)= (XIII + XIV)</t>
  </si>
  <si>
    <t>TOTAL (XVII) = (XV + XVI)</t>
  </si>
  <si>
    <t>1.9.1.9.32.20.02.00 - FUMCAD - Multas Decorrentes De Sentenças Judiciais</t>
  </si>
  <si>
    <t>Cód. 100991 - 18114-X</t>
  </si>
  <si>
    <t>Exercício Anterior</t>
  </si>
  <si>
    <t>RENDIMENTO FINANCEIRO DA TRANSFERÊNCIA PARA EDUCAÇÃO</t>
  </si>
  <si>
    <r>
      <t xml:space="preserve">5. </t>
    </r>
    <r>
      <rPr>
        <b/>
        <sz val="7"/>
        <rFont val="Arial"/>
        <family val="2"/>
      </rPr>
      <t>Outros Recebimentos Extraorçamentários</t>
    </r>
  </si>
  <si>
    <r>
      <t xml:space="preserve">6. </t>
    </r>
    <r>
      <rPr>
        <b/>
        <sz val="7"/>
        <rFont val="Arial"/>
        <family val="2"/>
      </rPr>
      <t>Outros Pagamentos Extraorçamentários</t>
    </r>
  </si>
  <si>
    <t>Ajuste - Desvinculação de Receita 2017</t>
  </si>
  <si>
    <t>Saida de recurso para pagamento D+1 a ser realizado no mês seguinte</t>
  </si>
  <si>
    <t>RECURSOS A RECEBER</t>
  </si>
  <si>
    <t>RECURSOS A RECEBER - CC 18114-5</t>
  </si>
  <si>
    <t>CC 18114-5 - Créditos – FUMCAD - aguardando conciliação</t>
  </si>
  <si>
    <t>Reclassificação da Arrecadação</t>
  </si>
  <si>
    <t>Debora Eduarda Rezende Sindona</t>
  </si>
  <si>
    <t>Supervisora de Execução Orçamentária e Financeiro</t>
  </si>
  <si>
    <t>Supervisora de Execução Orçamentáriae Financeiro</t>
  </si>
  <si>
    <r>
      <t xml:space="preserve">4. </t>
    </r>
    <r>
      <rPr>
        <b/>
        <sz val="7"/>
        <rFont val="Arial"/>
        <family val="2"/>
      </rPr>
      <t>Caixa e Equivalente de Caixa</t>
    </r>
    <r>
      <rPr>
        <sz val="7"/>
        <rFont val="Arial"/>
        <family val="2"/>
      </rPr>
      <t xml:space="preserve"> - conciliados de acordo com as contas movimentos e de arrecadações de boletos do fundo.</t>
    </r>
  </si>
  <si>
    <t>6.1. Trata-se de recursos extraorçamentários reclassificados como orçamentários, reclassificação entre contas de receitas e transferências de recursos para pagamentos a serem realizados na competência seguinte.</t>
  </si>
  <si>
    <t>CRC 1SP148226/O</t>
  </si>
  <si>
    <t>FUMCAD - Fundo Municipal da Criança e do Adolescente</t>
  </si>
  <si>
    <t>DESVINCULAÇÃO ADICIONAL DA RECEITA - R$5.158.455,99</t>
  </si>
  <si>
    <t>Reclassificação Mensal - devolução por meio depósito judicial</t>
  </si>
  <si>
    <t>3. Receita Patrimonial - Rendimentos financeiros.</t>
  </si>
  <si>
    <r>
      <t xml:space="preserve">3. </t>
    </r>
    <r>
      <rPr>
        <b/>
        <sz val="7"/>
        <rFont val="Arial"/>
        <family val="2"/>
      </rPr>
      <t>Transferências Financeiras Concedidas:</t>
    </r>
  </si>
  <si>
    <t>DESVINCULAÇÃO ADICIONAL DA RECEITA - R$15.480.496,12</t>
  </si>
  <si>
    <t>Superávit Financeiro</t>
  </si>
  <si>
    <t>Débora Eduarda Rezende Sindona</t>
  </si>
  <si>
    <t>DESVINCULAÇÃO ADICIONAL DA RECEITA - R$15.262.094,25</t>
  </si>
  <si>
    <r>
      <rPr>
        <b/>
        <sz val="7"/>
        <rFont val="Arial"/>
        <family val="2"/>
      </rPr>
      <t>7. Receita Orçamentária ORDINÁRIA</t>
    </r>
    <r>
      <rPr>
        <sz val="7"/>
        <rFont val="Arial"/>
        <family val="2"/>
      </rPr>
      <t xml:space="preserve"> - Valor da desvinculação do excercício de 2017. Processo SEI 6017.2017/0004407-8.</t>
    </r>
  </si>
  <si>
    <t>6.2. Pagamento de R$ 96.129,85 referente a dezembro que foi rejeitado e que foi estornado para o Caixa em janeiro 2018.</t>
  </si>
  <si>
    <t>1.3.2.1.00.5.1.01.06.022.001.11.01.000 - FUMCAD</t>
  </si>
  <si>
    <t>1.7.7.0.00.1.1.00.00.000.000.11.01.000 - FUMCAD - Imposto de Renda</t>
  </si>
  <si>
    <t>1.9.9.0.99.1.1.05.00.000.000.11.01.000 - FUMCAD</t>
  </si>
  <si>
    <t>1.3.2.1.00.5.1.01.06.022.001.11.01.000</t>
  </si>
  <si>
    <t>1.7.7.0.00.1.1.00.00.000.000.11.01.000</t>
  </si>
  <si>
    <t xml:space="preserve">1.9.9.0.99.1.1.05.00.000.000.11.01.000 </t>
  </si>
  <si>
    <t>1.9.2.2.99.1.1.01.00.000.000.11.01.000</t>
  </si>
  <si>
    <t>1.9.2.2.99.1.1.01.00.000.000.11.01.000 - FUMCAD - Outras Restituições</t>
  </si>
  <si>
    <t>DEZEMBRO 2018</t>
  </si>
  <si>
    <t>(25955) - FUMCAD</t>
  </si>
  <si>
    <t>(28460) - FUMCAD - Imposto de Renda</t>
  </si>
  <si>
    <t>(28746) - FUMCAD - Outras Restit.</t>
  </si>
  <si>
    <t>(28988) FUMCAD</t>
  </si>
  <si>
    <t>C - Créditos - FUMCAD (31160) - Integração Arrecadação - Apropriação</t>
  </si>
  <si>
    <t>C - Créditos de Repasse FUMCAD (31371) - Integração Arrecadação - Reclassificação</t>
  </si>
  <si>
    <t>4.1. Saldo Inicial ajustado em R$15.262.094,25 em virtude da não transferência financeira, em dezembro 2017, do valor adicional da desvinculação para o Tesouro.</t>
  </si>
  <si>
    <t>5.1. Trata-se da conciliação dos boletos de arrecadações dos créditos e recursos extraorçamentários a apropriar.</t>
  </si>
  <si>
    <t>2. Os documentos que serviram de base para sua apresentação, encontram-se encartados no Processo SEI nº 6074.2018/0000181-9.</t>
  </si>
  <si>
    <t>D - Aprop. em F.IR dos Créditos – FUMCAD de aprop. como rec. da compet. anterior</t>
  </si>
  <si>
    <t>4. Outras Receitas Correntes - Imposto de Renda; Devoluções; Apropriação sem identificação do doador.</t>
  </si>
  <si>
    <t>Valores RENDIMENTO DA CONTA SME - PROJETO MAIS ESCOLA</t>
  </si>
  <si>
    <t>D - Créditos - FUMCAD (31160) - Integração Arrecadação - Apropriação</t>
  </si>
  <si>
    <t>RESTOS A PAGAR  PROCESSADO</t>
  </si>
  <si>
    <t>RESTOS A PAGAR NÃO PROCESSADO</t>
  </si>
  <si>
    <t>5.2. Do valor R$5.000,00 debitado através da Guia de Remessa nº 135758/2017 na conta Créditos - FUMCAD, que reclassificamos para SAF 28460, conforme solicitação as fls. 41 do processo 2017-0.042.588-5.</t>
  </si>
  <si>
    <t xml:space="preserve">EMPENHOS NÃO LIQUIDADOS A PAGAR </t>
  </si>
  <si>
    <t xml:space="preserve">EMPENHOS LIQUIDADOS A PAGAR </t>
  </si>
  <si>
    <t xml:space="preserve">CAIXA E EQUIVALENTES DE CAIXA </t>
  </si>
  <si>
    <t>Carlos Benito Martinez</t>
  </si>
  <si>
    <t>CRC 1SP124487/O-6</t>
  </si>
  <si>
    <t>transferencia mais escolas</t>
  </si>
  <si>
    <t>3.1. Redimentos financeiros, do recurso transferido para o Projeto Mais Escola , repassados para SME (MAIS O REPASSE COMPLEMENTAR DO PROJETO MAIS ESCOLA DECRETO Nº 58.163/2018</t>
  </si>
  <si>
    <t>4.2. AJUSTE  no saldo do Disponível do mês de Abril/18 de R$ 453.315,34  - referente a pagamentos efetuados, sem a contrapartida do FUMCAD, regularizado em 7/05/2018 por SF/ Defin/Didis nº 2170/2018 - lcto nº5936</t>
  </si>
  <si>
    <t>5.3. Recolhimento efetuado por meio de DRD nº 774/2017, ref. valor depositado ao FUMCAD de R$ 200,00, ofício nº 576/2016 do TJSP, cf. fls. 26 do processo 2017-0.120.214-6</t>
  </si>
  <si>
    <t>Sec.Munic.de Direitos Humanos e Cidadania</t>
  </si>
  <si>
    <t xml:space="preserve">PAGAMENTOS DE RESTOS A PAGAR NÃO PROCESSADOS </t>
  </si>
  <si>
    <t xml:space="preserve">PAGAMENTOS DE RESTOS A PAGAR PROCESSADOS </t>
  </si>
  <si>
    <t xml:space="preserve">INSCRIÇÃO RESTOS A PAGAR NÃO PROCESSADOS </t>
  </si>
  <si>
    <t xml:space="preserve">INSCRIÇÃO RESTOS A PAGAR PROCESSADOS </t>
  </si>
  <si>
    <t>anterior</t>
  </si>
  <si>
    <t>atual</t>
  </si>
  <si>
    <t>-</t>
  </si>
  <si>
    <t xml:space="preserve"> Analista de Planej. e Desenv. Organiz. - Contador</t>
  </si>
  <si>
    <t>5.4. Recebimento  atraves de determinação judicial no valor de R$ 4.389.91, tratado no processo  SEI 6021.2018/0009647-0, conforme informado por SF / Sutem/Didis.</t>
  </si>
  <si>
    <t>JUNHO 2018</t>
  </si>
  <si>
    <t>3.2  Desvinculação de Receitas Municipais, referentes a Portaria SF nº 220 de 28/07/2018  e Decreto nº 57.380/2016 -   R$ 2.951.853,74.</t>
  </si>
  <si>
    <t>Berenice Maria Giannella</t>
  </si>
  <si>
    <t xml:space="preserve">CPF: </t>
  </si>
  <si>
    <t>Berenice Maria  Giannella</t>
  </si>
  <si>
    <t>5.5  Reclassificação efetuada por Didis referente a DRD nº 3294/2018 no valor de R$ 957,00, para a conta do FUMCAD - mês de Julho.</t>
  </si>
  <si>
    <r>
      <t xml:space="preserve">3. </t>
    </r>
    <r>
      <rPr>
        <b/>
        <sz val="8.15"/>
        <rFont val="Arial"/>
        <family val="2"/>
      </rPr>
      <t>Transferências Financeiras Concedidas:</t>
    </r>
  </si>
  <si>
    <r>
      <t xml:space="preserve">4. </t>
    </r>
    <r>
      <rPr>
        <b/>
        <sz val="8.15"/>
        <rFont val="Arial"/>
        <family val="2"/>
      </rPr>
      <t>Caixa e Equivalente de Caixa</t>
    </r>
    <r>
      <rPr>
        <sz val="8.15"/>
        <rFont val="Arial"/>
        <family val="2"/>
      </rPr>
      <t xml:space="preserve"> - conciliados de acordo com as contas movimentos e de arrecadações de boletos do fundo.</t>
    </r>
  </si>
  <si>
    <r>
      <t xml:space="preserve">5. </t>
    </r>
    <r>
      <rPr>
        <b/>
        <sz val="8.15"/>
        <rFont val="Arial"/>
        <family val="2"/>
      </rPr>
      <t>Outros Recebimentos Extraorçamentários</t>
    </r>
  </si>
  <si>
    <r>
      <t xml:space="preserve">6. </t>
    </r>
    <r>
      <rPr>
        <b/>
        <sz val="8.15"/>
        <rFont val="Arial"/>
        <family val="2"/>
      </rPr>
      <t>Outros Pagamentos Extraorçamentários</t>
    </r>
  </si>
  <si>
    <r>
      <t xml:space="preserve">7. </t>
    </r>
    <r>
      <rPr>
        <b/>
        <sz val="8.15"/>
        <rFont val="Arial"/>
        <family val="2"/>
      </rPr>
      <t xml:space="preserve">Receita Orçamentária Ordinária - </t>
    </r>
    <r>
      <rPr>
        <sz val="8.15"/>
        <rFont val="Arial"/>
        <family val="2"/>
      </rPr>
      <t>Valor da desvinculação do exercício de 2018, dos valores arrecadados de  Janeiro até 30/06/2018.</t>
    </r>
  </si>
  <si>
    <t>CPF: 119.045.358-44</t>
  </si>
  <si>
    <t>..\7.Julho\Desvinculação da Receita - Julho 2018  ´Procedimentos.docx</t>
  </si>
  <si>
    <t>CPF:  119.045.358-44</t>
  </si>
  <si>
    <t xml:space="preserve"> </t>
  </si>
  <si>
    <t>dados do Exercício Anterior no Bal de Dezembro está no Mês de  DEZ17 e foi digitado - consistetes com o planilha de 2017</t>
  </si>
  <si>
    <t>4.2 Restituição de depósito efetuado na conta do Fumcad, no valor de R$ 122,50, conf. Despacho Autorizatório, referente a depósito indevido na conta 8946 -x ,processo n.º 2018.0.078.297-3.</t>
  </si>
  <si>
    <t>verificar se ocorre em agosto</t>
  </si>
  <si>
    <t>6.2. Saida de recursos do disponível,  no importe de R$ 49.185,34,  sendo pago no mês seguinte.</t>
  </si>
  <si>
    <t>dados do Exercício Atual no Bal de Dezembro está no Mês de  AGOST 2018,  está consistente com o mês.</t>
  </si>
  <si>
    <t>SETEMBRO 2018</t>
  </si>
  <si>
    <t>COMPETÊNCIA: SETEMBRO 2018</t>
  </si>
  <si>
    <t>6.2. Saida de recursos do Disponivel do mês de  Setembro, no valor de R$ 200.423,30 sendo  R$ 151.237,96  e R$ 49.185,34, a serem regularizados por SF/SUTEM/DEDIS.</t>
  </si>
  <si>
    <t xml:space="preserve">TOTAL (V) = (I+II+III+IV)
</t>
  </si>
  <si>
    <t>TOTAL (X) = (VI+VII+VIII+IX)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</si>
</sst>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  <numFmt numFmtId="167" formatCode="&quot;R$ &quot;#,##0.00_);[Red]&quot;(R$ &quot;#,##0.00\)"/>
    <numFmt numFmtId="168" formatCode="[$-416]dddd\,\ d&quot; de &quot;mmmm&quot; de &quot;yyyy"/>
    <numFmt numFmtId="169" formatCode="[$-416]mmmm\-yy;@"/>
    <numFmt numFmtId="170" formatCode="_-* #,##0.000_-;\-* #,##0.000_-;_-* &quot;-&quot;??_-;_-@_-"/>
    <numFmt numFmtId="171" formatCode="_-* #,##0.0000_-;\-* #,##0.00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416]mmm\-yy;@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#,##0.00;[Red]#,##0.00"/>
    <numFmt numFmtId="192" formatCode="#,##0.00_ ;\-#,##0.00\ "/>
  </numFmts>
  <fonts count="70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61"/>
      <name val="Calibri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5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52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indexed="10"/>
      <name val="Arial"/>
      <family val="2"/>
    </font>
    <font>
      <b/>
      <sz val="7"/>
      <color indexed="52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9"/>
      <name val="Tahoma"/>
      <family val="2"/>
    </font>
    <font>
      <sz val="8.15"/>
      <name val="Arial"/>
      <family val="2"/>
    </font>
    <font>
      <sz val="8.15"/>
      <color indexed="8"/>
      <name val="Arial"/>
      <family val="2"/>
    </font>
    <font>
      <b/>
      <sz val="8.15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51"/>
      <name val="Arial"/>
      <family val="2"/>
    </font>
    <font>
      <b/>
      <sz val="7"/>
      <color indexed="10"/>
      <name val="Arial"/>
      <family val="2"/>
    </font>
    <font>
      <b/>
      <sz val="8.15"/>
      <color indexed="10"/>
      <name val="Arial"/>
      <family val="2"/>
    </font>
    <font>
      <sz val="8"/>
      <color rgb="FFFF0000"/>
      <name val="Arial"/>
      <family val="2"/>
    </font>
    <font>
      <sz val="8"/>
      <color rgb="FFFFC000"/>
      <name val="Arial"/>
      <family val="2"/>
    </font>
    <font>
      <b/>
      <sz val="7"/>
      <color theme="1"/>
      <name val="Arial"/>
      <family val="2"/>
    </font>
    <font>
      <b/>
      <sz val="8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theme="1"/>
      <name val="Arial"/>
      <family val="2"/>
    </font>
    <font>
      <b/>
      <i/>
      <sz val="10"/>
      <color theme="1"/>
      <name val="Arial"/>
      <family val="2"/>
    </font>
    <font>
      <b/>
      <sz val="8.15"/>
      <color rgb="FFFF0000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/>
    </border>
    <border>
      <left style="medium"/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 style="medium"/>
      <right>
        <color indexed="63"/>
      </right>
      <top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6">
    <xf numFmtId="0" fontId="0" fillId="0" borderId="0">
      <alignment vertical="top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1" fillId="4" borderId="4" applyNumberFormat="0" applyFont="0" applyAlignment="0" applyProtection="0"/>
    <xf numFmtId="9" fontId="11" fillId="0" borderId="0" applyFont="0" applyFill="0" applyBorder="0" applyAlignment="0" applyProtection="0"/>
    <xf numFmtId="0" fontId="14" fillId="11" borderId="5" applyNumberFormat="0" applyAlignment="0" applyProtection="0"/>
    <xf numFmtId="41" fontId="11" fillId="0" borderId="0" applyFont="0" applyFill="0" applyBorder="0" applyAlignment="0" applyProtection="0"/>
    <xf numFmtId="166" fontId="13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11" fillId="0" borderId="0" applyFont="0" applyFill="0" applyBorder="0" applyAlignment="0" applyProtection="0"/>
  </cellStyleXfs>
  <cellXfs count="475">
    <xf numFmtId="0" fontId="0" fillId="0" borderId="0" xfId="0" applyAlignment="1">
      <alignment vertical="top"/>
    </xf>
    <xf numFmtId="0" fontId="23" fillId="0" borderId="0" xfId="0" applyFont="1" applyFill="1" applyAlignment="1">
      <alignment vertical="center"/>
    </xf>
    <xf numFmtId="43" fontId="23" fillId="0" borderId="0" xfId="65" applyFont="1" applyFill="1" applyAlignment="1">
      <alignment vertical="center"/>
    </xf>
    <xf numFmtId="0" fontId="23" fillId="0" borderId="0" xfId="0" applyFont="1" applyFill="1" applyAlignment="1">
      <alignment horizontal="center" vertical="center" wrapText="1" readingOrder="1"/>
    </xf>
    <xf numFmtId="0" fontId="23" fillId="0" borderId="0" xfId="0" applyFont="1" applyFill="1" applyAlignment="1">
      <alignment horizontal="right" vertical="center" wrapText="1" readingOrder="1"/>
    </xf>
    <xf numFmtId="0" fontId="25" fillId="17" borderId="10" xfId="0" applyFont="1" applyFill="1" applyBorder="1" applyAlignment="1">
      <alignment horizontal="center" vertical="center" readingOrder="1"/>
    </xf>
    <xf numFmtId="164" fontId="25" fillId="0" borderId="11" xfId="0" applyNumberFormat="1" applyFont="1" applyFill="1" applyBorder="1" applyAlignment="1">
      <alignment vertical="center"/>
    </xf>
    <xf numFmtId="165" fontId="23" fillId="0" borderId="0" xfId="0" applyNumberFormat="1" applyFont="1" applyFill="1" applyAlignment="1">
      <alignment vertical="center"/>
    </xf>
    <xf numFmtId="2" fontId="23" fillId="0" borderId="0" xfId="0" applyNumberFormat="1" applyFont="1" applyFill="1" applyAlignment="1">
      <alignment vertical="center"/>
    </xf>
    <xf numFmtId="164" fontId="23" fillId="0" borderId="11" xfId="0" applyNumberFormat="1" applyFont="1" applyFill="1" applyBorder="1" applyAlignment="1">
      <alignment vertical="center"/>
    </xf>
    <xf numFmtId="165" fontId="23" fillId="0" borderId="0" xfId="65" applyNumberFormat="1" applyFont="1" applyFill="1" applyAlignment="1">
      <alignment vertical="center"/>
    </xf>
    <xf numFmtId="164" fontId="23" fillId="0" borderId="12" xfId="0" applyNumberFormat="1" applyFont="1" applyFill="1" applyBorder="1" applyAlignment="1">
      <alignment vertical="center"/>
    </xf>
    <xf numFmtId="164" fontId="25" fillId="0" borderId="12" xfId="0" applyNumberFormat="1" applyFont="1" applyFill="1" applyBorder="1" applyAlignment="1">
      <alignment vertical="center"/>
    </xf>
    <xf numFmtId="164" fontId="23" fillId="0" borderId="13" xfId="0" applyNumberFormat="1" applyFont="1" applyFill="1" applyBorder="1" applyAlignment="1">
      <alignment vertical="center"/>
    </xf>
    <xf numFmtId="164" fontId="25" fillId="0" borderId="10" xfId="0" applyNumberFormat="1" applyFont="1" applyFill="1" applyBorder="1" applyAlignment="1">
      <alignment vertical="center"/>
    </xf>
    <xf numFmtId="43" fontId="23" fillId="0" borderId="0" xfId="0" applyNumberFormat="1" applyFont="1" applyFill="1" applyAlignment="1">
      <alignment vertical="center"/>
    </xf>
    <xf numFmtId="164" fontId="25" fillId="0" borderId="10" xfId="0" applyNumberFormat="1" applyFont="1" applyFill="1" applyBorder="1" applyAlignment="1">
      <alignment horizontal="right" vertical="center"/>
    </xf>
    <xf numFmtId="165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 readingOrder="1"/>
    </xf>
    <xf numFmtId="0" fontId="25" fillId="0" borderId="0" xfId="0" applyFont="1" applyFill="1" applyAlignment="1">
      <alignment vertical="center" readingOrder="1"/>
    </xf>
    <xf numFmtId="164" fontId="25" fillId="0" borderId="0" xfId="0" applyNumberFormat="1" applyFont="1" applyFill="1" applyAlignment="1">
      <alignment vertical="center"/>
    </xf>
    <xf numFmtId="164" fontId="25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readingOrder="1"/>
    </xf>
    <xf numFmtId="43" fontId="23" fillId="0" borderId="0" xfId="65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readingOrder="1"/>
    </xf>
    <xf numFmtId="0" fontId="29" fillId="0" borderId="0" xfId="0" applyFont="1" applyFill="1" applyAlignment="1">
      <alignment vertical="center" readingOrder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 vertical="center"/>
    </xf>
    <xf numFmtId="0" fontId="21" fillId="0" borderId="0" xfId="51" applyFont="1" applyAlignment="1">
      <alignment horizontal="center"/>
      <protection/>
    </xf>
    <xf numFmtId="0" fontId="1" fillId="0" borderId="0" xfId="51">
      <alignment/>
      <protection/>
    </xf>
    <xf numFmtId="166" fontId="1" fillId="0" borderId="12" xfId="65" applyNumberFormat="1" applyFont="1" applyBorder="1" applyAlignment="1">
      <alignment/>
    </xf>
    <xf numFmtId="166" fontId="21" fillId="6" borderId="10" xfId="65" applyNumberFormat="1" applyFont="1" applyFill="1" applyBorder="1" applyAlignment="1">
      <alignment/>
    </xf>
    <xf numFmtId="166" fontId="1" fillId="0" borderId="12" xfId="51" applyNumberFormat="1" applyBorder="1">
      <alignment/>
      <protection/>
    </xf>
    <xf numFmtId="166" fontId="1" fillId="6" borderId="11" xfId="51" applyNumberFormat="1" applyFill="1" applyBorder="1">
      <alignment/>
      <protection/>
    </xf>
    <xf numFmtId="0" fontId="21" fillId="0" borderId="0" xfId="51" applyFont="1">
      <alignment/>
      <protection/>
    </xf>
    <xf numFmtId="166" fontId="1" fillId="6" borderId="13" xfId="65" applyNumberFormat="1" applyFont="1" applyFill="1" applyBorder="1" applyAlignment="1">
      <alignment/>
    </xf>
    <xf numFmtId="0" fontId="1" fillId="0" borderId="11" xfId="51" applyBorder="1">
      <alignment/>
      <protection/>
    </xf>
    <xf numFmtId="0" fontId="21" fillId="0" borderId="0" xfId="51" applyFont="1" applyBorder="1">
      <alignment/>
      <protection/>
    </xf>
    <xf numFmtId="0" fontId="1" fillId="0" borderId="0" xfId="51" applyBorder="1">
      <alignment/>
      <protection/>
    </xf>
    <xf numFmtId="0" fontId="1" fillId="0" borderId="0" xfId="51" applyAlignment="1">
      <alignment horizontal="center" vertical="center" wrapText="1"/>
      <protection/>
    </xf>
    <xf numFmtId="43" fontId="21" fillId="0" borderId="0" xfId="51" applyNumberFormat="1" applyFont="1" applyAlignment="1">
      <alignment horizontal="center"/>
      <protection/>
    </xf>
    <xf numFmtId="0" fontId="21" fillId="6" borderId="14" xfId="51" applyFont="1" applyFill="1" applyBorder="1" applyAlignment="1">
      <alignment horizontal="center" vertical="center" wrapText="1"/>
      <protection/>
    </xf>
    <xf numFmtId="0" fontId="21" fillId="6" borderId="15" xfId="51" applyFont="1" applyFill="1" applyBorder="1" applyAlignment="1">
      <alignment horizontal="center" wrapText="1"/>
      <protection/>
    </xf>
    <xf numFmtId="0" fontId="21" fillId="6" borderId="15" xfId="51" applyFont="1" applyFill="1" applyBorder="1">
      <alignment/>
      <protection/>
    </xf>
    <xf numFmtId="166" fontId="21" fillId="6" borderId="14" xfId="65" applyNumberFormat="1" applyFont="1" applyFill="1" applyBorder="1" applyAlignment="1">
      <alignment/>
    </xf>
    <xf numFmtId="166" fontId="21" fillId="6" borderId="15" xfId="65" applyNumberFormat="1" applyFont="1" applyFill="1" applyBorder="1" applyAlignment="1">
      <alignment/>
    </xf>
    <xf numFmtId="166" fontId="21" fillId="6" borderId="16" xfId="65" applyNumberFormat="1" applyFont="1" applyFill="1" applyBorder="1" applyAlignment="1">
      <alignment/>
    </xf>
    <xf numFmtId="166" fontId="1" fillId="0" borderId="17" xfId="51" applyNumberFormat="1" applyBorder="1">
      <alignment/>
      <protection/>
    </xf>
    <xf numFmtId="166" fontId="1" fillId="0" borderId="18" xfId="51" applyNumberFormat="1" applyBorder="1">
      <alignment/>
      <protection/>
    </xf>
    <xf numFmtId="166" fontId="1" fillId="0" borderId="19" xfId="51" applyNumberFormat="1" applyBorder="1">
      <alignment/>
      <protection/>
    </xf>
    <xf numFmtId="166" fontId="1" fillId="0" borderId="18" xfId="65" applyNumberFormat="1" applyFont="1" applyBorder="1" applyAlignment="1">
      <alignment/>
    </xf>
    <xf numFmtId="166" fontId="1" fillId="0" borderId="17" xfId="65" applyNumberFormat="1" applyFont="1" applyBorder="1" applyAlignment="1">
      <alignment/>
    </xf>
    <xf numFmtId="166" fontId="1" fillId="0" borderId="20" xfId="51" applyNumberFormat="1" applyBorder="1">
      <alignment/>
      <protection/>
    </xf>
    <xf numFmtId="0" fontId="21" fillId="6" borderId="14" xfId="51" applyFont="1" applyFill="1" applyBorder="1">
      <alignment/>
      <protection/>
    </xf>
    <xf numFmtId="166" fontId="1" fillId="0" borderId="18" xfId="65" applyNumberFormat="1" applyFont="1" applyFill="1" applyBorder="1" applyAlignment="1">
      <alignment/>
    </xf>
    <xf numFmtId="166" fontId="1" fillId="0" borderId="21" xfId="51" applyNumberFormat="1" applyBorder="1">
      <alignment/>
      <protection/>
    </xf>
    <xf numFmtId="0" fontId="0" fillId="0" borderId="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11" fillId="0" borderId="10" xfId="0" applyFont="1" applyFill="1" applyBorder="1" applyAlignment="1">
      <alignment horizontal="left" vertical="top"/>
    </xf>
    <xf numFmtId="0" fontId="33" fillId="8" borderId="10" xfId="0" applyFont="1" applyFill="1" applyBorder="1" applyAlignment="1">
      <alignment vertical="center" wrapText="1"/>
    </xf>
    <xf numFmtId="0" fontId="33" fillId="18" borderId="10" xfId="0" applyFont="1" applyFill="1" applyBorder="1" applyAlignment="1">
      <alignment horizontal="center" vertical="center" wrapText="1"/>
    </xf>
    <xf numFmtId="0" fontId="33" fillId="8" borderId="1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33" fillId="8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8" borderId="10" xfId="0" applyFill="1" applyBorder="1" applyAlignment="1">
      <alignment vertical="top"/>
    </xf>
    <xf numFmtId="0" fontId="0" fillId="8" borderId="0" xfId="0" applyFill="1" applyBorder="1" applyAlignment="1">
      <alignment horizontal="center" vertical="center" wrapText="1"/>
    </xf>
    <xf numFmtId="0" fontId="33" fillId="8" borderId="0" xfId="0" applyFont="1" applyFill="1" applyBorder="1" applyAlignment="1">
      <alignment vertical="center" wrapText="1"/>
    </xf>
    <xf numFmtId="165" fontId="0" fillId="0" borderId="10" xfId="0" applyNumberFormat="1" applyBorder="1" applyAlignment="1">
      <alignment vertical="top"/>
    </xf>
    <xf numFmtId="165" fontId="0" fillId="18" borderId="10" xfId="0" applyNumberFormat="1" applyFill="1" applyBorder="1" applyAlignment="1">
      <alignment vertical="top"/>
    </xf>
    <xf numFmtId="165" fontId="0" fillId="0" borderId="0" xfId="0" applyNumberFormat="1" applyFill="1" applyBorder="1" applyAlignment="1">
      <alignment vertical="top"/>
    </xf>
    <xf numFmtId="165" fontId="0" fillId="0" borderId="0" xfId="0" applyNumberFormat="1" applyAlignment="1">
      <alignment vertical="top"/>
    </xf>
    <xf numFmtId="165" fontId="0" fillId="8" borderId="0" xfId="0" applyNumberFormat="1" applyFill="1" applyBorder="1" applyAlignment="1">
      <alignment vertical="top"/>
    </xf>
    <xf numFmtId="40" fontId="0" fillId="0" borderId="10" xfId="0" applyNumberFormat="1" applyBorder="1" applyAlignment="1">
      <alignment vertical="top"/>
    </xf>
    <xf numFmtId="164" fontId="23" fillId="11" borderId="12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 wrapText="1" readingOrder="1"/>
    </xf>
    <xf numFmtId="0" fontId="23" fillId="0" borderId="0" xfId="0" applyFont="1" applyFill="1" applyAlignment="1">
      <alignment horizontal="center" vertical="center" readingOrder="1"/>
    </xf>
    <xf numFmtId="0" fontId="35" fillId="0" borderId="0" xfId="0" applyFont="1" applyFill="1" applyAlignment="1">
      <alignment horizontal="center" vertical="center" readingOrder="1"/>
    </xf>
    <xf numFmtId="0" fontId="35" fillId="0" borderId="0" xfId="0" applyFont="1" applyFill="1" applyAlignment="1">
      <alignment horizontal="center" vertical="center"/>
    </xf>
    <xf numFmtId="0" fontId="33" fillId="0" borderId="22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164" fontId="23" fillId="19" borderId="12" xfId="0" applyNumberFormat="1" applyFont="1" applyFill="1" applyBorder="1" applyAlignment="1">
      <alignment vertical="center"/>
    </xf>
    <xf numFmtId="49" fontId="1" fillId="0" borderId="0" xfId="51" applyNumberFormat="1">
      <alignment/>
      <protection/>
    </xf>
    <xf numFmtId="17" fontId="32" fillId="6" borderId="23" xfId="0" applyNumberFormat="1" applyFont="1" applyFill="1" applyBorder="1" applyAlignment="1">
      <alignment horizontal="center" vertical="top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vertical="center" wrapText="1"/>
    </xf>
    <xf numFmtId="0" fontId="33" fillId="5" borderId="10" xfId="0" applyFont="1" applyFill="1" applyBorder="1" applyAlignment="1">
      <alignment horizontal="center" vertical="center" wrapText="1"/>
    </xf>
    <xf numFmtId="165" fontId="0" fillId="5" borderId="10" xfId="0" applyNumberFormat="1" applyFill="1" applyBorder="1" applyAlignment="1">
      <alignment vertical="top"/>
    </xf>
    <xf numFmtId="165" fontId="11" fillId="5" borderId="10" xfId="0" applyNumberFormat="1" applyFont="1" applyFill="1" applyBorder="1" applyAlignment="1">
      <alignment vertical="top"/>
    </xf>
    <xf numFmtId="0" fontId="11" fillId="5" borderId="10" xfId="0" applyFont="1" applyFill="1" applyBorder="1" applyAlignment="1">
      <alignment vertical="center"/>
    </xf>
    <xf numFmtId="0" fontId="11" fillId="5" borderId="10" xfId="0" applyFont="1" applyFill="1" applyBorder="1" applyAlignment="1">
      <alignment vertical="center" wrapText="1"/>
    </xf>
    <xf numFmtId="0" fontId="36" fillId="19" borderId="10" xfId="0" applyFont="1" applyFill="1" applyBorder="1" applyAlignment="1">
      <alignment horizontal="center" vertical="center" wrapText="1"/>
    </xf>
    <xf numFmtId="165" fontId="37" fillId="19" borderId="10" xfId="0" applyNumberFormat="1" applyFont="1" applyFill="1" applyBorder="1" applyAlignment="1">
      <alignment vertical="top"/>
    </xf>
    <xf numFmtId="0" fontId="33" fillId="20" borderId="10" xfId="0" applyFont="1" applyFill="1" applyBorder="1" applyAlignment="1">
      <alignment horizontal="center" vertical="center" wrapText="1"/>
    </xf>
    <xf numFmtId="165" fontId="0" fillId="20" borderId="10" xfId="0" applyNumberFormat="1" applyFill="1" applyBorder="1" applyAlignment="1">
      <alignment vertical="top"/>
    </xf>
    <xf numFmtId="164" fontId="38" fillId="0" borderId="10" xfId="0" applyNumberFormat="1" applyFont="1" applyFill="1" applyBorder="1" applyAlignment="1">
      <alignment vertical="center"/>
    </xf>
    <xf numFmtId="164" fontId="39" fillId="19" borderId="12" xfId="0" applyNumberFormat="1" applyFont="1" applyFill="1" applyBorder="1" applyAlignment="1">
      <alignment vertical="center"/>
    </xf>
    <xf numFmtId="164" fontId="39" fillId="0" borderId="12" xfId="0" applyNumberFormat="1" applyFont="1" applyFill="1" applyBorder="1" applyAlignment="1">
      <alignment vertical="center"/>
    </xf>
    <xf numFmtId="164" fontId="38" fillId="0" borderId="12" xfId="0" applyNumberFormat="1" applyFont="1" applyFill="1" applyBorder="1" applyAlignment="1">
      <alignment vertical="center"/>
    </xf>
    <xf numFmtId="0" fontId="32" fillId="0" borderId="0" xfId="0" applyFont="1" applyAlignment="1">
      <alignment vertical="top"/>
    </xf>
    <xf numFmtId="0" fontId="34" fillId="18" borderId="10" xfId="0" applyFont="1" applyFill="1" applyBorder="1" applyAlignment="1">
      <alignment horizontal="center" vertical="center" wrapText="1"/>
    </xf>
    <xf numFmtId="165" fontId="32" fillId="18" borderId="10" xfId="0" applyNumberFormat="1" applyFont="1" applyFill="1" applyBorder="1" applyAlignment="1">
      <alignment vertical="top"/>
    </xf>
    <xf numFmtId="40" fontId="0" fillId="0" borderId="0" xfId="0" applyNumberFormat="1" applyAlignment="1">
      <alignment vertical="top"/>
    </xf>
    <xf numFmtId="165" fontId="11" fillId="0" borderId="10" xfId="0" applyNumberFormat="1" applyFont="1" applyBorder="1" applyAlignment="1">
      <alignment vertical="top"/>
    </xf>
    <xf numFmtId="0" fontId="32" fillId="0" borderId="0" xfId="0" applyFont="1" applyBorder="1" applyAlignment="1">
      <alignment horizontal="center" vertical="center" wrapText="1"/>
    </xf>
    <xf numFmtId="40" fontId="0" fillId="0" borderId="10" xfId="0" applyNumberFormat="1" applyFill="1" applyBorder="1" applyAlignment="1">
      <alignment vertical="top"/>
    </xf>
    <xf numFmtId="43" fontId="23" fillId="0" borderId="0" xfId="65" applyFont="1" applyFill="1" applyAlignment="1">
      <alignment horizontal="left" vertical="center" readingOrder="1"/>
    </xf>
    <xf numFmtId="14" fontId="1" fillId="19" borderId="0" xfId="51" applyNumberFormat="1" applyFill="1">
      <alignment/>
      <protection/>
    </xf>
    <xf numFmtId="166" fontId="1" fillId="0" borderId="17" xfId="51" applyNumberFormat="1" applyFill="1" applyBorder="1">
      <alignment/>
      <protection/>
    </xf>
    <xf numFmtId="166" fontId="1" fillId="0" borderId="18" xfId="51" applyNumberFormat="1" applyFill="1" applyBorder="1">
      <alignment/>
      <protection/>
    </xf>
    <xf numFmtId="0" fontId="41" fillId="0" borderId="0" xfId="0" applyFont="1" applyFill="1" applyAlignment="1">
      <alignment vertical="center" readingOrder="1"/>
    </xf>
    <xf numFmtId="0" fontId="42" fillId="0" borderId="0" xfId="0" applyFont="1" applyFill="1" applyAlignment="1">
      <alignment vertical="center" readingOrder="1"/>
    </xf>
    <xf numFmtId="164" fontId="42" fillId="0" borderId="0" xfId="0" applyNumberFormat="1" applyFont="1" applyFill="1" applyAlignment="1">
      <alignment vertical="center"/>
    </xf>
    <xf numFmtId="164" fontId="42" fillId="0" borderId="0" xfId="0" applyNumberFormat="1" applyFont="1" applyFill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left" vertical="center" readingOrder="1"/>
    </xf>
    <xf numFmtId="0" fontId="43" fillId="0" borderId="0" xfId="0" applyFont="1" applyFill="1" applyAlignment="1">
      <alignment horizontal="right" vertical="center"/>
    </xf>
    <xf numFmtId="43" fontId="43" fillId="0" borderId="0" xfId="0" applyNumberFormat="1" applyFont="1" applyFill="1" applyAlignment="1">
      <alignment vertical="center"/>
    </xf>
    <xf numFmtId="43" fontId="43" fillId="0" borderId="0" xfId="65" applyFont="1" applyFill="1" applyAlignment="1">
      <alignment horizontal="right" vertical="center"/>
    </xf>
    <xf numFmtId="165" fontId="46" fillId="18" borderId="10" xfId="0" applyNumberFormat="1" applyFont="1" applyFill="1" applyBorder="1" applyAlignment="1">
      <alignment vertical="top"/>
    </xf>
    <xf numFmtId="43" fontId="0" fillId="0" borderId="0" xfId="65" applyFont="1" applyAlignment="1">
      <alignment vertical="top"/>
    </xf>
    <xf numFmtId="0" fontId="44" fillId="0" borderId="0" xfId="0" applyFont="1" applyFill="1" applyAlignment="1">
      <alignment vertical="center" wrapText="1" readingOrder="1"/>
    </xf>
    <xf numFmtId="0" fontId="25" fillId="17" borderId="22" xfId="0" applyFont="1" applyFill="1" applyBorder="1" applyAlignment="1">
      <alignment horizontal="center" vertical="center" readingOrder="1"/>
    </xf>
    <xf numFmtId="0" fontId="25" fillId="17" borderId="24" xfId="0" applyFont="1" applyFill="1" applyBorder="1" applyAlignment="1">
      <alignment horizontal="center" vertical="center" readingOrder="1"/>
    </xf>
    <xf numFmtId="0" fontId="25" fillId="17" borderId="23" xfId="0" applyFont="1" applyFill="1" applyBorder="1" applyAlignment="1">
      <alignment horizontal="center" vertical="center" readingOrder="1"/>
    </xf>
    <xf numFmtId="164" fontId="23" fillId="0" borderId="25" xfId="0" applyNumberFormat="1" applyFont="1" applyFill="1" applyBorder="1" applyAlignment="1">
      <alignment vertical="center"/>
    </xf>
    <xf numFmtId="164" fontId="23" fillId="0" borderId="26" xfId="0" applyNumberFormat="1" applyFont="1" applyFill="1" applyBorder="1" applyAlignment="1">
      <alignment vertical="center"/>
    </xf>
    <xf numFmtId="164" fontId="23" fillId="0" borderId="27" xfId="0" applyNumberFormat="1" applyFont="1" applyFill="1" applyBorder="1" applyAlignment="1">
      <alignment vertical="center"/>
    </xf>
    <xf numFmtId="9" fontId="29" fillId="0" borderId="0" xfId="53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164" fontId="23" fillId="0" borderId="0" xfId="65" applyNumberFormat="1" applyFont="1" applyFill="1" applyAlignment="1">
      <alignment horizontal="right" vertical="center"/>
    </xf>
    <xf numFmtId="0" fontId="11" fillId="19" borderId="10" xfId="0" applyFont="1" applyFill="1" applyBorder="1" applyAlignment="1">
      <alignment horizontal="left" vertical="top"/>
    </xf>
    <xf numFmtId="40" fontId="0" fillId="19" borderId="10" xfId="0" applyNumberFormat="1" applyFill="1" applyBorder="1" applyAlignment="1">
      <alignment vertical="top"/>
    </xf>
    <xf numFmtId="43" fontId="23" fillId="0" borderId="0" xfId="0" applyNumberFormat="1" applyFont="1" applyFill="1" applyAlignment="1">
      <alignment horizontal="left" vertical="center" readingOrder="1"/>
    </xf>
    <xf numFmtId="164" fontId="23" fillId="0" borderId="0" xfId="0" applyNumberFormat="1" applyFont="1" applyFill="1" applyAlignment="1">
      <alignment horizontal="right" vertical="center"/>
    </xf>
    <xf numFmtId="165" fontId="0" fillId="0" borderId="10" xfId="0" applyNumberFormat="1" applyFill="1" applyBorder="1" applyAlignment="1">
      <alignment vertical="top"/>
    </xf>
    <xf numFmtId="43" fontId="0" fillId="0" borderId="28" xfId="65" applyFont="1" applyBorder="1" applyAlignment="1">
      <alignment/>
    </xf>
    <xf numFmtId="40" fontId="34" fillId="18" borderId="10" xfId="0" applyNumberFormat="1" applyFont="1" applyFill="1" applyBorder="1" applyAlignment="1">
      <alignment horizontal="center" vertical="center" wrapText="1"/>
    </xf>
    <xf numFmtId="40" fontId="32" fillId="18" borderId="10" xfId="0" applyNumberFormat="1" applyFont="1" applyFill="1" applyBorder="1" applyAlignment="1">
      <alignment vertical="top"/>
    </xf>
    <xf numFmtId="43" fontId="33" fillId="8" borderId="10" xfId="65" applyFont="1" applyFill="1" applyBorder="1" applyAlignment="1">
      <alignment vertical="center" wrapText="1"/>
    </xf>
    <xf numFmtId="192" fontId="33" fillId="8" borderId="10" xfId="65" applyNumberFormat="1" applyFont="1" applyFill="1" applyBorder="1" applyAlignment="1">
      <alignment vertical="center" wrapText="1"/>
    </xf>
    <xf numFmtId="43" fontId="0" fillId="0" borderId="29" xfId="0" applyNumberFormat="1" applyBorder="1" applyAlignment="1">
      <alignment/>
    </xf>
    <xf numFmtId="4" fontId="23" fillId="0" borderId="0" xfId="0" applyNumberFormat="1" applyFont="1" applyFill="1" applyAlignment="1">
      <alignment vertical="center"/>
    </xf>
    <xf numFmtId="164" fontId="23" fillId="21" borderId="12" xfId="0" applyNumberFormat="1" applyFont="1" applyFill="1" applyBorder="1" applyAlignment="1">
      <alignment vertical="center"/>
    </xf>
    <xf numFmtId="164" fontId="60" fillId="19" borderId="12" xfId="0" applyNumberFormat="1" applyFont="1" applyFill="1" applyBorder="1" applyAlignment="1">
      <alignment vertical="center"/>
    </xf>
    <xf numFmtId="43" fontId="43" fillId="0" borderId="0" xfId="65" applyFont="1" applyFill="1" applyAlignment="1">
      <alignment vertical="center"/>
    </xf>
    <xf numFmtId="43" fontId="1" fillId="0" borderId="0" xfId="65" applyFont="1" applyAlignment="1">
      <alignment/>
    </xf>
    <xf numFmtId="164" fontId="23" fillId="22" borderId="12" xfId="0" applyNumberFormat="1" applyFont="1" applyFill="1" applyBorder="1" applyAlignment="1">
      <alignment vertical="center"/>
    </xf>
    <xf numFmtId="0" fontId="1" fillId="22" borderId="0" xfId="51" applyFill="1">
      <alignment/>
      <protection/>
    </xf>
    <xf numFmtId="0" fontId="21" fillId="6" borderId="10" xfId="51" applyFont="1" applyFill="1" applyBorder="1">
      <alignment/>
      <protection/>
    </xf>
    <xf numFmtId="0" fontId="21" fillId="6" borderId="10" xfId="51" applyFont="1" applyFill="1" applyBorder="1" applyAlignment="1">
      <alignment horizontal="center"/>
      <protection/>
    </xf>
    <xf numFmtId="0" fontId="1" fillId="0" borderId="13" xfId="51" applyBorder="1">
      <alignment/>
      <protection/>
    </xf>
    <xf numFmtId="0" fontId="21" fillId="6" borderId="10" xfId="51" applyFont="1" applyFill="1" applyBorder="1" applyAlignment="1">
      <alignment horizontal="center" vertical="center" wrapText="1"/>
      <protection/>
    </xf>
    <xf numFmtId="43" fontId="21" fillId="0" borderId="0" xfId="65" applyFont="1" applyAlignment="1">
      <alignment/>
    </xf>
    <xf numFmtId="43" fontId="1" fillId="0" borderId="0" xfId="65" applyFont="1" applyAlignment="1">
      <alignment horizontal="center" vertical="center" wrapText="1"/>
    </xf>
    <xf numFmtId="43" fontId="42" fillId="0" borderId="0" xfId="65" applyFont="1" applyFill="1" applyAlignment="1">
      <alignment vertical="center" readingOrder="1"/>
    </xf>
    <xf numFmtId="43" fontId="43" fillId="0" borderId="0" xfId="65" applyFont="1" applyFill="1" applyAlignment="1">
      <alignment horizontal="left" vertical="center" readingOrder="1"/>
    </xf>
    <xf numFmtId="43" fontId="25" fillId="0" borderId="0" xfId="65" applyFont="1" applyFill="1" applyAlignment="1">
      <alignment vertical="center"/>
    </xf>
    <xf numFmtId="0" fontId="44" fillId="0" borderId="0" xfId="0" applyFont="1" applyFill="1" applyAlignment="1">
      <alignment vertical="center" readingOrder="1"/>
    </xf>
    <xf numFmtId="0" fontId="0" fillId="22" borderId="10" xfId="0" applyFill="1" applyBorder="1" applyAlignment="1">
      <alignment vertical="top"/>
    </xf>
    <xf numFmtId="165" fontId="46" fillId="0" borderId="10" xfId="0" applyNumberFormat="1" applyFont="1" applyFill="1" applyBorder="1" applyAlignment="1">
      <alignment vertical="top"/>
    </xf>
    <xf numFmtId="165" fontId="13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22" borderId="10" xfId="0" applyFill="1" applyBorder="1" applyAlignment="1">
      <alignment vertical="center" wrapText="1"/>
    </xf>
    <xf numFmtId="165" fontId="46" fillId="22" borderId="10" xfId="0" applyNumberFormat="1" applyFont="1" applyFill="1" applyBorder="1" applyAlignment="1">
      <alignment vertical="top"/>
    </xf>
    <xf numFmtId="165" fontId="0" fillId="23" borderId="10" xfId="0" applyNumberFormat="1" applyFill="1" applyBorder="1" applyAlignment="1">
      <alignment vertical="top"/>
    </xf>
    <xf numFmtId="165" fontId="0" fillId="24" borderId="10" xfId="0" applyNumberFormat="1" applyFill="1" applyBorder="1" applyAlignment="1">
      <alignment vertical="top"/>
    </xf>
    <xf numFmtId="40" fontId="0" fillId="24" borderId="10" xfId="0" applyNumberFormat="1" applyFill="1" applyBorder="1" applyAlignment="1">
      <alignment vertical="top"/>
    </xf>
    <xf numFmtId="43" fontId="23" fillId="0" borderId="0" xfId="0" applyNumberFormat="1" applyFont="1" applyFill="1" applyAlignment="1">
      <alignment horizontal="right" vertical="center"/>
    </xf>
    <xf numFmtId="40" fontId="13" fillId="22" borderId="10" xfId="0" applyNumberFormat="1" applyFont="1" applyFill="1" applyBorder="1" applyAlignment="1">
      <alignment vertical="top"/>
    </xf>
    <xf numFmtId="165" fontId="0" fillId="25" borderId="10" xfId="0" applyNumberFormat="1" applyFill="1" applyBorder="1" applyAlignment="1">
      <alignment vertical="top"/>
    </xf>
    <xf numFmtId="164" fontId="25" fillId="26" borderId="11" xfId="0" applyNumberFormat="1" applyFont="1" applyFill="1" applyBorder="1" applyAlignment="1">
      <alignment vertical="center"/>
    </xf>
    <xf numFmtId="164" fontId="25" fillId="26" borderId="10" xfId="0" applyNumberFormat="1" applyFont="1" applyFill="1" applyBorder="1" applyAlignment="1">
      <alignment vertical="center"/>
    </xf>
    <xf numFmtId="164" fontId="23" fillId="26" borderId="12" xfId="0" applyNumberFormat="1" applyFont="1" applyFill="1" applyBorder="1" applyAlignment="1">
      <alignment vertical="center"/>
    </xf>
    <xf numFmtId="164" fontId="23" fillId="26" borderId="13" xfId="0" applyNumberFormat="1" applyFont="1" applyFill="1" applyBorder="1" applyAlignment="1">
      <alignment vertical="center"/>
    </xf>
    <xf numFmtId="165" fontId="0" fillId="22" borderId="10" xfId="0" applyNumberFormat="1" applyFill="1" applyBorder="1" applyAlignment="1">
      <alignment vertical="top"/>
    </xf>
    <xf numFmtId="0" fontId="23" fillId="0" borderId="30" xfId="0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64" fontId="25" fillId="0" borderId="26" xfId="0" applyNumberFormat="1" applyFont="1" applyFill="1" applyBorder="1" applyAlignment="1">
      <alignment vertical="center"/>
    </xf>
    <xf numFmtId="43" fontId="11" fillId="0" borderId="0" xfId="65" applyFont="1" applyFill="1" applyAlignment="1">
      <alignment vertical="center"/>
    </xf>
    <xf numFmtId="4" fontId="23" fillId="0" borderId="10" xfId="0" applyNumberFormat="1" applyFont="1" applyFill="1" applyBorder="1" applyAlignment="1">
      <alignment vertical="center"/>
    </xf>
    <xf numFmtId="4" fontId="25" fillId="0" borderId="10" xfId="0" applyNumberFormat="1" applyFont="1" applyFill="1" applyBorder="1" applyAlignment="1">
      <alignment vertical="center" readingOrder="1"/>
    </xf>
    <xf numFmtId="0" fontId="23" fillId="0" borderId="13" xfId="0" applyFont="1" applyFill="1" applyBorder="1" applyAlignment="1">
      <alignment horizontal="center" vertical="center"/>
    </xf>
    <xf numFmtId="164" fontId="23" fillId="0" borderId="12" xfId="0" applyNumberFormat="1" applyFont="1" applyFill="1" applyBorder="1" applyAlignment="1">
      <alignment horizontal="center" vertical="center"/>
    </xf>
    <xf numFmtId="0" fontId="61" fillId="27" borderId="10" xfId="0" applyFont="1" applyFill="1" applyBorder="1" applyAlignment="1">
      <alignment vertical="center"/>
    </xf>
    <xf numFmtId="0" fontId="22" fillId="27" borderId="12" xfId="0" applyFont="1" applyFill="1" applyBorder="1" applyAlignment="1">
      <alignment horizontal="center" vertical="center"/>
    </xf>
    <xf numFmtId="165" fontId="13" fillId="0" borderId="10" xfId="0" applyNumberFormat="1" applyFont="1" applyBorder="1" applyAlignment="1">
      <alignment vertical="top"/>
    </xf>
    <xf numFmtId="40" fontId="13" fillId="0" borderId="10" xfId="0" applyNumberFormat="1" applyFont="1" applyBorder="1" applyAlignment="1">
      <alignment vertical="top"/>
    </xf>
    <xf numFmtId="9" fontId="29" fillId="0" borderId="0" xfId="53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readingOrder="1"/>
    </xf>
    <xf numFmtId="43" fontId="0" fillId="22" borderId="31" xfId="0" applyNumberFormat="1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40" fontId="0" fillId="22" borderId="10" xfId="0" applyNumberFormat="1" applyFill="1" applyBorder="1" applyAlignment="1">
      <alignment vertical="top"/>
    </xf>
    <xf numFmtId="165" fontId="0" fillId="26" borderId="10" xfId="0" applyNumberFormat="1" applyFill="1" applyBorder="1" applyAlignment="1">
      <alignment vertical="top"/>
    </xf>
    <xf numFmtId="165" fontId="13" fillId="28" borderId="10" xfId="0" applyNumberFormat="1" applyFont="1" applyFill="1" applyBorder="1" applyAlignment="1">
      <alignment vertical="top"/>
    </xf>
    <xf numFmtId="0" fontId="62" fillId="0" borderId="0" xfId="0" applyFont="1" applyFill="1" applyAlignment="1">
      <alignment vertical="center" readingOrder="1"/>
    </xf>
    <xf numFmtId="0" fontId="45" fillId="0" borderId="0" xfId="0" applyFont="1" applyFill="1" applyAlignment="1">
      <alignment vertical="center" readingOrder="1"/>
    </xf>
    <xf numFmtId="0" fontId="23" fillId="0" borderId="0" xfId="0" applyFont="1" applyFill="1" applyAlignment="1">
      <alignment horizontal="left" vertical="center" wrapText="1" readingOrder="1"/>
    </xf>
    <xf numFmtId="0" fontId="23" fillId="0" borderId="0" xfId="0" applyFont="1" applyFill="1" applyAlignment="1">
      <alignment horizontal="left" vertical="center"/>
    </xf>
    <xf numFmtId="164" fontId="23" fillId="26" borderId="12" xfId="0" applyNumberFormat="1" applyFont="1" applyFill="1" applyBorder="1" applyAlignment="1">
      <alignment/>
    </xf>
    <xf numFmtId="0" fontId="50" fillId="0" borderId="0" xfId="0" applyFont="1" applyFill="1" applyAlignment="1">
      <alignment horizontal="left" vertical="center" readingOrder="1"/>
    </xf>
    <xf numFmtId="0" fontId="51" fillId="0" borderId="0" xfId="0" applyFont="1" applyFill="1" applyAlignment="1">
      <alignment vertical="center"/>
    </xf>
    <xf numFmtId="0" fontId="50" fillId="26" borderId="0" xfId="0" applyFont="1" applyFill="1" applyAlignment="1">
      <alignment horizontal="left" vertical="center" wrapText="1" readingOrder="1"/>
    </xf>
    <xf numFmtId="0" fontId="50" fillId="0" borderId="0" xfId="0" applyFont="1" applyFill="1" applyBorder="1" applyAlignment="1">
      <alignment horizontal="left" vertical="center" wrapText="1" readingOrder="1"/>
    </xf>
    <xf numFmtId="0" fontId="50" fillId="0" borderId="0" xfId="0" applyFont="1" applyFill="1" applyAlignment="1">
      <alignment vertical="center" wrapText="1" readingOrder="1"/>
    </xf>
    <xf numFmtId="43" fontId="51" fillId="0" borderId="0" xfId="65" applyFont="1" applyFill="1" applyAlignment="1">
      <alignment vertical="center"/>
    </xf>
    <xf numFmtId="0" fontId="50" fillId="26" borderId="0" xfId="0" applyFont="1" applyFill="1" applyBorder="1" applyAlignment="1">
      <alignment horizontal="left" vertical="center" wrapText="1" readingOrder="1"/>
    </xf>
    <xf numFmtId="0" fontId="50" fillId="0" borderId="0" xfId="0" applyFont="1" applyFill="1" applyAlignment="1">
      <alignment horizontal="left" vertical="center" wrapText="1" readingOrder="1"/>
    </xf>
    <xf numFmtId="0" fontId="51" fillId="26" borderId="0" xfId="0" applyFont="1" applyFill="1" applyAlignment="1">
      <alignment vertical="center"/>
    </xf>
    <xf numFmtId="43" fontId="51" fillId="26" borderId="0" xfId="65" applyFont="1" applyFill="1" applyAlignment="1">
      <alignment vertical="center"/>
    </xf>
    <xf numFmtId="43" fontId="51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8" fillId="0" borderId="0" xfId="44" applyAlignment="1" applyProtection="1">
      <alignment vertical="top"/>
      <protection/>
    </xf>
    <xf numFmtId="0" fontId="44" fillId="0" borderId="0" xfId="0" applyFont="1" applyFill="1" applyAlignment="1">
      <alignment horizontal="left" vertical="center" wrapText="1" readingOrder="1"/>
    </xf>
    <xf numFmtId="17" fontId="23" fillId="0" borderId="0" xfId="0" applyNumberFormat="1" applyFont="1" applyFill="1" applyAlignment="1">
      <alignment horizontal="center" vertical="center" wrapText="1" readingOrder="1"/>
    </xf>
    <xf numFmtId="17" fontId="63" fillId="0" borderId="0" xfId="0" applyNumberFormat="1" applyFont="1" applyFill="1" applyAlignment="1">
      <alignment horizontal="center" vertical="center" wrapText="1" readingOrder="1"/>
    </xf>
    <xf numFmtId="164" fontId="62" fillId="0" borderId="0" xfId="0" applyNumberFormat="1" applyFont="1" applyFill="1" applyAlignment="1">
      <alignment vertical="center"/>
    </xf>
    <xf numFmtId="0" fontId="64" fillId="0" borderId="0" xfId="0" applyFont="1" applyFill="1" applyAlignment="1">
      <alignment horizontal="left" vertical="center" readingOrder="1"/>
    </xf>
    <xf numFmtId="0" fontId="50" fillId="26" borderId="0" xfId="0" applyFont="1" applyFill="1" applyAlignment="1">
      <alignment horizontal="left" vertical="center" wrapText="1" readingOrder="1"/>
    </xf>
    <xf numFmtId="164" fontId="25" fillId="26" borderId="12" xfId="0" applyNumberFormat="1" applyFont="1" applyFill="1" applyBorder="1" applyAlignment="1">
      <alignment vertical="center"/>
    </xf>
    <xf numFmtId="164" fontId="25" fillId="26" borderId="10" xfId="0" applyNumberFormat="1" applyFont="1" applyFill="1" applyBorder="1" applyAlignment="1">
      <alignment horizontal="right" vertical="center"/>
    </xf>
    <xf numFmtId="43" fontId="23" fillId="26" borderId="12" xfId="65" applyFont="1" applyFill="1" applyBorder="1" applyAlignment="1">
      <alignment vertical="center"/>
    </xf>
    <xf numFmtId="0" fontId="23" fillId="26" borderId="12" xfId="0" applyFont="1" applyFill="1" applyBorder="1" applyAlignment="1">
      <alignment vertical="center"/>
    </xf>
    <xf numFmtId="40" fontId="0" fillId="26" borderId="10" xfId="0" applyNumberFormat="1" applyFill="1" applyBorder="1" applyAlignment="1">
      <alignment vertical="top"/>
    </xf>
    <xf numFmtId="166" fontId="48" fillId="6" borderId="13" xfId="65" applyNumberFormat="1" applyFont="1" applyFill="1" applyBorder="1" applyAlignment="1">
      <alignment/>
    </xf>
    <xf numFmtId="166" fontId="53" fillId="0" borderId="12" xfId="65" applyNumberFormat="1" applyFont="1" applyBorder="1" applyAlignment="1">
      <alignment/>
    </xf>
    <xf numFmtId="166" fontId="53" fillId="0" borderId="12" xfId="65" applyNumberFormat="1" applyFont="1" applyFill="1" applyBorder="1" applyAlignment="1">
      <alignment/>
    </xf>
    <xf numFmtId="166" fontId="48" fillId="6" borderId="10" xfId="51" applyNumberFormat="1" applyFont="1" applyFill="1" applyBorder="1">
      <alignment/>
      <protection/>
    </xf>
    <xf numFmtId="166" fontId="48" fillId="6" borderId="11" xfId="51" applyNumberFormat="1" applyFont="1" applyFill="1" applyBorder="1">
      <alignment/>
      <protection/>
    </xf>
    <xf numFmtId="43" fontId="53" fillId="6" borderId="13" xfId="65" applyFont="1" applyFill="1" applyBorder="1" applyAlignment="1">
      <alignment/>
    </xf>
    <xf numFmtId="43" fontId="48" fillId="6" borderId="13" xfId="65" applyFont="1" applyFill="1" applyBorder="1" applyAlignment="1">
      <alignment/>
    </xf>
    <xf numFmtId="0" fontId="53" fillId="0" borderId="12" xfId="51" applyFont="1" applyBorder="1">
      <alignment/>
      <protection/>
    </xf>
    <xf numFmtId="43" fontId="53" fillId="0" borderId="12" xfId="65" applyFont="1" applyFill="1" applyBorder="1" applyAlignment="1">
      <alignment/>
    </xf>
    <xf numFmtId="43" fontId="53" fillId="0" borderId="12" xfId="51" applyNumberFormat="1" applyFont="1" applyFill="1" applyBorder="1">
      <alignment/>
      <protection/>
    </xf>
    <xf numFmtId="43" fontId="53" fillId="0" borderId="12" xfId="51" applyNumberFormat="1" applyFont="1" applyBorder="1">
      <alignment/>
      <protection/>
    </xf>
    <xf numFmtId="43" fontId="48" fillId="6" borderId="10" xfId="65" applyFont="1" applyFill="1" applyBorder="1" applyAlignment="1">
      <alignment/>
    </xf>
    <xf numFmtId="43" fontId="48" fillId="6" borderId="10" xfId="51" applyNumberFormat="1" applyFont="1" applyFill="1" applyBorder="1">
      <alignment/>
      <protection/>
    </xf>
    <xf numFmtId="0" fontId="48" fillId="0" borderId="12" xfId="51" applyFont="1" applyFill="1" applyBorder="1">
      <alignment/>
      <protection/>
    </xf>
    <xf numFmtId="166" fontId="48" fillId="6" borderId="14" xfId="65" applyNumberFormat="1" applyFont="1" applyFill="1" applyBorder="1" applyAlignment="1">
      <alignment/>
    </xf>
    <xf numFmtId="166" fontId="48" fillId="6" borderId="15" xfId="65" applyNumberFormat="1" applyFont="1" applyFill="1" applyBorder="1" applyAlignment="1">
      <alignment/>
    </xf>
    <xf numFmtId="166" fontId="48" fillId="6" borderId="16" xfId="65" applyNumberFormat="1" applyFont="1" applyFill="1" applyBorder="1" applyAlignment="1">
      <alignment/>
    </xf>
    <xf numFmtId="166" fontId="53" fillId="0" borderId="17" xfId="51" applyNumberFormat="1" applyFont="1" applyFill="1" applyBorder="1">
      <alignment/>
      <protection/>
    </xf>
    <xf numFmtId="166" fontId="53" fillId="0" borderId="18" xfId="65" applyNumberFormat="1" applyFont="1" applyFill="1" applyBorder="1" applyAlignment="1">
      <alignment/>
    </xf>
    <xf numFmtId="166" fontId="53" fillId="0" borderId="18" xfId="65" applyNumberFormat="1" applyFont="1" applyBorder="1" applyAlignment="1">
      <alignment/>
    </xf>
    <xf numFmtId="166" fontId="53" fillId="0" borderId="17" xfId="65" applyNumberFormat="1" applyFont="1" applyFill="1" applyBorder="1" applyAlignment="1">
      <alignment/>
    </xf>
    <xf numFmtId="166" fontId="53" fillId="0" borderId="18" xfId="51" applyNumberFormat="1" applyFont="1" applyFill="1" applyBorder="1">
      <alignment/>
      <protection/>
    </xf>
    <xf numFmtId="166" fontId="53" fillId="0" borderId="19" xfId="51" applyNumberFormat="1" applyFont="1" applyBorder="1">
      <alignment/>
      <protection/>
    </xf>
    <xf numFmtId="166" fontId="53" fillId="0" borderId="18" xfId="51" applyNumberFormat="1" applyFont="1" applyBorder="1">
      <alignment/>
      <protection/>
    </xf>
    <xf numFmtId="166" fontId="48" fillId="6" borderId="15" xfId="51" applyNumberFormat="1" applyFont="1" applyFill="1" applyBorder="1">
      <alignment/>
      <protection/>
    </xf>
    <xf numFmtId="0" fontId="53" fillId="0" borderId="30" xfId="51" applyFont="1" applyBorder="1">
      <alignment/>
      <protection/>
    </xf>
    <xf numFmtId="0" fontId="53" fillId="0" borderId="18" xfId="51" applyFont="1" applyBorder="1">
      <alignment/>
      <protection/>
    </xf>
    <xf numFmtId="0" fontId="53" fillId="0" borderId="21" xfId="51" applyFont="1" applyBorder="1">
      <alignment/>
      <protection/>
    </xf>
    <xf numFmtId="0" fontId="48" fillId="6" borderId="10" xfId="51" applyFont="1" applyFill="1" applyBorder="1">
      <alignment/>
      <protection/>
    </xf>
    <xf numFmtId="0" fontId="48" fillId="6" borderId="11" xfId="51" applyFont="1" applyFill="1" applyBorder="1">
      <alignment/>
      <protection/>
    </xf>
    <xf numFmtId="0" fontId="48" fillId="6" borderId="13" xfId="51" applyFont="1" applyFill="1" applyBorder="1">
      <alignment/>
      <protection/>
    </xf>
    <xf numFmtId="0" fontId="48" fillId="6" borderId="13" xfId="51" applyFont="1" applyFill="1" applyBorder="1" applyAlignment="1">
      <alignment horizontal="left" wrapText="1"/>
      <protection/>
    </xf>
    <xf numFmtId="0" fontId="48" fillId="0" borderId="11" xfId="51" applyFont="1" applyBorder="1">
      <alignment/>
      <protection/>
    </xf>
    <xf numFmtId="0" fontId="48" fillId="0" borderId="13" xfId="51" applyFont="1" applyBorder="1">
      <alignment/>
      <protection/>
    </xf>
    <xf numFmtId="0" fontId="48" fillId="6" borderId="10" xfId="51" applyFont="1" applyFill="1" applyBorder="1" applyAlignment="1">
      <alignment horizontal="center" vertical="center" wrapText="1"/>
      <protection/>
    </xf>
    <xf numFmtId="0" fontId="54" fillId="17" borderId="22" xfId="0" applyFont="1" applyFill="1" applyBorder="1" applyAlignment="1">
      <alignment horizontal="center" vertical="center" readingOrder="1"/>
    </xf>
    <xf numFmtId="0" fontId="54" fillId="17" borderId="24" xfId="0" applyFont="1" applyFill="1" applyBorder="1" applyAlignment="1">
      <alignment horizontal="center" vertical="center" readingOrder="1"/>
    </xf>
    <xf numFmtId="0" fontId="54" fillId="17" borderId="10" xfId="0" applyFont="1" applyFill="1" applyBorder="1" applyAlignment="1">
      <alignment horizontal="center" vertical="center" readingOrder="1"/>
    </xf>
    <xf numFmtId="164" fontId="54" fillId="26" borderId="11" xfId="0" applyNumberFormat="1" applyFont="1" applyFill="1" applyBorder="1" applyAlignment="1">
      <alignment vertical="center"/>
    </xf>
    <xf numFmtId="164" fontId="54" fillId="0" borderId="11" xfId="0" applyNumberFormat="1" applyFont="1" applyFill="1" applyBorder="1" applyAlignment="1">
      <alignment vertical="center"/>
    </xf>
    <xf numFmtId="164" fontId="55" fillId="0" borderId="12" xfId="0" applyNumberFormat="1" applyFont="1" applyFill="1" applyBorder="1" applyAlignment="1">
      <alignment vertical="center"/>
    </xf>
    <xf numFmtId="164" fontId="55" fillId="26" borderId="30" xfId="0" applyNumberFormat="1" applyFont="1" applyFill="1" applyBorder="1" applyAlignment="1">
      <alignment vertical="center"/>
    </xf>
    <xf numFmtId="164" fontId="54" fillId="0" borderId="12" xfId="0" applyNumberFormat="1" applyFont="1" applyFill="1" applyBorder="1" applyAlignment="1">
      <alignment vertical="center"/>
    </xf>
    <xf numFmtId="164" fontId="54" fillId="26" borderId="12" xfId="0" applyNumberFormat="1" applyFont="1" applyFill="1" applyBorder="1" applyAlignment="1">
      <alignment vertical="center"/>
    </xf>
    <xf numFmtId="164" fontId="55" fillId="0" borderId="13" xfId="0" applyNumberFormat="1" applyFont="1" applyFill="1" applyBorder="1" applyAlignment="1">
      <alignment vertical="center"/>
    </xf>
    <xf numFmtId="164" fontId="55" fillId="26" borderId="32" xfId="0" applyNumberFormat="1" applyFont="1" applyFill="1" applyBorder="1" applyAlignment="1">
      <alignment vertical="center"/>
    </xf>
    <xf numFmtId="164" fontId="54" fillId="26" borderId="13" xfId="0" applyNumberFormat="1" applyFont="1" applyFill="1" applyBorder="1" applyAlignment="1">
      <alignment vertical="center"/>
    </xf>
    <xf numFmtId="164" fontId="54" fillId="26" borderId="10" xfId="0" applyNumberFormat="1" applyFont="1" applyFill="1" applyBorder="1" applyAlignment="1">
      <alignment vertical="center"/>
    </xf>
    <xf numFmtId="164" fontId="54" fillId="0" borderId="10" xfId="0" applyNumberFormat="1" applyFont="1" applyFill="1" applyBorder="1" applyAlignment="1">
      <alignment vertical="center"/>
    </xf>
    <xf numFmtId="164" fontId="55" fillId="26" borderId="11" xfId="0" applyNumberFormat="1" applyFont="1" applyFill="1" applyBorder="1" applyAlignment="1">
      <alignment vertical="center"/>
    </xf>
    <xf numFmtId="164" fontId="55" fillId="26" borderId="33" xfId="0" applyNumberFormat="1" applyFont="1" applyFill="1" applyBorder="1" applyAlignment="1">
      <alignment vertical="center"/>
    </xf>
    <xf numFmtId="164" fontId="55" fillId="26" borderId="12" xfId="0" applyNumberFormat="1" applyFont="1" applyFill="1" applyBorder="1" applyAlignment="1">
      <alignment vertical="center"/>
    </xf>
    <xf numFmtId="164" fontId="55" fillId="26" borderId="13" xfId="0" applyNumberFormat="1" applyFont="1" applyFill="1" applyBorder="1" applyAlignment="1">
      <alignment vertical="center"/>
    </xf>
    <xf numFmtId="164" fontId="55" fillId="26" borderId="12" xfId="0" applyNumberFormat="1" applyFont="1" applyFill="1" applyBorder="1" applyAlignment="1">
      <alignment/>
    </xf>
    <xf numFmtId="164" fontId="55" fillId="26" borderId="30" xfId="0" applyNumberFormat="1" applyFont="1" applyFill="1" applyBorder="1" applyAlignment="1">
      <alignment/>
    </xf>
    <xf numFmtId="164" fontId="55" fillId="0" borderId="12" xfId="0" applyNumberFormat="1" applyFont="1" applyFill="1" applyBorder="1" applyAlignment="1">
      <alignment/>
    </xf>
    <xf numFmtId="164" fontId="55" fillId="0" borderId="12" xfId="0" applyNumberFormat="1" applyFont="1" applyFill="1" applyBorder="1" applyAlignment="1">
      <alignment horizontal="right" vertical="center"/>
    </xf>
    <xf numFmtId="164" fontId="55" fillId="26" borderId="30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right" vertical="center"/>
    </xf>
    <xf numFmtId="164" fontId="54" fillId="0" borderId="10" xfId="0" applyNumberFormat="1" applyFont="1" applyFill="1" applyBorder="1" applyAlignment="1">
      <alignment horizontal="right" vertical="center"/>
    </xf>
    <xf numFmtId="164" fontId="54" fillId="26" borderId="10" xfId="0" applyNumberFormat="1" applyFont="1" applyFill="1" applyBorder="1" applyAlignment="1">
      <alignment horizontal="right" vertical="center"/>
    </xf>
    <xf numFmtId="0" fontId="65" fillId="0" borderId="0" xfId="0" applyFont="1" applyFill="1" applyAlignment="1">
      <alignment vertical="center" readingOrder="1"/>
    </xf>
    <xf numFmtId="0" fontId="33" fillId="19" borderId="22" xfId="0" applyFont="1" applyFill="1" applyBorder="1" applyAlignment="1">
      <alignment horizontal="center" vertical="center"/>
    </xf>
    <xf numFmtId="0" fontId="33" fillId="19" borderId="23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22" borderId="22" xfId="0" applyFont="1" applyFill="1" applyBorder="1" applyAlignment="1">
      <alignment horizontal="center" vertical="center"/>
    </xf>
    <xf numFmtId="0" fontId="33" fillId="22" borderId="23" xfId="0" applyFont="1" applyFill="1" applyBorder="1" applyAlignment="1">
      <alignment horizontal="center" vertical="center"/>
    </xf>
    <xf numFmtId="0" fontId="32" fillId="13" borderId="10" xfId="0" applyFont="1" applyFill="1" applyBorder="1" applyAlignment="1">
      <alignment horizontal="center" vertical="top"/>
    </xf>
    <xf numFmtId="0" fontId="33" fillId="0" borderId="10" xfId="0" applyFont="1" applyBorder="1" applyAlignment="1">
      <alignment horizontal="center" vertical="center"/>
    </xf>
    <xf numFmtId="0" fontId="33" fillId="8" borderId="10" xfId="0" applyFont="1" applyFill="1" applyBorder="1" applyAlignment="1">
      <alignment horizontal="left" vertical="top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2" fillId="29" borderId="10" xfId="0" applyFont="1" applyFill="1" applyBorder="1" applyAlignment="1">
      <alignment horizontal="center" vertical="top"/>
    </xf>
    <xf numFmtId="0" fontId="32" fillId="6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0" fontId="33" fillId="8" borderId="22" xfId="0" applyFont="1" applyFill="1" applyBorder="1" applyAlignment="1">
      <alignment horizontal="left" vertical="center"/>
    </xf>
    <xf numFmtId="0" fontId="33" fillId="8" borderId="23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66" fillId="8" borderId="10" xfId="0" applyFont="1" applyFill="1" applyBorder="1" applyAlignment="1">
      <alignment horizontal="left" vertical="top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3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/>
    </xf>
    <xf numFmtId="0" fontId="23" fillId="0" borderId="34" xfId="0" applyFont="1" applyFill="1" applyBorder="1" applyAlignment="1">
      <alignment horizontal="left" vertical="center"/>
    </xf>
    <xf numFmtId="0" fontId="23" fillId="0" borderId="27" xfId="0" applyFont="1" applyFill="1" applyBorder="1" applyAlignment="1">
      <alignment horizontal="left" vertical="center"/>
    </xf>
    <xf numFmtId="0" fontId="25" fillId="0" borderId="22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5" fillId="0" borderId="24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 indent="1"/>
    </xf>
    <xf numFmtId="0" fontId="23" fillId="0" borderId="34" xfId="0" applyFont="1" applyFill="1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23" fillId="0" borderId="35" xfId="0" applyFont="1" applyFill="1" applyBorder="1" applyAlignment="1">
      <alignment horizontal="left" vertical="center"/>
    </xf>
    <xf numFmtId="0" fontId="23" fillId="0" borderId="30" xfId="0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2" fillId="0" borderId="0" xfId="0" applyFont="1" applyFill="1" applyAlignment="1">
      <alignment horizontal="center" vertical="center"/>
    </xf>
    <xf numFmtId="17" fontId="40" fillId="0" borderId="0" xfId="0" applyNumberFormat="1" applyFont="1" applyFill="1" applyAlignment="1">
      <alignment horizontal="center" vertical="center"/>
    </xf>
    <xf numFmtId="0" fontId="40" fillId="0" borderId="0" xfId="0" applyNumberFormat="1" applyFont="1" applyFill="1" applyAlignment="1">
      <alignment horizontal="center" vertical="center"/>
    </xf>
    <xf numFmtId="0" fontId="25" fillId="17" borderId="22" xfId="0" applyFont="1" applyFill="1" applyBorder="1" applyAlignment="1">
      <alignment horizontal="center" vertical="center" readingOrder="1"/>
    </xf>
    <xf numFmtId="0" fontId="25" fillId="17" borderId="24" xfId="0" applyFont="1" applyFill="1" applyBorder="1" applyAlignment="1">
      <alignment horizontal="center" vertical="center" readingOrder="1"/>
    </xf>
    <xf numFmtId="0" fontId="25" fillId="17" borderId="23" xfId="0" applyFont="1" applyFill="1" applyBorder="1" applyAlignment="1">
      <alignment horizontal="center" vertical="center" readingOrder="1"/>
    </xf>
    <xf numFmtId="0" fontId="25" fillId="17" borderId="22" xfId="0" applyFont="1" applyFill="1" applyBorder="1" applyAlignment="1">
      <alignment horizontal="left" vertical="center"/>
    </xf>
    <xf numFmtId="0" fontId="0" fillId="17" borderId="24" xfId="0" applyFill="1" applyBorder="1" applyAlignment="1">
      <alignment horizontal="left" vertical="center"/>
    </xf>
    <xf numFmtId="0" fontId="0" fillId="17" borderId="23" xfId="0" applyFill="1" applyBorder="1" applyAlignment="1">
      <alignment horizontal="left" vertical="center"/>
    </xf>
    <xf numFmtId="17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55" fillId="0" borderId="30" xfId="0" applyFont="1" applyFill="1" applyBorder="1" applyAlignment="1">
      <alignment horizontal="left" vertical="center"/>
    </xf>
    <xf numFmtId="0" fontId="55" fillId="0" borderId="26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0" fillId="0" borderId="0" xfId="0" applyFont="1" applyFill="1" applyAlignment="1">
      <alignment horizontal="left" vertical="center" wrapText="1" readingOrder="1"/>
    </xf>
    <xf numFmtId="0" fontId="50" fillId="0" borderId="0" xfId="0" applyFont="1" applyFill="1" applyAlignment="1">
      <alignment horizontal="left" vertical="center" readingOrder="1"/>
    </xf>
    <xf numFmtId="0" fontId="55" fillId="0" borderId="32" xfId="0" applyFont="1" applyFill="1" applyBorder="1" applyAlignment="1">
      <alignment horizontal="left" vertical="center"/>
    </xf>
    <xf numFmtId="0" fontId="55" fillId="0" borderId="34" xfId="0" applyFont="1" applyFill="1" applyBorder="1" applyAlignment="1">
      <alignment horizontal="left" vertical="center"/>
    </xf>
    <xf numFmtId="0" fontId="55" fillId="0" borderId="27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 wrapText="1" readingOrder="1"/>
    </xf>
    <xf numFmtId="0" fontId="50" fillId="26" borderId="0" xfId="0" applyFont="1" applyFill="1" applyAlignment="1">
      <alignment horizontal="left" vertical="center" wrapText="1" readingOrder="1"/>
    </xf>
    <xf numFmtId="0" fontId="55" fillId="0" borderId="33" xfId="0" applyFont="1" applyFill="1" applyBorder="1" applyAlignment="1">
      <alignment horizontal="left" vertical="center"/>
    </xf>
    <xf numFmtId="0" fontId="55" fillId="0" borderId="25" xfId="0" applyFont="1" applyFill="1" applyBorder="1" applyAlignment="1">
      <alignment horizontal="left" vertical="center"/>
    </xf>
    <xf numFmtId="0" fontId="55" fillId="0" borderId="35" xfId="0" applyFont="1" applyFill="1" applyBorder="1" applyAlignment="1">
      <alignment horizontal="left" vertical="center"/>
    </xf>
    <xf numFmtId="0" fontId="55" fillId="0" borderId="35" xfId="0" applyFont="1" applyBorder="1" applyAlignment="1">
      <alignment horizontal="left" vertical="center"/>
    </xf>
    <xf numFmtId="0" fontId="54" fillId="0" borderId="22" xfId="0" applyFont="1" applyFill="1" applyBorder="1" applyAlignment="1">
      <alignment horizontal="left" vertical="center"/>
    </xf>
    <xf numFmtId="0" fontId="54" fillId="0" borderId="24" xfId="0" applyFont="1" applyFill="1" applyBorder="1" applyAlignment="1">
      <alignment horizontal="left" vertical="center"/>
    </xf>
    <xf numFmtId="0" fontId="54" fillId="0" borderId="23" xfId="0" applyFont="1" applyFill="1" applyBorder="1" applyAlignment="1">
      <alignment horizontal="left" vertical="center"/>
    </xf>
    <xf numFmtId="0" fontId="55" fillId="0" borderId="24" xfId="0" applyFont="1" applyBorder="1" applyAlignment="1">
      <alignment horizontal="left" vertical="center"/>
    </xf>
    <xf numFmtId="0" fontId="55" fillId="0" borderId="23" xfId="0" applyFont="1" applyBorder="1" applyAlignment="1">
      <alignment horizontal="left" vertical="center"/>
    </xf>
    <xf numFmtId="0" fontId="55" fillId="0" borderId="30" xfId="0" applyFont="1" applyFill="1" applyBorder="1" applyAlignment="1">
      <alignment horizontal="left" vertical="center" indent="1"/>
    </xf>
    <xf numFmtId="0" fontId="55" fillId="0" borderId="26" xfId="0" applyFont="1" applyFill="1" applyBorder="1" applyAlignment="1">
      <alignment horizontal="left" vertical="center" indent="1"/>
    </xf>
    <xf numFmtId="0" fontId="55" fillId="0" borderId="0" xfId="0" applyFont="1" applyFill="1" applyBorder="1" applyAlignment="1">
      <alignment horizontal="left" vertical="center" indent="1"/>
    </xf>
    <xf numFmtId="0" fontId="55" fillId="0" borderId="0" xfId="0" applyFont="1" applyBorder="1" applyAlignment="1">
      <alignment horizontal="left" vertical="center" indent="1"/>
    </xf>
    <xf numFmtId="0" fontId="54" fillId="17" borderId="22" xfId="0" applyFont="1" applyFill="1" applyBorder="1" applyAlignment="1">
      <alignment horizontal="center" vertical="center" readingOrder="1"/>
    </xf>
    <xf numFmtId="0" fontId="54" fillId="17" borderId="24" xfId="0" applyFont="1" applyFill="1" applyBorder="1" applyAlignment="1">
      <alignment horizontal="center" vertical="center" readingOrder="1"/>
    </xf>
    <xf numFmtId="0" fontId="54" fillId="17" borderId="23" xfId="0" applyFont="1" applyFill="1" applyBorder="1" applyAlignment="1">
      <alignment horizontal="center" vertical="center" readingOrder="1"/>
    </xf>
    <xf numFmtId="0" fontId="55" fillId="0" borderId="0" xfId="0" applyFont="1" applyAlignment="1">
      <alignment horizontal="left" vertical="center" indent="1"/>
    </xf>
    <xf numFmtId="0" fontId="54" fillId="17" borderId="22" xfId="0" applyFont="1" applyFill="1" applyBorder="1" applyAlignment="1">
      <alignment horizontal="left" vertical="center"/>
    </xf>
    <xf numFmtId="0" fontId="54" fillId="17" borderId="24" xfId="0" applyFont="1" applyFill="1" applyBorder="1" applyAlignment="1">
      <alignment horizontal="left" vertical="center"/>
    </xf>
    <xf numFmtId="0" fontId="54" fillId="17" borderId="23" xfId="0" applyFont="1" applyFill="1" applyBorder="1" applyAlignment="1">
      <alignment horizontal="left" vertical="center"/>
    </xf>
    <xf numFmtId="0" fontId="54" fillId="17" borderId="22" xfId="0" applyFont="1" applyFill="1" applyBorder="1" applyAlignment="1">
      <alignment horizontal="center" vertical="center"/>
    </xf>
    <xf numFmtId="0" fontId="54" fillId="17" borderId="24" xfId="0" applyFont="1" applyFill="1" applyBorder="1" applyAlignment="1">
      <alignment horizontal="center" vertical="center"/>
    </xf>
    <xf numFmtId="0" fontId="54" fillId="17" borderId="23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left" vertical="center" indent="1"/>
    </xf>
    <xf numFmtId="0" fontId="55" fillId="0" borderId="27" xfId="0" applyFont="1" applyFill="1" applyBorder="1" applyAlignment="1">
      <alignment horizontal="left" vertical="center" indent="1"/>
    </xf>
    <xf numFmtId="0" fontId="55" fillId="0" borderId="34" xfId="0" applyFont="1" applyFill="1" applyBorder="1" applyAlignment="1">
      <alignment horizontal="left" vertical="center" indent="1"/>
    </xf>
    <xf numFmtId="0" fontId="55" fillId="0" borderId="34" xfId="0" applyFont="1" applyBorder="1" applyAlignment="1">
      <alignment horizontal="left" vertical="center" indent="1"/>
    </xf>
    <xf numFmtId="0" fontId="24" fillId="0" borderId="0" xfId="0" applyFont="1" applyFill="1" applyAlignment="1">
      <alignment horizontal="center" vertical="center" wrapText="1" readingOrder="1"/>
    </xf>
    <xf numFmtId="0" fontId="22" fillId="0" borderId="0" xfId="0" applyFont="1" applyFill="1" applyAlignment="1">
      <alignment horizontal="left" vertical="center" readingOrder="1"/>
    </xf>
    <xf numFmtId="0" fontId="50" fillId="0" borderId="0" xfId="0" applyFont="1" applyFill="1" applyAlignment="1">
      <alignment vertical="center" wrapText="1" readingOrder="1"/>
    </xf>
    <xf numFmtId="0" fontId="4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readingOrder="1"/>
    </xf>
    <xf numFmtId="49" fontId="13" fillId="0" borderId="0" xfId="0" applyNumberFormat="1" applyFont="1" applyFill="1" applyAlignment="1">
      <alignment horizontal="center" vertical="center" readingOrder="1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readingOrder="1"/>
    </xf>
    <xf numFmtId="9" fontId="29" fillId="0" borderId="0" xfId="53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 readingOrder="1"/>
    </xf>
    <xf numFmtId="166" fontId="1" fillId="6" borderId="11" xfId="51" applyNumberFormat="1" applyFill="1" applyBorder="1" applyAlignment="1">
      <alignment horizontal="center"/>
      <protection/>
    </xf>
    <xf numFmtId="166" fontId="1" fillId="0" borderId="30" xfId="65" applyNumberFormat="1" applyFont="1" applyBorder="1" applyAlignment="1">
      <alignment horizontal="center"/>
    </xf>
    <xf numFmtId="166" fontId="1" fillId="0" borderId="26" xfId="65" applyNumberFormat="1" applyFont="1" applyBorder="1" applyAlignment="1">
      <alignment horizontal="center"/>
    </xf>
    <xf numFmtId="166" fontId="1" fillId="0" borderId="30" xfId="51" applyNumberFormat="1" applyBorder="1" applyAlignment="1">
      <alignment horizontal="center"/>
      <protection/>
    </xf>
    <xf numFmtId="166" fontId="1" fillId="0" borderId="26" xfId="51" applyNumberFormat="1" applyBorder="1" applyAlignment="1">
      <alignment horizontal="center"/>
      <protection/>
    </xf>
    <xf numFmtId="166" fontId="53" fillId="0" borderId="30" xfId="65" applyNumberFormat="1" applyFont="1" applyFill="1" applyBorder="1" applyAlignment="1">
      <alignment horizontal="center"/>
    </xf>
    <xf numFmtId="166" fontId="53" fillId="0" borderId="26" xfId="65" applyNumberFormat="1" applyFont="1" applyFill="1" applyBorder="1" applyAlignment="1">
      <alignment horizontal="center"/>
    </xf>
    <xf numFmtId="166" fontId="53" fillId="0" borderId="30" xfId="65" applyNumberFormat="1" applyFont="1" applyBorder="1" applyAlignment="1">
      <alignment horizontal="center"/>
    </xf>
    <xf numFmtId="166" fontId="53" fillId="0" borderId="26" xfId="65" applyNumberFormat="1" applyFont="1" applyBorder="1" applyAlignment="1">
      <alignment horizontal="center"/>
    </xf>
    <xf numFmtId="0" fontId="21" fillId="6" borderId="10" xfId="51" applyFont="1" applyFill="1" applyBorder="1" applyAlignment="1">
      <alignment horizontal="center"/>
      <protection/>
    </xf>
    <xf numFmtId="166" fontId="48" fillId="6" borderId="13" xfId="65" applyNumberFormat="1" applyFont="1" applyFill="1" applyBorder="1" applyAlignment="1">
      <alignment horizontal="center"/>
    </xf>
    <xf numFmtId="166" fontId="21" fillId="6" borderId="10" xfId="65" applyNumberFormat="1" applyFont="1" applyFill="1" applyBorder="1" applyAlignment="1">
      <alignment horizontal="center"/>
    </xf>
    <xf numFmtId="166" fontId="48" fillId="6" borderId="13" xfId="51" applyNumberFormat="1" applyFont="1" applyFill="1" applyBorder="1" applyAlignment="1">
      <alignment horizontal="center" wrapText="1"/>
      <protection/>
    </xf>
    <xf numFmtId="0" fontId="48" fillId="6" borderId="13" xfId="51" applyFont="1" applyFill="1" applyBorder="1" applyAlignment="1">
      <alignment horizontal="center" wrapText="1"/>
      <protection/>
    </xf>
    <xf numFmtId="166" fontId="48" fillId="6" borderId="10" xfId="51" applyNumberFormat="1" applyFont="1" applyFill="1" applyBorder="1" applyAlignment="1">
      <alignment horizontal="center"/>
      <protection/>
    </xf>
    <xf numFmtId="166" fontId="1" fillId="6" borderId="13" xfId="65" applyNumberFormat="1" applyFont="1" applyFill="1" applyBorder="1" applyAlignment="1">
      <alignment horizontal="center"/>
    </xf>
    <xf numFmtId="166" fontId="48" fillId="6" borderId="11" xfId="51" applyNumberFormat="1" applyFont="1" applyFill="1" applyBorder="1" applyAlignment="1">
      <alignment horizontal="center"/>
      <protection/>
    </xf>
    <xf numFmtId="0" fontId="29" fillId="0" borderId="0" xfId="0" applyFont="1" applyFill="1" applyBorder="1" applyAlignment="1">
      <alignment horizontal="center" vertical="center" readingOrder="1"/>
    </xf>
    <xf numFmtId="0" fontId="28" fillId="0" borderId="0" xfId="0" applyFont="1" applyFill="1" applyBorder="1" applyAlignment="1">
      <alignment horizontal="center" vertical="center"/>
    </xf>
    <xf numFmtId="166" fontId="1" fillId="0" borderId="13" xfId="51" applyNumberFormat="1" applyBorder="1" applyAlignment="1">
      <alignment horizontal="center"/>
      <protection/>
    </xf>
    <xf numFmtId="166" fontId="1" fillId="0" borderId="11" xfId="51" applyNumberFormat="1" applyBorder="1" applyAlignment="1">
      <alignment horizontal="center"/>
      <protection/>
    </xf>
    <xf numFmtId="0" fontId="48" fillId="0" borderId="0" xfId="51" applyFont="1" applyAlignment="1">
      <alignment horizontal="center"/>
      <protection/>
    </xf>
    <xf numFmtId="0" fontId="21" fillId="6" borderId="36" xfId="51" applyFont="1" applyFill="1" applyBorder="1" applyAlignment="1">
      <alignment horizontal="center" vertical="center" wrapText="1"/>
      <protection/>
    </xf>
    <xf numFmtId="0" fontId="21" fillId="6" borderId="21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horizontal="center"/>
      <protection/>
    </xf>
    <xf numFmtId="0" fontId="21" fillId="6" borderId="37" xfId="51" applyFont="1" applyFill="1" applyBorder="1" applyAlignment="1">
      <alignment horizontal="center" vertical="center" wrapText="1"/>
      <protection/>
    </xf>
    <xf numFmtId="0" fontId="21" fillId="6" borderId="38" xfId="51" applyFont="1" applyFill="1" applyBorder="1" applyAlignment="1">
      <alignment horizontal="center" vertical="center" wrapText="1"/>
      <protection/>
    </xf>
    <xf numFmtId="0" fontId="21" fillId="6" borderId="39" xfId="51" applyFont="1" applyFill="1" applyBorder="1" applyAlignment="1">
      <alignment horizontal="center" vertical="center" wrapText="1"/>
      <protection/>
    </xf>
    <xf numFmtId="0" fontId="21" fillId="6" borderId="40" xfId="51" applyFont="1" applyFill="1" applyBorder="1" applyAlignment="1">
      <alignment horizontal="center" vertical="center" wrapText="1"/>
      <protection/>
    </xf>
    <xf numFmtId="0" fontId="21" fillId="6" borderId="41" xfId="51" applyFont="1" applyFill="1" applyBorder="1" applyAlignment="1">
      <alignment horizontal="center" vertical="center" wrapText="1"/>
      <protection/>
    </xf>
    <xf numFmtId="0" fontId="21" fillId="6" borderId="42" xfId="51" applyFont="1" applyFill="1" applyBorder="1" applyAlignment="1">
      <alignment horizontal="center" vertical="center" wrapText="1"/>
      <protection/>
    </xf>
    <xf numFmtId="0" fontId="48" fillId="6" borderId="37" xfId="51" applyFont="1" applyFill="1" applyBorder="1" applyAlignment="1">
      <alignment horizontal="center" vertical="center"/>
      <protection/>
    </xf>
    <xf numFmtId="0" fontId="48" fillId="6" borderId="40" xfId="51" applyFont="1" applyFill="1" applyBorder="1" applyAlignment="1">
      <alignment horizontal="center" vertical="center"/>
      <protection/>
    </xf>
    <xf numFmtId="0" fontId="21" fillId="6" borderId="43" xfId="51" applyFont="1" applyFill="1" applyBorder="1" applyAlignment="1">
      <alignment horizontal="center"/>
      <protection/>
    </xf>
    <xf numFmtId="0" fontId="21" fillId="6" borderId="44" xfId="51" applyFont="1" applyFill="1" applyBorder="1" applyAlignment="1">
      <alignment horizontal="center"/>
      <protection/>
    </xf>
    <xf numFmtId="0" fontId="48" fillId="6" borderId="38" xfId="51" applyFont="1" applyFill="1" applyBorder="1" applyAlignment="1">
      <alignment horizontal="center" vertical="center"/>
      <protection/>
    </xf>
    <xf numFmtId="0" fontId="67" fillId="26" borderId="0" xfId="0" applyFont="1" applyFill="1" applyBorder="1" applyAlignment="1">
      <alignment horizontal="center" vertical="center" wrapText="1" readingOrder="1"/>
    </xf>
    <xf numFmtId="0" fontId="50" fillId="22" borderId="0" xfId="0" applyFont="1" applyFill="1" applyBorder="1" applyAlignment="1">
      <alignment horizontal="left" vertical="center" wrapText="1" readingOrder="1"/>
    </xf>
    <xf numFmtId="0" fontId="25" fillId="0" borderId="32" xfId="0" applyFont="1" applyFill="1" applyBorder="1" applyAlignment="1">
      <alignment horizontal="left" vertical="center"/>
    </xf>
    <xf numFmtId="0" fontId="25" fillId="0" borderId="34" xfId="0" applyFont="1" applyFill="1" applyBorder="1" applyAlignment="1">
      <alignment horizontal="left" vertical="center"/>
    </xf>
    <xf numFmtId="0" fontId="23" fillId="0" borderId="26" xfId="0" applyFont="1" applyFill="1" applyBorder="1" applyAlignment="1">
      <alignment horizontal="left" vertical="center"/>
    </xf>
    <xf numFmtId="0" fontId="25" fillId="0" borderId="33" xfId="0" applyFont="1" applyFill="1" applyBorder="1" applyAlignment="1">
      <alignment horizontal="left" vertical="center"/>
    </xf>
    <xf numFmtId="0" fontId="25" fillId="0" borderId="35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25" fillId="0" borderId="10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49" fontId="68" fillId="0" borderId="0" xfId="0" applyNumberFormat="1" applyFont="1" applyFill="1" applyAlignment="1">
      <alignment horizontal="center" vertical="center" readingOrder="1"/>
    </xf>
    <xf numFmtId="0" fontId="25" fillId="17" borderId="33" xfId="0" applyFont="1" applyFill="1" applyBorder="1" applyAlignment="1">
      <alignment horizontal="center" vertical="center" readingOrder="1"/>
    </xf>
    <xf numFmtId="0" fontId="25" fillId="17" borderId="35" xfId="0" applyFont="1" applyFill="1" applyBorder="1" applyAlignment="1">
      <alignment horizontal="center" vertical="center" readingOrder="1"/>
    </xf>
    <xf numFmtId="0" fontId="25" fillId="17" borderId="33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 readingOrder="1"/>
    </xf>
    <xf numFmtId="49" fontId="29" fillId="0" borderId="0" xfId="0" applyNumberFormat="1" applyFont="1" applyFill="1" applyAlignment="1">
      <alignment horizontal="center" vertical="center" readingOrder="1"/>
    </xf>
    <xf numFmtId="0" fontId="23" fillId="0" borderId="25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 vertical="center" wrapText="1" readingOrder="1"/>
    </xf>
    <xf numFmtId="0" fontId="44" fillId="0" borderId="0" xfId="0" applyFont="1" applyFill="1" applyAlignment="1">
      <alignment vertical="center" wrapText="1" readingOrder="1"/>
    </xf>
    <xf numFmtId="0" fontId="44" fillId="0" borderId="0" xfId="0" applyFont="1" applyFill="1" applyAlignment="1">
      <alignment horizontal="left" vertical="center" readingOrder="1"/>
    </xf>
    <xf numFmtId="0" fontId="44" fillId="0" borderId="0" xfId="0" applyFont="1" applyFill="1" applyBorder="1" applyAlignment="1">
      <alignment horizontal="left" vertical="center" wrapText="1" readingOrder="1"/>
    </xf>
    <xf numFmtId="0" fontId="44" fillId="26" borderId="0" xfId="0" applyFont="1" applyFill="1" applyAlignment="1">
      <alignment horizontal="left" vertical="center" wrapText="1" readingOrder="1"/>
    </xf>
    <xf numFmtId="0" fontId="44" fillId="26" borderId="0" xfId="0" applyFont="1" applyFill="1" applyBorder="1" applyAlignment="1">
      <alignment horizontal="left" vertical="center" wrapText="1" readingOrder="1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ALANÇO ORÇAMENTÁRIO MCASP - Nov15" xfId="51"/>
    <cellStyle name="Nota" xfId="52"/>
    <cellStyle name="Percent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0</xdr:rowOff>
    </xdr:from>
    <xdr:to>
      <xdr:col>11</xdr:col>
      <xdr:colOff>38100</xdr:colOff>
      <xdr:row>179</xdr:row>
      <xdr:rowOff>9525</xdr:rowOff>
    </xdr:to>
    <xdr:sp>
      <xdr:nvSpPr>
        <xdr:cNvPr id="1" name="Retângulo 1"/>
        <xdr:cNvSpPr>
          <a:spLocks/>
        </xdr:cNvSpPr>
      </xdr:nvSpPr>
      <xdr:spPr>
        <a:xfrm>
          <a:off x="13096875" y="0"/>
          <a:ext cx="1057275" cy="281273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0</xdr:rowOff>
    </xdr:from>
    <xdr:to>
      <xdr:col>0</xdr:col>
      <xdr:colOff>457200</xdr:colOff>
      <xdr:row>4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4290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457200</xdr:colOff>
      <xdr:row>2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3</xdr:row>
      <xdr:rowOff>66675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723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8600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95250</xdr:rowOff>
    </xdr:from>
    <xdr:to>
      <xdr:col>1</xdr:col>
      <xdr:colOff>104775</xdr:colOff>
      <xdr:row>4</xdr:row>
      <xdr:rowOff>76200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723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95250</xdr:rowOff>
    </xdr:from>
    <xdr:to>
      <xdr:col>2</xdr:col>
      <xdr:colOff>28575</xdr:colOff>
      <xdr:row>4</xdr:row>
      <xdr:rowOff>76200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95250"/>
          <a:ext cx="733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F%20%20FUMCADde%202017%20%20AGO%20a%20%20DEZ%2017\BF%20FUMCAD%20d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B.F. 05"/>
      <sheetName val="B.F. 00"/>
      <sheetName val="BFAGO1 7"/>
      <sheetName val="Bf SET 17 "/>
      <sheetName val="Balanço Orçamentário MCASP"/>
      <sheetName val="Anexos do BO"/>
      <sheetName val="B.F. Modelo DEZEMBRO"/>
      <sheetName val="BF Mensal c formula 02 colunas"/>
      <sheetName val="BF OUT 17"/>
      <sheetName val="BF NOV 17"/>
      <sheetName val="BF DEZ 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nas.prodam\smdhc_sgaf_execucao_orcamentaria\_FUMCAD\BALAN&#199;OS%20DO%20FUMCAD\2018\7.Julho\Desvincula&#231;&#227;o%20da%20Receita%20-%20Julho%202018%20%20&#180;Procedimentos.docx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O184"/>
  <sheetViews>
    <sheetView showGridLines="0" zoomScale="130" zoomScaleNormal="130" zoomScalePageLayoutView="0" workbookViewId="0" topLeftCell="A1">
      <pane xSplit="2" ySplit="1" topLeftCell="J6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106" sqref="K106"/>
    </sheetView>
  </sheetViews>
  <sheetFormatPr defaultColWidth="9.140625" defaultRowHeight="12.75"/>
  <cols>
    <col min="1" max="1" width="34.00390625" style="0" customWidth="1"/>
    <col min="2" max="2" width="36.28125" style="0" customWidth="1"/>
    <col min="3" max="14" width="15.7109375" style="0" customWidth="1"/>
    <col min="15" max="15" width="12.28125" style="0" bestFit="1" customWidth="1"/>
  </cols>
  <sheetData>
    <row r="1" spans="1:14" ht="12.75">
      <c r="A1" s="314" t="s">
        <v>96</v>
      </c>
      <c r="B1" s="314"/>
      <c r="C1" s="94">
        <v>43101</v>
      </c>
      <c r="D1" s="94">
        <v>43132</v>
      </c>
      <c r="E1" s="94">
        <v>43160</v>
      </c>
      <c r="F1" s="94">
        <v>43191</v>
      </c>
      <c r="G1" s="94">
        <v>43221</v>
      </c>
      <c r="H1" s="94">
        <v>43252</v>
      </c>
      <c r="I1" s="94">
        <v>43282</v>
      </c>
      <c r="J1" s="94">
        <v>43313</v>
      </c>
      <c r="K1" s="94">
        <v>43344</v>
      </c>
      <c r="L1" s="94">
        <v>43374</v>
      </c>
      <c r="M1" s="94">
        <v>43405</v>
      </c>
      <c r="N1" s="94">
        <v>43435</v>
      </c>
    </row>
    <row r="2" spans="1:2" ht="12.75">
      <c r="A2" s="313" t="s">
        <v>100</v>
      </c>
      <c r="B2" s="313"/>
    </row>
    <row r="3" spans="1:2" ht="12.75">
      <c r="A3" s="321" t="s">
        <v>112</v>
      </c>
      <c r="B3" s="322"/>
    </row>
    <row r="4" spans="1:14" ht="12.75">
      <c r="A4" s="323" t="s">
        <v>219</v>
      </c>
      <c r="B4" s="65" t="s">
        <v>101</v>
      </c>
      <c r="C4" s="150">
        <v>20456624</v>
      </c>
      <c r="D4" s="150">
        <v>20456624</v>
      </c>
      <c r="E4" s="150">
        <v>20456624</v>
      </c>
      <c r="F4" s="150">
        <v>20456624</v>
      </c>
      <c r="G4" s="150">
        <v>20456624</v>
      </c>
      <c r="H4" s="150">
        <v>20456624</v>
      </c>
      <c r="I4" s="150">
        <v>20456624</v>
      </c>
      <c r="J4" s="150">
        <v>20456624</v>
      </c>
      <c r="K4" s="150">
        <v>20456624</v>
      </c>
      <c r="L4" s="150">
        <v>20456624</v>
      </c>
      <c r="M4" s="150">
        <v>20456624</v>
      </c>
      <c r="N4" s="150">
        <v>20456624</v>
      </c>
    </row>
    <row r="5" spans="1:14" ht="12.75">
      <c r="A5" s="318"/>
      <c r="B5" s="65" t="s">
        <v>102</v>
      </c>
      <c r="C5" s="114">
        <v>1648138.52</v>
      </c>
      <c r="D5" s="77">
        <v>1254544.62</v>
      </c>
      <c r="E5" s="77">
        <v>1375244.73</v>
      </c>
      <c r="F5" s="77">
        <v>1297128.87</v>
      </c>
      <c r="G5" s="77">
        <v>1180365.43</v>
      </c>
      <c r="H5" s="77">
        <v>1123548.8</v>
      </c>
      <c r="I5" s="77">
        <v>1259503.71</v>
      </c>
      <c r="J5" s="77">
        <v>1345534.79</v>
      </c>
      <c r="K5" s="77">
        <v>1093923.93</v>
      </c>
      <c r="L5" s="77"/>
      <c r="M5" s="77"/>
      <c r="N5" s="77"/>
    </row>
    <row r="6" spans="1:14" ht="12.75">
      <c r="A6" s="318"/>
      <c r="B6" s="97" t="s">
        <v>110</v>
      </c>
      <c r="C6" s="98">
        <f>C47</f>
        <v>1648138.52</v>
      </c>
      <c r="D6" s="98">
        <f aca="true" t="shared" si="0" ref="D6:N6">D47</f>
        <v>1254544.62</v>
      </c>
      <c r="E6" s="98">
        <f t="shared" si="0"/>
        <v>1375244.73</v>
      </c>
      <c r="F6" s="98">
        <f t="shared" si="0"/>
        <v>1297128.87</v>
      </c>
      <c r="G6" s="98">
        <f t="shared" si="0"/>
        <v>1180365.43</v>
      </c>
      <c r="H6" s="98">
        <f t="shared" si="0"/>
        <v>1123548.8</v>
      </c>
      <c r="I6" s="98">
        <f t="shared" si="0"/>
        <v>1259503.71</v>
      </c>
      <c r="J6" s="98">
        <f t="shared" si="0"/>
        <v>1345534.79</v>
      </c>
      <c r="K6" s="98">
        <f t="shared" si="0"/>
        <v>1093923.93</v>
      </c>
      <c r="L6" s="98">
        <f t="shared" si="0"/>
        <v>0</v>
      </c>
      <c r="M6" s="98">
        <f t="shared" si="0"/>
        <v>0</v>
      </c>
      <c r="N6" s="98">
        <f t="shared" si="0"/>
        <v>0</v>
      </c>
    </row>
    <row r="7" spans="1:14" ht="12.75">
      <c r="A7" s="318"/>
      <c r="B7" s="102" t="s">
        <v>97</v>
      </c>
      <c r="C7" s="103">
        <f>C5-C6</f>
        <v>0</v>
      </c>
      <c r="D7" s="103">
        <f aca="true" t="shared" si="1" ref="D7:N7">+D6-D5</f>
        <v>0</v>
      </c>
      <c r="E7" s="103">
        <f t="shared" si="1"/>
        <v>0</v>
      </c>
      <c r="F7" s="103">
        <f t="shared" si="1"/>
        <v>0</v>
      </c>
      <c r="G7" s="103">
        <f t="shared" si="1"/>
        <v>0</v>
      </c>
      <c r="H7" s="103">
        <f t="shared" si="1"/>
        <v>0</v>
      </c>
      <c r="I7" s="103">
        <f t="shared" si="1"/>
        <v>0</v>
      </c>
      <c r="J7" s="103">
        <f t="shared" si="1"/>
        <v>0</v>
      </c>
      <c r="K7" s="103">
        <f t="shared" si="1"/>
        <v>0</v>
      </c>
      <c r="L7" s="103">
        <f t="shared" si="1"/>
        <v>0</v>
      </c>
      <c r="M7" s="103">
        <f t="shared" si="1"/>
        <v>0</v>
      </c>
      <c r="N7" s="103">
        <f t="shared" si="1"/>
        <v>0</v>
      </c>
    </row>
    <row r="8" spans="1:14" ht="12.75">
      <c r="A8" s="318"/>
      <c r="B8" s="65" t="s">
        <v>103</v>
      </c>
      <c r="C8" s="77">
        <v>1648138.52</v>
      </c>
      <c r="D8" s="77">
        <v>2902683.14</v>
      </c>
      <c r="E8" s="77">
        <v>4277927.87</v>
      </c>
      <c r="F8" s="77">
        <v>5575056.74</v>
      </c>
      <c r="G8" s="77">
        <v>6755422.17</v>
      </c>
      <c r="H8" s="77">
        <v>7878970.97</v>
      </c>
      <c r="I8" s="77">
        <v>9138474.68</v>
      </c>
      <c r="J8" s="77">
        <v>10484009.47</v>
      </c>
      <c r="K8" s="77">
        <v>11577933.4</v>
      </c>
      <c r="L8" s="77"/>
      <c r="M8" s="77"/>
      <c r="N8" s="77"/>
    </row>
    <row r="9" spans="1:14" ht="12.75">
      <c r="A9" s="318"/>
      <c r="B9" s="97" t="s">
        <v>111</v>
      </c>
      <c r="C9" s="99">
        <f>C8+C7</f>
        <v>1648138.52</v>
      </c>
      <c r="D9" s="98">
        <f>C9+D6</f>
        <v>2902683.14</v>
      </c>
      <c r="E9" s="98">
        <f aca="true" t="shared" si="2" ref="E9:N9">D9+E6</f>
        <v>4277927.87</v>
      </c>
      <c r="F9" s="98">
        <f t="shared" si="2"/>
        <v>5575056.74</v>
      </c>
      <c r="G9" s="98">
        <f t="shared" si="2"/>
        <v>6755422.17</v>
      </c>
      <c r="H9" s="98">
        <f t="shared" si="2"/>
        <v>7878970.97</v>
      </c>
      <c r="I9" s="98">
        <f t="shared" si="2"/>
        <v>9138474.68</v>
      </c>
      <c r="J9" s="98">
        <f t="shared" si="2"/>
        <v>10484009.469999999</v>
      </c>
      <c r="K9" s="98">
        <f t="shared" si="2"/>
        <v>11577933.399999999</v>
      </c>
      <c r="L9" s="98">
        <f t="shared" si="2"/>
        <v>11577933.399999999</v>
      </c>
      <c r="M9" s="98">
        <f t="shared" si="2"/>
        <v>11577933.399999999</v>
      </c>
      <c r="N9" s="98">
        <f t="shared" si="2"/>
        <v>11577933.399999999</v>
      </c>
    </row>
    <row r="10" spans="1:14" ht="12.75" customHeight="1">
      <c r="A10" s="319"/>
      <c r="B10" s="66" t="s">
        <v>94</v>
      </c>
      <c r="C10" s="78">
        <f>C9</f>
        <v>1648138.52</v>
      </c>
      <c r="D10" s="78">
        <f aca="true" t="shared" si="3" ref="D10:N10">+C10+D6</f>
        <v>2902683.14</v>
      </c>
      <c r="E10" s="78">
        <f t="shared" si="3"/>
        <v>4277927.87</v>
      </c>
      <c r="F10" s="78">
        <f t="shared" si="3"/>
        <v>5575056.74</v>
      </c>
      <c r="G10" s="78">
        <f t="shared" si="3"/>
        <v>6755422.17</v>
      </c>
      <c r="H10" s="78">
        <f t="shared" si="3"/>
        <v>7878970.97</v>
      </c>
      <c r="I10" s="78">
        <f t="shared" si="3"/>
        <v>9138474.68</v>
      </c>
      <c r="J10" s="78">
        <f t="shared" si="3"/>
        <v>10484009.469999999</v>
      </c>
      <c r="K10" s="78">
        <f t="shared" si="3"/>
        <v>11577933.399999999</v>
      </c>
      <c r="L10" s="78">
        <f t="shared" si="3"/>
        <v>11577933.399999999</v>
      </c>
      <c r="M10" s="78">
        <f t="shared" si="3"/>
        <v>11577933.399999999</v>
      </c>
      <c r="N10" s="78">
        <f t="shared" si="3"/>
        <v>11577933.399999999</v>
      </c>
    </row>
    <row r="11" spans="1:14" s="62" customFormat="1" ht="3.75" customHeight="1">
      <c r="A11" s="68"/>
      <c r="B11" s="6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ht="12.75">
      <c r="A12" s="323" t="s">
        <v>220</v>
      </c>
      <c r="B12" s="65" t="s">
        <v>101</v>
      </c>
      <c r="C12" s="150">
        <v>146220496</v>
      </c>
      <c r="D12" s="150">
        <v>146220496</v>
      </c>
      <c r="E12" s="150">
        <v>146220496</v>
      </c>
      <c r="F12" s="150">
        <v>146220496</v>
      </c>
      <c r="G12" s="150">
        <v>146220496</v>
      </c>
      <c r="H12" s="150">
        <v>146220496</v>
      </c>
      <c r="I12" s="150">
        <v>146220496</v>
      </c>
      <c r="J12" s="150">
        <v>146220496</v>
      </c>
      <c r="K12" s="150">
        <v>146220496</v>
      </c>
      <c r="L12" s="150">
        <v>146220496</v>
      </c>
      <c r="M12" s="150">
        <v>146220496</v>
      </c>
      <c r="N12" s="150">
        <v>146220496</v>
      </c>
    </row>
    <row r="13" spans="1:14" ht="12.75">
      <c r="A13" s="318"/>
      <c r="B13" s="65" t="s">
        <v>102</v>
      </c>
      <c r="C13" s="77">
        <v>747929.24</v>
      </c>
      <c r="D13" s="77">
        <v>407534.34</v>
      </c>
      <c r="E13" s="77">
        <v>1006412.74</v>
      </c>
      <c r="F13" s="77">
        <v>191863.23</v>
      </c>
      <c r="G13" s="77">
        <v>193401.98</v>
      </c>
      <c r="H13" s="77">
        <v>1326047.66</v>
      </c>
      <c r="I13" s="77">
        <v>2678807.69</v>
      </c>
      <c r="J13" s="77">
        <v>282326.71</v>
      </c>
      <c r="K13" s="77">
        <v>685221.24</v>
      </c>
      <c r="L13" s="77"/>
      <c r="M13" s="77"/>
      <c r="N13" s="77"/>
    </row>
    <row r="14" spans="1:14" ht="12.75">
      <c r="A14" s="318"/>
      <c r="B14" s="97" t="s">
        <v>110</v>
      </c>
      <c r="C14" s="98">
        <f>C49-C50</f>
        <v>747929.24</v>
      </c>
      <c r="D14" s="98">
        <f>D13</f>
        <v>407534.34</v>
      </c>
      <c r="E14" s="98">
        <f aca="true" t="shared" si="4" ref="E14:N14">E49-E50</f>
        <v>1006412.74</v>
      </c>
      <c r="F14" s="98">
        <f t="shared" si="4"/>
        <v>191863.23</v>
      </c>
      <c r="G14" s="98">
        <f t="shared" si="4"/>
        <v>193401.98</v>
      </c>
      <c r="H14" s="98">
        <f t="shared" si="4"/>
        <v>1326047.66</v>
      </c>
      <c r="I14" s="98">
        <f t="shared" si="4"/>
        <v>2678807.69</v>
      </c>
      <c r="J14" s="98">
        <f t="shared" si="4"/>
        <v>282326.71</v>
      </c>
      <c r="K14" s="98">
        <f t="shared" si="4"/>
        <v>685221.24</v>
      </c>
      <c r="L14" s="98">
        <f t="shared" si="4"/>
        <v>0</v>
      </c>
      <c r="M14" s="98">
        <f t="shared" si="4"/>
        <v>0</v>
      </c>
      <c r="N14" s="98">
        <f t="shared" si="4"/>
        <v>0</v>
      </c>
    </row>
    <row r="15" spans="1:14" ht="12.75">
      <c r="A15" s="318"/>
      <c r="B15" s="102" t="s">
        <v>97</v>
      </c>
      <c r="C15" s="103">
        <f aca="true" t="shared" si="5" ref="C15:N15">+C14-C13</f>
        <v>0</v>
      </c>
      <c r="D15" s="103">
        <f t="shared" si="5"/>
        <v>0</v>
      </c>
      <c r="E15" s="103">
        <f>+E14-E13</f>
        <v>0</v>
      </c>
      <c r="F15" s="103">
        <f>+F14-F13</f>
        <v>0</v>
      </c>
      <c r="G15" s="103">
        <f>+G14-G13</f>
        <v>0</v>
      </c>
      <c r="H15" s="103">
        <f>+H14-H13</f>
        <v>0</v>
      </c>
      <c r="I15" s="103">
        <f>+I14-I13</f>
        <v>0</v>
      </c>
      <c r="J15" s="103">
        <f t="shared" si="5"/>
        <v>0</v>
      </c>
      <c r="K15" s="103">
        <f t="shared" si="5"/>
        <v>0</v>
      </c>
      <c r="L15" s="103">
        <f t="shared" si="5"/>
        <v>0</v>
      </c>
      <c r="M15" s="103">
        <f t="shared" si="5"/>
        <v>0</v>
      </c>
      <c r="N15" s="103">
        <f t="shared" si="5"/>
        <v>0</v>
      </c>
    </row>
    <row r="16" spans="1:14" ht="12.75">
      <c r="A16" s="318"/>
      <c r="B16" s="65" t="s">
        <v>103</v>
      </c>
      <c r="C16" s="114">
        <f>747929.24-5000</f>
        <v>742929.24</v>
      </c>
      <c r="D16" s="77">
        <v>1150463.58</v>
      </c>
      <c r="E16" s="77">
        <v>2156876.32</v>
      </c>
      <c r="F16" s="77">
        <v>2348739.55</v>
      </c>
      <c r="G16" s="77">
        <v>2542141.53</v>
      </c>
      <c r="H16" s="77">
        <v>3868189.19</v>
      </c>
      <c r="I16" s="77">
        <v>6546996.88</v>
      </c>
      <c r="J16" s="77">
        <v>6829323.59</v>
      </c>
      <c r="K16" s="77">
        <v>7514544.83</v>
      </c>
      <c r="L16" s="77"/>
      <c r="M16" s="77"/>
      <c r="N16" s="77"/>
    </row>
    <row r="17" spans="1:14" ht="12.75">
      <c r="A17" s="318"/>
      <c r="B17" s="97" t="s">
        <v>111</v>
      </c>
      <c r="C17" s="98">
        <f>C16</f>
        <v>742929.24</v>
      </c>
      <c r="D17" s="98">
        <f aca="true" t="shared" si="6" ref="D17:N17">D16</f>
        <v>1150463.58</v>
      </c>
      <c r="E17" s="98">
        <f t="shared" si="6"/>
        <v>2156876.32</v>
      </c>
      <c r="F17" s="98">
        <f t="shared" si="6"/>
        <v>2348739.55</v>
      </c>
      <c r="G17" s="98">
        <f t="shared" si="6"/>
        <v>2542141.53</v>
      </c>
      <c r="H17" s="98">
        <f t="shared" si="6"/>
        <v>3868189.19</v>
      </c>
      <c r="I17" s="98">
        <f t="shared" si="6"/>
        <v>6546996.88</v>
      </c>
      <c r="J17" s="98">
        <f t="shared" si="6"/>
        <v>6829323.59</v>
      </c>
      <c r="K17" s="98">
        <f t="shared" si="6"/>
        <v>7514544.83</v>
      </c>
      <c r="L17" s="98">
        <f t="shared" si="6"/>
        <v>0</v>
      </c>
      <c r="M17" s="98">
        <f t="shared" si="6"/>
        <v>0</v>
      </c>
      <c r="N17" s="98">
        <f t="shared" si="6"/>
        <v>0</v>
      </c>
    </row>
    <row r="18" spans="1:14" ht="12.75" customHeight="1">
      <c r="A18" s="319"/>
      <c r="B18" s="66" t="s">
        <v>94</v>
      </c>
      <c r="C18" s="78">
        <f>C17</f>
        <v>742929.24</v>
      </c>
      <c r="D18" s="78">
        <f aca="true" t="shared" si="7" ref="D18:I18">+C18+D14</f>
        <v>1150463.58</v>
      </c>
      <c r="E18" s="78">
        <f t="shared" si="7"/>
        <v>2156876.3200000003</v>
      </c>
      <c r="F18" s="78">
        <f t="shared" si="7"/>
        <v>2348739.5500000003</v>
      </c>
      <c r="G18" s="78">
        <f t="shared" si="7"/>
        <v>2542141.5300000003</v>
      </c>
      <c r="H18" s="78">
        <f t="shared" si="7"/>
        <v>3868189.1900000004</v>
      </c>
      <c r="I18" s="78">
        <f t="shared" si="7"/>
        <v>6546996.880000001</v>
      </c>
      <c r="J18" s="78">
        <f>+I18+J14</f>
        <v>6829323.590000001</v>
      </c>
      <c r="K18" s="78">
        <f>+J18+K14</f>
        <v>7514544.830000001</v>
      </c>
      <c r="L18" s="78">
        <f>+K18+L14</f>
        <v>7514544.830000001</v>
      </c>
      <c r="M18" s="78">
        <f>+L18+M14</f>
        <v>7514544.830000001</v>
      </c>
      <c r="N18" s="78">
        <f>+M18+N14</f>
        <v>7514544.830000001</v>
      </c>
    </row>
    <row r="19" spans="1:14" s="62" customFormat="1" ht="3.75" customHeight="1">
      <c r="A19" s="70"/>
      <c r="B19" s="6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</row>
    <row r="20" spans="1:14" ht="12.75">
      <c r="A20" s="317" t="s">
        <v>226</v>
      </c>
      <c r="B20" s="65" t="s">
        <v>101</v>
      </c>
      <c r="C20" s="151">
        <v>0</v>
      </c>
      <c r="D20" s="151">
        <v>0</v>
      </c>
      <c r="E20" s="151">
        <v>0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151">
        <v>0</v>
      </c>
      <c r="L20" s="151">
        <v>0</v>
      </c>
      <c r="M20" s="151">
        <v>0</v>
      </c>
      <c r="N20" s="151">
        <v>0</v>
      </c>
    </row>
    <row r="21" spans="1:14" ht="12.75">
      <c r="A21" s="318"/>
      <c r="B21" s="65" t="s">
        <v>102</v>
      </c>
      <c r="C21" s="77">
        <v>162938.57</v>
      </c>
      <c r="D21" s="77">
        <v>0</v>
      </c>
      <c r="E21" s="77">
        <v>156040.24</v>
      </c>
      <c r="F21" s="77">
        <v>94147.07</v>
      </c>
      <c r="G21" s="77">
        <v>82206.09</v>
      </c>
      <c r="H21" s="198">
        <v>294965.53</v>
      </c>
      <c r="I21" s="77">
        <v>517508.04</v>
      </c>
      <c r="J21" s="77">
        <v>48430.99</v>
      </c>
      <c r="K21" s="77">
        <v>81641.26</v>
      </c>
      <c r="L21" s="77"/>
      <c r="M21" s="77"/>
      <c r="N21" s="77"/>
    </row>
    <row r="22" spans="1:14" ht="12.75">
      <c r="A22" s="318"/>
      <c r="B22" s="104" t="s">
        <v>110</v>
      </c>
      <c r="C22" s="105">
        <f>C51</f>
        <v>162938.57</v>
      </c>
      <c r="D22" s="105">
        <f aca="true" t="shared" si="8" ref="D22:N22">D51</f>
        <v>0</v>
      </c>
      <c r="E22" s="105">
        <f t="shared" si="8"/>
        <v>156040.24</v>
      </c>
      <c r="F22" s="105">
        <f t="shared" si="8"/>
        <v>94147.07</v>
      </c>
      <c r="G22" s="105">
        <f t="shared" si="8"/>
        <v>82206.09</v>
      </c>
      <c r="H22" s="105">
        <f t="shared" si="8"/>
        <v>294965.53</v>
      </c>
      <c r="I22" s="105">
        <f t="shared" si="8"/>
        <v>517508.04</v>
      </c>
      <c r="J22" s="105">
        <f t="shared" si="8"/>
        <v>48430.99</v>
      </c>
      <c r="K22" s="105">
        <f t="shared" si="8"/>
        <v>81641.26</v>
      </c>
      <c r="L22" s="105">
        <f t="shared" si="8"/>
        <v>0</v>
      </c>
      <c r="M22" s="105">
        <f t="shared" si="8"/>
        <v>0</v>
      </c>
      <c r="N22" s="105">
        <f t="shared" si="8"/>
        <v>0</v>
      </c>
    </row>
    <row r="23" spans="1:14" ht="12.75">
      <c r="A23" s="318"/>
      <c r="B23" s="102" t="s">
        <v>97</v>
      </c>
      <c r="C23" s="103">
        <f>+C22-C21</f>
        <v>0</v>
      </c>
      <c r="D23" s="103">
        <v>0</v>
      </c>
      <c r="E23" s="103">
        <f aca="true" t="shared" si="9" ref="E23:N23">+E22-E21</f>
        <v>0</v>
      </c>
      <c r="F23" s="103">
        <f t="shared" si="9"/>
        <v>0</v>
      </c>
      <c r="G23" s="103">
        <f t="shared" si="9"/>
        <v>0</v>
      </c>
      <c r="H23" s="103">
        <f t="shared" si="9"/>
        <v>0</v>
      </c>
      <c r="I23" s="103">
        <f t="shared" si="9"/>
        <v>0</v>
      </c>
      <c r="J23" s="103">
        <f t="shared" si="9"/>
        <v>0</v>
      </c>
      <c r="K23" s="103">
        <f t="shared" si="9"/>
        <v>0</v>
      </c>
      <c r="L23" s="103">
        <f t="shared" si="9"/>
        <v>0</v>
      </c>
      <c r="M23" s="103">
        <f t="shared" si="9"/>
        <v>0</v>
      </c>
      <c r="N23" s="103">
        <f t="shared" si="9"/>
        <v>0</v>
      </c>
    </row>
    <row r="24" spans="1:14" ht="12.75">
      <c r="A24" s="318"/>
      <c r="B24" s="65" t="s">
        <v>103</v>
      </c>
      <c r="C24" s="77">
        <v>162938.57</v>
      </c>
      <c r="D24" s="77">
        <v>162938.57</v>
      </c>
      <c r="E24" s="77">
        <v>318978.81</v>
      </c>
      <c r="F24" s="77">
        <v>413125.88</v>
      </c>
      <c r="G24" s="77">
        <v>495331.97</v>
      </c>
      <c r="H24" s="198">
        <v>790297.5</v>
      </c>
      <c r="I24" s="77">
        <v>1307805.54</v>
      </c>
      <c r="J24" s="77">
        <v>1356236.53</v>
      </c>
      <c r="K24" s="77">
        <v>1437877.79</v>
      </c>
      <c r="L24" s="77"/>
      <c r="M24" s="77"/>
      <c r="N24" s="77"/>
    </row>
    <row r="25" spans="1:14" ht="12.75">
      <c r="A25" s="318"/>
      <c r="B25" s="66" t="s">
        <v>111</v>
      </c>
      <c r="C25" s="77">
        <v>162938.57</v>
      </c>
      <c r="D25" s="77">
        <v>162938.57</v>
      </c>
      <c r="E25" s="77">
        <v>318978.81</v>
      </c>
      <c r="F25" s="77">
        <v>413125.88</v>
      </c>
      <c r="G25" s="77">
        <v>495331.97</v>
      </c>
      <c r="H25" s="77">
        <v>790297.5</v>
      </c>
      <c r="I25" s="77">
        <v>1307805.54</v>
      </c>
      <c r="J25" s="77">
        <v>1356236.53</v>
      </c>
      <c r="K25" s="77">
        <v>1437877.79</v>
      </c>
      <c r="L25" s="77"/>
      <c r="M25" s="77"/>
      <c r="N25" s="77"/>
    </row>
    <row r="26" spans="1:14" ht="12.75">
      <c r="A26" s="319"/>
      <c r="B26" s="66" t="s">
        <v>94</v>
      </c>
      <c r="C26" s="78">
        <f>C25</f>
        <v>162938.57</v>
      </c>
      <c r="D26" s="78">
        <f aca="true" t="shared" si="10" ref="D26:N26">+C26+D22</f>
        <v>162938.57</v>
      </c>
      <c r="E26" s="78">
        <f t="shared" si="10"/>
        <v>318978.81</v>
      </c>
      <c r="F26" s="78">
        <f t="shared" si="10"/>
        <v>413125.88</v>
      </c>
      <c r="G26" s="78">
        <f t="shared" si="10"/>
        <v>495331.97</v>
      </c>
      <c r="H26" s="78">
        <f t="shared" si="10"/>
        <v>790297.5</v>
      </c>
      <c r="I26" s="78">
        <f t="shared" si="10"/>
        <v>1307805.54</v>
      </c>
      <c r="J26" s="78">
        <f t="shared" si="10"/>
        <v>1356236.53</v>
      </c>
      <c r="K26" s="78">
        <f t="shared" si="10"/>
        <v>1437877.79</v>
      </c>
      <c r="L26" s="78">
        <f t="shared" si="10"/>
        <v>1437877.79</v>
      </c>
      <c r="M26" s="78">
        <f t="shared" si="10"/>
        <v>1437877.79</v>
      </c>
      <c r="N26" s="78">
        <f t="shared" si="10"/>
        <v>1437877.79</v>
      </c>
    </row>
    <row r="27" spans="1:14" s="62" customFormat="1" ht="3.75" customHeight="1">
      <c r="A27" s="70"/>
      <c r="B27" s="6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</row>
    <row r="28" spans="1:14" ht="12.75">
      <c r="A28" s="323" t="s">
        <v>221</v>
      </c>
      <c r="B28" s="65" t="s">
        <v>101</v>
      </c>
      <c r="C28" s="151">
        <v>0</v>
      </c>
      <c r="D28" s="151">
        <v>0</v>
      </c>
      <c r="E28" s="151">
        <v>0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1">
        <v>0</v>
      </c>
      <c r="L28" s="151">
        <v>0</v>
      </c>
      <c r="M28" s="151">
        <v>0</v>
      </c>
      <c r="N28" s="151">
        <v>0</v>
      </c>
    </row>
    <row r="29" spans="1:14" ht="12.75">
      <c r="A29" s="318"/>
      <c r="B29" s="65" t="s">
        <v>102</v>
      </c>
      <c r="C29" s="77">
        <v>131386.59</v>
      </c>
      <c r="D29" s="77">
        <v>74311.22</v>
      </c>
      <c r="E29" s="77">
        <v>113417.79</v>
      </c>
      <c r="F29" s="77">
        <v>50987.13</v>
      </c>
      <c r="G29" s="77">
        <v>19573.05</v>
      </c>
      <c r="H29" s="77">
        <v>78309.41</v>
      </c>
      <c r="I29" s="77">
        <v>154720.39</v>
      </c>
      <c r="J29" s="77">
        <v>322777.97</v>
      </c>
      <c r="K29" s="77">
        <v>135690.28</v>
      </c>
      <c r="L29" s="77"/>
      <c r="M29" s="77"/>
      <c r="N29" s="77"/>
    </row>
    <row r="30" spans="1:14" ht="12.75">
      <c r="A30" s="318"/>
      <c r="B30" s="104" t="s">
        <v>110</v>
      </c>
      <c r="C30" s="105">
        <f>C52</f>
        <v>131386.59</v>
      </c>
      <c r="D30" s="105">
        <f>D52</f>
        <v>74311.22</v>
      </c>
      <c r="E30" s="105">
        <f aca="true" t="shared" si="11" ref="E30:N30">E52</f>
        <v>113417.79</v>
      </c>
      <c r="F30" s="105">
        <f t="shared" si="11"/>
        <v>50987.13</v>
      </c>
      <c r="G30" s="105">
        <f t="shared" si="11"/>
        <v>19573.05</v>
      </c>
      <c r="H30" s="105">
        <f t="shared" si="11"/>
        <v>78309.41</v>
      </c>
      <c r="I30" s="105">
        <f t="shared" si="11"/>
        <v>154720.39</v>
      </c>
      <c r="J30" s="105">
        <f t="shared" si="11"/>
        <v>322777.97</v>
      </c>
      <c r="K30" s="105">
        <f t="shared" si="11"/>
        <v>135690.28</v>
      </c>
      <c r="L30" s="105">
        <f t="shared" si="11"/>
        <v>0</v>
      </c>
      <c r="M30" s="105">
        <f t="shared" si="11"/>
        <v>0</v>
      </c>
      <c r="N30" s="105">
        <f t="shared" si="11"/>
        <v>0</v>
      </c>
    </row>
    <row r="31" spans="1:14" ht="12.75">
      <c r="A31" s="318"/>
      <c r="B31" s="102" t="s">
        <v>97</v>
      </c>
      <c r="C31" s="103">
        <f>+C30-C29</f>
        <v>0</v>
      </c>
      <c r="D31" s="103">
        <v>0</v>
      </c>
      <c r="E31" s="103">
        <f aca="true" t="shared" si="12" ref="E31:N31">+E30-E29</f>
        <v>0</v>
      </c>
      <c r="F31" s="103">
        <f t="shared" si="12"/>
        <v>0</v>
      </c>
      <c r="G31" s="103">
        <f t="shared" si="12"/>
        <v>0</v>
      </c>
      <c r="H31" s="103">
        <f t="shared" si="12"/>
        <v>0</v>
      </c>
      <c r="I31" s="103">
        <f t="shared" si="12"/>
        <v>0</v>
      </c>
      <c r="J31" s="103">
        <f t="shared" si="12"/>
        <v>0</v>
      </c>
      <c r="K31" s="103">
        <f t="shared" si="12"/>
        <v>0</v>
      </c>
      <c r="L31" s="103">
        <f t="shared" si="12"/>
        <v>0</v>
      </c>
      <c r="M31" s="103">
        <f t="shared" si="12"/>
        <v>0</v>
      </c>
      <c r="N31" s="103">
        <f t="shared" si="12"/>
        <v>0</v>
      </c>
    </row>
    <row r="32" spans="1:14" ht="12.75">
      <c r="A32" s="318"/>
      <c r="B32" s="65" t="s">
        <v>103</v>
      </c>
      <c r="C32" s="77">
        <v>131386.59</v>
      </c>
      <c r="D32" s="77">
        <v>205697.81</v>
      </c>
      <c r="E32" s="77">
        <v>319115.6</v>
      </c>
      <c r="F32" s="77">
        <v>370102.73</v>
      </c>
      <c r="G32" s="77">
        <v>389675.78</v>
      </c>
      <c r="H32" s="77">
        <v>467985.19</v>
      </c>
      <c r="I32" s="77">
        <v>622705.58</v>
      </c>
      <c r="J32" s="77">
        <v>945483.55</v>
      </c>
      <c r="K32" s="77">
        <v>1081173.83</v>
      </c>
      <c r="L32" s="77"/>
      <c r="M32" s="77"/>
      <c r="N32" s="77"/>
    </row>
    <row r="33" spans="1:14" ht="12.75">
      <c r="A33" s="318"/>
      <c r="B33" s="104" t="s">
        <v>111</v>
      </c>
      <c r="C33" s="105">
        <f>C52</f>
        <v>131386.59</v>
      </c>
      <c r="D33" s="105">
        <f>D52</f>
        <v>74311.22</v>
      </c>
      <c r="E33" s="105">
        <f aca="true" t="shared" si="13" ref="E33:N33">E52</f>
        <v>113417.79</v>
      </c>
      <c r="F33" s="105">
        <f t="shared" si="13"/>
        <v>50987.13</v>
      </c>
      <c r="G33" s="105">
        <f t="shared" si="13"/>
        <v>19573.05</v>
      </c>
      <c r="H33" s="105">
        <f t="shared" si="13"/>
        <v>78309.41</v>
      </c>
      <c r="I33" s="105">
        <f t="shared" si="13"/>
        <v>154720.39</v>
      </c>
      <c r="J33" s="105">
        <f t="shared" si="13"/>
        <v>322777.97</v>
      </c>
      <c r="K33" s="105">
        <f t="shared" si="13"/>
        <v>135690.28</v>
      </c>
      <c r="L33" s="105">
        <f>L52</f>
        <v>0</v>
      </c>
      <c r="M33" s="105">
        <f t="shared" si="13"/>
        <v>0</v>
      </c>
      <c r="N33" s="105">
        <f t="shared" si="13"/>
        <v>0</v>
      </c>
    </row>
    <row r="34" spans="1:14" ht="12.75">
      <c r="A34" s="319"/>
      <c r="B34" s="66" t="s">
        <v>94</v>
      </c>
      <c r="C34" s="78">
        <f>C33</f>
        <v>131386.59</v>
      </c>
      <c r="D34" s="78">
        <f>+C34+D30</f>
        <v>205697.81</v>
      </c>
      <c r="E34" s="78">
        <f aca="true" t="shared" si="14" ref="E34:N34">+D34+E30</f>
        <v>319115.6</v>
      </c>
      <c r="F34" s="78">
        <f t="shared" si="14"/>
        <v>370102.73</v>
      </c>
      <c r="G34" s="78">
        <f t="shared" si="14"/>
        <v>389675.77999999997</v>
      </c>
      <c r="H34" s="78">
        <f t="shared" si="14"/>
        <v>467985.18999999994</v>
      </c>
      <c r="I34" s="78">
        <f t="shared" si="14"/>
        <v>622705.58</v>
      </c>
      <c r="J34" s="78">
        <f t="shared" si="14"/>
        <v>945483.5499999999</v>
      </c>
      <c r="K34" s="78">
        <f t="shared" si="14"/>
        <v>1081173.8299999998</v>
      </c>
      <c r="L34" s="78">
        <f t="shared" si="14"/>
        <v>1081173.8299999998</v>
      </c>
      <c r="M34" s="78">
        <f t="shared" si="14"/>
        <v>1081173.8299999998</v>
      </c>
      <c r="N34" s="78">
        <f t="shared" si="14"/>
        <v>1081173.8299999998</v>
      </c>
    </row>
    <row r="35" spans="1:14" s="110" customFormat="1" ht="12.75">
      <c r="A35" s="115"/>
      <c r="B35" s="111" t="s">
        <v>137</v>
      </c>
      <c r="C35" s="112">
        <f>C26+C18+C10+C34</f>
        <v>2685392.92</v>
      </c>
      <c r="D35" s="112">
        <f>D26+D18+D10+D34</f>
        <v>4421783.1</v>
      </c>
      <c r="E35" s="112">
        <f aca="true" t="shared" si="15" ref="E35:N35">E26+E18+E10+E34</f>
        <v>7072898.6</v>
      </c>
      <c r="F35" s="112">
        <f>F26+F18+F10+F34</f>
        <v>8707024.9</v>
      </c>
      <c r="G35" s="112">
        <f>G26+G18+G10+G34</f>
        <v>10182571.45</v>
      </c>
      <c r="H35" s="130">
        <f>H26+H18+H10+H34</f>
        <v>13005442.85</v>
      </c>
      <c r="I35" s="112">
        <f>I26+I18+I10+I34</f>
        <v>17615982.68</v>
      </c>
      <c r="J35" s="112">
        <f t="shared" si="15"/>
        <v>19615053.14</v>
      </c>
      <c r="K35" s="112">
        <f t="shared" si="15"/>
        <v>21611529.849999998</v>
      </c>
      <c r="L35" s="112">
        <f t="shared" si="15"/>
        <v>21611529.849999998</v>
      </c>
      <c r="M35" s="112">
        <f t="shared" si="15"/>
        <v>21611529.849999998</v>
      </c>
      <c r="N35" s="112">
        <f t="shared" si="15"/>
        <v>21611529.849999998</v>
      </c>
    </row>
    <row r="36" spans="1:14" s="62" customFormat="1" ht="3.75" customHeight="1">
      <c r="A36" s="70"/>
      <c r="B36" s="71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</row>
    <row r="37" spans="1:14" ht="12.75" customHeight="1">
      <c r="A37" s="308" t="s">
        <v>109</v>
      </c>
      <c r="B37" s="308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</row>
    <row r="38" spans="1:14" ht="12.75">
      <c r="A38" s="320" t="s">
        <v>190</v>
      </c>
      <c r="B38" s="65" t="s">
        <v>101</v>
      </c>
      <c r="C38" s="151">
        <v>0</v>
      </c>
      <c r="D38" s="151">
        <v>0</v>
      </c>
      <c r="E38" s="151">
        <v>0</v>
      </c>
      <c r="F38" s="151">
        <v>0</v>
      </c>
      <c r="G38" s="151">
        <v>0</v>
      </c>
      <c r="H38" s="151">
        <v>0</v>
      </c>
      <c r="I38" s="151">
        <v>0</v>
      </c>
      <c r="J38" s="151">
        <v>0</v>
      </c>
      <c r="K38" s="151">
        <v>0</v>
      </c>
      <c r="L38" s="151">
        <v>0</v>
      </c>
      <c r="M38" s="151">
        <v>0</v>
      </c>
      <c r="N38" s="151">
        <v>0</v>
      </c>
    </row>
    <row r="39" spans="1:14" ht="12.75">
      <c r="A39" s="320"/>
      <c r="B39" s="65" t="s">
        <v>102</v>
      </c>
      <c r="C39" s="77">
        <v>0</v>
      </c>
      <c r="D39" s="77"/>
      <c r="E39" s="77"/>
      <c r="F39" s="77"/>
      <c r="G39" s="77">
        <v>299.76</v>
      </c>
      <c r="H39" s="77">
        <v>0</v>
      </c>
      <c r="I39" s="77">
        <v>400</v>
      </c>
      <c r="J39" s="77">
        <v>200</v>
      </c>
      <c r="K39" s="77">
        <v>0</v>
      </c>
      <c r="L39" s="77"/>
      <c r="M39" s="77"/>
      <c r="N39" s="77"/>
    </row>
    <row r="40" spans="1:14" ht="12.75">
      <c r="A40" s="320"/>
      <c r="B40" s="97" t="s">
        <v>110</v>
      </c>
      <c r="C40" s="98">
        <f>C53</f>
        <v>0</v>
      </c>
      <c r="D40" s="98">
        <f>D39</f>
        <v>0</v>
      </c>
      <c r="E40" s="98">
        <f aca="true" t="shared" si="16" ref="E40:N40">E39</f>
        <v>0</v>
      </c>
      <c r="F40" s="98">
        <f t="shared" si="16"/>
        <v>0</v>
      </c>
      <c r="G40" s="98">
        <f t="shared" si="16"/>
        <v>299.76</v>
      </c>
      <c r="H40" s="98">
        <f t="shared" si="16"/>
        <v>0</v>
      </c>
      <c r="I40" s="98">
        <f t="shared" si="16"/>
        <v>400</v>
      </c>
      <c r="J40" s="98">
        <f t="shared" si="16"/>
        <v>200</v>
      </c>
      <c r="K40" s="98">
        <f t="shared" si="16"/>
        <v>0</v>
      </c>
      <c r="L40" s="98">
        <f t="shared" si="16"/>
        <v>0</v>
      </c>
      <c r="M40" s="98">
        <f t="shared" si="16"/>
        <v>0</v>
      </c>
      <c r="N40" s="98">
        <f t="shared" si="16"/>
        <v>0</v>
      </c>
    </row>
    <row r="41" spans="1:14" ht="12.75">
      <c r="A41" s="320"/>
      <c r="B41" s="102" t="s">
        <v>97</v>
      </c>
      <c r="C41" s="103">
        <f>+C40-C39</f>
        <v>0</v>
      </c>
      <c r="D41" s="103">
        <v>0</v>
      </c>
      <c r="E41" s="103">
        <f aca="true" t="shared" si="17" ref="E41:N41">+E40-E39</f>
        <v>0</v>
      </c>
      <c r="F41" s="103">
        <f t="shared" si="17"/>
        <v>0</v>
      </c>
      <c r="G41" s="103">
        <f t="shared" si="17"/>
        <v>0</v>
      </c>
      <c r="H41" s="103">
        <f t="shared" si="17"/>
        <v>0</v>
      </c>
      <c r="I41" s="103">
        <f t="shared" si="17"/>
        <v>0</v>
      </c>
      <c r="J41" s="103">
        <f t="shared" si="17"/>
        <v>0</v>
      </c>
      <c r="K41" s="103">
        <f t="shared" si="17"/>
        <v>0</v>
      </c>
      <c r="L41" s="103">
        <f t="shared" si="17"/>
        <v>0</v>
      </c>
      <c r="M41" s="103">
        <f t="shared" si="17"/>
        <v>0</v>
      </c>
      <c r="N41" s="103">
        <f t="shared" si="17"/>
        <v>0</v>
      </c>
    </row>
    <row r="42" spans="1:14" ht="12.75">
      <c r="A42" s="320"/>
      <c r="B42" s="65" t="s">
        <v>103</v>
      </c>
      <c r="C42" s="77">
        <v>0</v>
      </c>
      <c r="D42" s="77"/>
      <c r="E42" s="77"/>
      <c r="F42" s="77"/>
      <c r="G42" s="77">
        <v>299.76</v>
      </c>
      <c r="H42" s="77">
        <v>299.76</v>
      </c>
      <c r="I42" s="77">
        <v>400</v>
      </c>
      <c r="J42" s="77">
        <v>899.76</v>
      </c>
      <c r="K42" s="77">
        <v>899.76</v>
      </c>
      <c r="L42" s="77"/>
      <c r="M42" s="77"/>
      <c r="N42" s="77"/>
    </row>
    <row r="43" spans="1:14" ht="12.75">
      <c r="A43" s="320"/>
      <c r="B43" s="97" t="s">
        <v>111</v>
      </c>
      <c r="C43" s="98">
        <f>C42</f>
        <v>0</v>
      </c>
      <c r="D43" s="98">
        <f>C43+D40</f>
        <v>0</v>
      </c>
      <c r="E43" s="98">
        <f aca="true" t="shared" si="18" ref="E43:N43">D43+E40</f>
        <v>0</v>
      </c>
      <c r="F43" s="98">
        <f t="shared" si="18"/>
        <v>0</v>
      </c>
      <c r="G43" s="98">
        <f t="shared" si="18"/>
        <v>299.76</v>
      </c>
      <c r="H43" s="98">
        <f t="shared" si="18"/>
        <v>299.76</v>
      </c>
      <c r="I43" s="98">
        <f t="shared" si="18"/>
        <v>699.76</v>
      </c>
      <c r="J43" s="98">
        <f t="shared" si="18"/>
        <v>899.76</v>
      </c>
      <c r="K43" s="98">
        <f t="shared" si="18"/>
        <v>899.76</v>
      </c>
      <c r="L43" s="98">
        <f t="shared" si="18"/>
        <v>899.76</v>
      </c>
      <c r="M43" s="98">
        <f t="shared" si="18"/>
        <v>899.76</v>
      </c>
      <c r="N43" s="98">
        <f t="shared" si="18"/>
        <v>899.76</v>
      </c>
    </row>
    <row r="44" spans="1:14" ht="12.75">
      <c r="A44" s="320"/>
      <c r="B44" s="111" t="s">
        <v>94</v>
      </c>
      <c r="C44" s="112">
        <f>C43</f>
        <v>0</v>
      </c>
      <c r="D44" s="112">
        <f aca="true" t="shared" si="19" ref="D44:N44">+C44+D40</f>
        <v>0</v>
      </c>
      <c r="E44" s="112">
        <f t="shared" si="19"/>
        <v>0</v>
      </c>
      <c r="F44" s="112">
        <f t="shared" si="19"/>
        <v>0</v>
      </c>
      <c r="G44" s="112">
        <f t="shared" si="19"/>
        <v>299.76</v>
      </c>
      <c r="H44" s="112">
        <f t="shared" si="19"/>
        <v>299.76</v>
      </c>
      <c r="I44" s="112">
        <f t="shared" si="19"/>
        <v>699.76</v>
      </c>
      <c r="J44" s="112">
        <f t="shared" si="19"/>
        <v>899.76</v>
      </c>
      <c r="K44" s="112">
        <f t="shared" si="19"/>
        <v>899.76</v>
      </c>
      <c r="L44" s="112">
        <f t="shared" si="19"/>
        <v>899.76</v>
      </c>
      <c r="M44" s="112">
        <f t="shared" si="19"/>
        <v>899.76</v>
      </c>
      <c r="N44" s="112">
        <f t="shared" si="19"/>
        <v>899.76</v>
      </c>
    </row>
    <row r="45" spans="3:14" ht="12.75"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</row>
    <row r="46" spans="1:14" ht="12.75">
      <c r="A46" s="313" t="s">
        <v>114</v>
      </c>
      <c r="B46" s="313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</row>
    <row r="47" spans="1:14" ht="12.75">
      <c r="A47" s="315" t="s">
        <v>222</v>
      </c>
      <c r="B47" s="100" t="s">
        <v>228</v>
      </c>
      <c r="C47" s="98">
        <f>C5</f>
        <v>1648138.52</v>
      </c>
      <c r="D47" s="98">
        <f aca="true" t="shared" si="20" ref="D47:N47">D5</f>
        <v>1254544.62</v>
      </c>
      <c r="E47" s="98">
        <f t="shared" si="20"/>
        <v>1375244.73</v>
      </c>
      <c r="F47" s="98">
        <f t="shared" si="20"/>
        <v>1297128.87</v>
      </c>
      <c r="G47" s="98">
        <f t="shared" si="20"/>
        <v>1180365.43</v>
      </c>
      <c r="H47" s="98">
        <f t="shared" si="20"/>
        <v>1123548.8</v>
      </c>
      <c r="I47" s="98">
        <f t="shared" si="20"/>
        <v>1259503.71</v>
      </c>
      <c r="J47" s="98">
        <f t="shared" si="20"/>
        <v>1345534.79</v>
      </c>
      <c r="K47" s="98">
        <f t="shared" si="20"/>
        <v>1093923.93</v>
      </c>
      <c r="L47" s="98">
        <f t="shared" si="20"/>
        <v>0</v>
      </c>
      <c r="M47" s="98">
        <f t="shared" si="20"/>
        <v>0</v>
      </c>
      <c r="N47" s="98">
        <f t="shared" si="20"/>
        <v>0</v>
      </c>
    </row>
    <row r="48" spans="1:15" ht="12.75">
      <c r="A48" s="316"/>
      <c r="B48" s="73" t="s">
        <v>239</v>
      </c>
      <c r="C48" s="77">
        <v>87423.17</v>
      </c>
      <c r="D48" s="77">
        <v>61559.73</v>
      </c>
      <c r="E48" s="77">
        <v>44667.89</v>
      </c>
      <c r="F48" s="77">
        <v>113634.37</v>
      </c>
      <c r="G48" s="77">
        <v>120268.9</v>
      </c>
      <c r="H48" s="77">
        <v>108212.1</v>
      </c>
      <c r="I48" s="77">
        <v>117611.52</v>
      </c>
      <c r="J48" s="77">
        <v>124447.57</v>
      </c>
      <c r="K48" s="77">
        <v>96182.07</v>
      </c>
      <c r="L48" s="77"/>
      <c r="M48" s="77"/>
      <c r="N48" s="77"/>
      <c r="O48" s="80">
        <f>SUM(C48:N48)</f>
        <v>874007.3200000001</v>
      </c>
    </row>
    <row r="49" spans="1:14" ht="12.75" customHeight="1">
      <c r="A49" s="315" t="s">
        <v>223</v>
      </c>
      <c r="B49" s="101" t="s">
        <v>229</v>
      </c>
      <c r="C49" s="98">
        <f>C13</f>
        <v>747929.24</v>
      </c>
      <c r="D49" s="98">
        <f aca="true" t="shared" si="21" ref="D49:N49">D13</f>
        <v>407534.34</v>
      </c>
      <c r="E49" s="98">
        <f t="shared" si="21"/>
        <v>1006412.74</v>
      </c>
      <c r="F49" s="98">
        <f t="shared" si="21"/>
        <v>191863.23</v>
      </c>
      <c r="G49" s="98">
        <f t="shared" si="21"/>
        <v>193401.98</v>
      </c>
      <c r="H49" s="98">
        <f t="shared" si="21"/>
        <v>1326047.66</v>
      </c>
      <c r="I49" s="98">
        <f t="shared" si="21"/>
        <v>2678807.69</v>
      </c>
      <c r="J49" s="98">
        <f t="shared" si="21"/>
        <v>282326.71</v>
      </c>
      <c r="K49" s="98">
        <f t="shared" si="21"/>
        <v>685221.24</v>
      </c>
      <c r="L49" s="98">
        <f t="shared" si="21"/>
        <v>0</v>
      </c>
      <c r="M49" s="98">
        <f t="shared" si="21"/>
        <v>0</v>
      </c>
      <c r="N49" s="98">
        <f t="shared" si="21"/>
        <v>0</v>
      </c>
    </row>
    <row r="50" spans="1:14" ht="12.75" customHeight="1">
      <c r="A50" s="316"/>
      <c r="B50" s="73" t="s">
        <v>116</v>
      </c>
      <c r="C50" s="77">
        <v>0</v>
      </c>
      <c r="D50" s="77">
        <v>0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/>
      <c r="K50" s="77"/>
      <c r="L50" s="77"/>
      <c r="M50" s="77"/>
      <c r="N50" s="77"/>
    </row>
    <row r="51" spans="1:14" ht="12.75">
      <c r="A51" s="63" t="s">
        <v>225</v>
      </c>
      <c r="B51" s="96" t="s">
        <v>230</v>
      </c>
      <c r="C51" s="77">
        <v>162938.57</v>
      </c>
      <c r="D51" s="77">
        <v>0</v>
      </c>
      <c r="E51" s="77">
        <v>156040.24</v>
      </c>
      <c r="F51" s="177">
        <v>94147.07</v>
      </c>
      <c r="G51" s="77">
        <v>82206.09</v>
      </c>
      <c r="H51" s="77">
        <v>294965.53</v>
      </c>
      <c r="I51" s="77">
        <v>517508.04</v>
      </c>
      <c r="J51" s="77">
        <v>48430.99</v>
      </c>
      <c r="K51" s="77">
        <v>81641.26</v>
      </c>
      <c r="L51" s="77"/>
      <c r="M51" s="77"/>
      <c r="N51" s="77"/>
    </row>
    <row r="52" spans="1:14" ht="12.75">
      <c r="A52" s="95" t="s">
        <v>224</v>
      </c>
      <c r="B52" s="96" t="s">
        <v>231</v>
      </c>
      <c r="C52" s="77">
        <v>131386.59</v>
      </c>
      <c r="D52" s="77">
        <v>74311.22</v>
      </c>
      <c r="E52" s="77">
        <v>113417.79</v>
      </c>
      <c r="F52" s="177">
        <v>50987.13</v>
      </c>
      <c r="G52" s="77">
        <v>19573.05</v>
      </c>
      <c r="H52" s="77">
        <v>78309.41</v>
      </c>
      <c r="I52" s="77">
        <v>154720.39</v>
      </c>
      <c r="J52" s="77">
        <v>322777.97</v>
      </c>
      <c r="K52" s="77">
        <v>135690.28</v>
      </c>
      <c r="L52" s="77"/>
      <c r="M52" s="77"/>
      <c r="N52" s="77"/>
    </row>
    <row r="53" spans="1:14" ht="12.75">
      <c r="A53" s="170" t="s">
        <v>95</v>
      </c>
      <c r="B53" s="174" t="s">
        <v>115</v>
      </c>
      <c r="C53" s="77">
        <v>0</v>
      </c>
      <c r="D53" s="77">
        <v>0</v>
      </c>
      <c r="E53" s="77">
        <v>0</v>
      </c>
      <c r="F53" s="77">
        <v>0</v>
      </c>
      <c r="G53" s="77">
        <v>299.76</v>
      </c>
      <c r="H53" s="77">
        <v>0</v>
      </c>
      <c r="I53" s="77">
        <v>400</v>
      </c>
      <c r="J53" s="77">
        <v>200</v>
      </c>
      <c r="K53" s="77">
        <v>0</v>
      </c>
      <c r="L53" s="77">
        <v>0</v>
      </c>
      <c r="M53" s="77">
        <v>0</v>
      </c>
      <c r="N53" s="77">
        <v>0</v>
      </c>
    </row>
    <row r="54" spans="2:14" s="110" customFormat="1" ht="12.75">
      <c r="B54" s="111" t="s">
        <v>94</v>
      </c>
      <c r="C54" s="112">
        <f>C47+C49+C51+C52+C53</f>
        <v>2690392.9199999995</v>
      </c>
      <c r="D54" s="112">
        <f aca="true" t="shared" si="22" ref="D54:M54">D47+D49+D51+D52+D53</f>
        <v>1736390.1800000002</v>
      </c>
      <c r="E54" s="112">
        <f t="shared" si="22"/>
        <v>2651115.5</v>
      </c>
      <c r="F54" s="112">
        <f t="shared" si="22"/>
        <v>1634126.3</v>
      </c>
      <c r="G54" s="112">
        <f t="shared" si="22"/>
        <v>1475846.31</v>
      </c>
      <c r="H54" s="130">
        <f t="shared" si="22"/>
        <v>2822871.4000000004</v>
      </c>
      <c r="I54" s="112">
        <f t="shared" si="22"/>
        <v>4610939.829999999</v>
      </c>
      <c r="J54" s="112">
        <f t="shared" si="22"/>
        <v>1999270.46</v>
      </c>
      <c r="K54" s="112">
        <f t="shared" si="22"/>
        <v>1996476.71</v>
      </c>
      <c r="L54" s="112">
        <f t="shared" si="22"/>
        <v>0</v>
      </c>
      <c r="M54" s="112">
        <f t="shared" si="22"/>
        <v>0</v>
      </c>
      <c r="N54" s="112">
        <f>N47+N49+N51+N52+N53</f>
        <v>0</v>
      </c>
    </row>
    <row r="55" spans="3:14" ht="12.75"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4" ht="12.75">
      <c r="A56" s="313" t="s">
        <v>113</v>
      </c>
      <c r="B56" s="313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1:14" ht="12.75">
      <c r="A57" s="72" t="s">
        <v>104</v>
      </c>
      <c r="B57" s="67" t="s">
        <v>108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ht="12.75">
      <c r="A58" s="64" t="s">
        <v>105</v>
      </c>
      <c r="B58" s="82">
        <v>1629</v>
      </c>
      <c r="C58" s="82">
        <v>1629</v>
      </c>
      <c r="D58" s="82">
        <v>1816.4</v>
      </c>
      <c r="E58" s="82">
        <v>1629</v>
      </c>
      <c r="F58" s="178">
        <v>1629</v>
      </c>
      <c r="G58" s="82">
        <v>1629</v>
      </c>
      <c r="H58" s="199">
        <v>1470</v>
      </c>
      <c r="I58" s="82">
        <v>1970</v>
      </c>
      <c r="J58" s="82">
        <v>1470</v>
      </c>
      <c r="K58" s="82">
        <v>1470</v>
      </c>
      <c r="L58" s="82"/>
      <c r="M58" s="82"/>
      <c r="N58" s="82"/>
    </row>
    <row r="59" spans="1:14" ht="12.75">
      <c r="A59" s="64" t="s">
        <v>106</v>
      </c>
      <c r="B59" s="82">
        <v>265722391.44</v>
      </c>
      <c r="C59" s="82">
        <v>256282617.62</v>
      </c>
      <c r="D59" s="82">
        <v>254276964.77</v>
      </c>
      <c r="E59" s="82">
        <v>247309360.69</v>
      </c>
      <c r="F59" s="178">
        <v>226567211.21</v>
      </c>
      <c r="G59" s="82">
        <v>223333234.95</v>
      </c>
      <c r="H59" s="199">
        <v>219827753.56</v>
      </c>
      <c r="I59" s="82">
        <v>216128929.98</v>
      </c>
      <c r="J59" s="82">
        <v>213550173.13</v>
      </c>
      <c r="K59" s="82">
        <v>213457294.06</v>
      </c>
      <c r="L59" s="82"/>
      <c r="M59" s="82"/>
      <c r="N59" s="82"/>
    </row>
    <row r="60" spans="1:14" ht="12.75">
      <c r="A60" s="64" t="s">
        <v>107</v>
      </c>
      <c r="B60" s="82">
        <v>32</v>
      </c>
      <c r="C60" s="82">
        <v>32</v>
      </c>
      <c r="D60" s="82">
        <v>32</v>
      </c>
      <c r="E60" s="82">
        <v>32</v>
      </c>
      <c r="F60" s="178">
        <v>32</v>
      </c>
      <c r="G60" s="82">
        <v>32</v>
      </c>
      <c r="H60" s="199">
        <v>32</v>
      </c>
      <c r="I60" s="82">
        <v>32</v>
      </c>
      <c r="J60" s="82">
        <v>32</v>
      </c>
      <c r="K60" s="82">
        <v>32</v>
      </c>
      <c r="L60" s="82"/>
      <c r="M60" s="82"/>
      <c r="N60" s="82"/>
    </row>
    <row r="61" spans="1:14" ht="12.75">
      <c r="A61" s="64" t="s">
        <v>160</v>
      </c>
      <c r="B61" s="82">
        <v>0</v>
      </c>
      <c r="C61" s="82">
        <v>0</v>
      </c>
      <c r="D61" s="82">
        <v>0</v>
      </c>
      <c r="E61" s="82"/>
      <c r="F61" s="82">
        <v>0</v>
      </c>
      <c r="G61" s="82">
        <v>0</v>
      </c>
      <c r="H61" s="199"/>
      <c r="I61" s="82"/>
      <c r="J61" s="82"/>
      <c r="K61" s="82"/>
      <c r="L61" s="82"/>
      <c r="M61" s="82"/>
      <c r="N61" s="82"/>
    </row>
    <row r="62" spans="1:14" ht="12.75">
      <c r="A62" s="64" t="s">
        <v>147</v>
      </c>
      <c r="B62" s="82">
        <v>0</v>
      </c>
      <c r="C62" s="82">
        <v>0</v>
      </c>
      <c r="D62" s="82">
        <v>0</v>
      </c>
      <c r="E62" s="82"/>
      <c r="F62" s="82">
        <v>0</v>
      </c>
      <c r="G62" s="82">
        <v>0</v>
      </c>
      <c r="H62" s="199"/>
      <c r="I62" s="116"/>
      <c r="J62" s="82"/>
      <c r="K62" s="82"/>
      <c r="L62" s="82"/>
      <c r="M62" s="82"/>
      <c r="N62" s="82"/>
    </row>
    <row r="63" spans="1:14" ht="12.75">
      <c r="A63" s="142" t="s">
        <v>196</v>
      </c>
      <c r="B63" s="143">
        <v>-15262094.25</v>
      </c>
      <c r="C63" s="143"/>
      <c r="D63" s="82">
        <v>0</v>
      </c>
      <c r="E63" s="82"/>
      <c r="F63" s="180">
        <v>-453315.34</v>
      </c>
      <c r="G63" s="82"/>
      <c r="H63" s="180">
        <v>200481.52</v>
      </c>
      <c r="I63" s="204"/>
      <c r="J63" s="204">
        <v>49185.34</v>
      </c>
      <c r="K63" s="237"/>
      <c r="L63" s="82"/>
      <c r="M63" s="82"/>
      <c r="N63" s="82"/>
    </row>
    <row r="64" spans="1:14" ht="12.75">
      <c r="A64" s="64" t="s">
        <v>191</v>
      </c>
      <c r="B64" s="82">
        <v>0</v>
      </c>
      <c r="C64" s="82">
        <v>1400</v>
      </c>
      <c r="D64" s="82">
        <v>4895.66</v>
      </c>
      <c r="E64" s="82">
        <v>668861.46</v>
      </c>
      <c r="F64" s="178">
        <v>46737.83</v>
      </c>
      <c r="G64" s="82">
        <v>4100</v>
      </c>
      <c r="H64" s="199">
        <v>201799.74</v>
      </c>
      <c r="I64" s="82">
        <v>0</v>
      </c>
      <c r="J64" s="82"/>
      <c r="K64" s="82">
        <v>0</v>
      </c>
      <c r="L64" s="82"/>
      <c r="M64" s="82"/>
      <c r="N64" s="82"/>
    </row>
    <row r="65" spans="1:14" s="110" customFormat="1" ht="12.75">
      <c r="A65" s="148" t="s">
        <v>94</v>
      </c>
      <c r="B65" s="148">
        <f>SUM(B58:B64)</f>
        <v>250461958.19</v>
      </c>
      <c r="C65" s="149">
        <f>SUM(C58:C64)</f>
        <v>256285678.62</v>
      </c>
      <c r="D65" s="149">
        <f>SUM(D58:D64)</f>
        <v>254283708.83</v>
      </c>
      <c r="E65" s="149">
        <f aca="true" t="shared" si="23" ref="E65:N65">SUM(E58:E64)</f>
        <v>247979883.15</v>
      </c>
      <c r="F65" s="149">
        <f t="shared" si="23"/>
        <v>226162294.70000002</v>
      </c>
      <c r="G65" s="149">
        <f t="shared" si="23"/>
        <v>223338995.95</v>
      </c>
      <c r="H65" s="149">
        <f>SUM(H58:H64)</f>
        <v>220231536.82000002</v>
      </c>
      <c r="I65" s="149">
        <f>SUM(I58:I64)</f>
        <v>216130931.98</v>
      </c>
      <c r="J65" s="149">
        <f t="shared" si="23"/>
        <v>213600860.47</v>
      </c>
      <c r="K65" s="149">
        <f t="shared" si="23"/>
        <v>213458796.06</v>
      </c>
      <c r="L65" s="149">
        <f t="shared" si="23"/>
        <v>0</v>
      </c>
      <c r="M65" s="149">
        <f t="shared" si="23"/>
        <v>0</v>
      </c>
      <c r="N65" s="149">
        <f t="shared" si="23"/>
        <v>0</v>
      </c>
    </row>
    <row r="66" spans="2:14" ht="12.75">
      <c r="B66" s="113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1:14" ht="12.75">
      <c r="A67" s="313" t="s">
        <v>117</v>
      </c>
      <c r="B67" s="313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1:14" ht="12.75">
      <c r="A68" s="324" t="s">
        <v>123</v>
      </c>
      <c r="B68" s="324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1:14" ht="12.75">
      <c r="A69" s="309" t="s">
        <v>98</v>
      </c>
      <c r="B69" s="74" t="s">
        <v>118</v>
      </c>
      <c r="C69" s="77">
        <v>4556155.32</v>
      </c>
      <c r="D69" s="77">
        <v>29975504.81</v>
      </c>
      <c r="E69" s="77">
        <v>40043625.36</v>
      </c>
      <c r="F69" s="177">
        <v>48148300.57</v>
      </c>
      <c r="G69" s="77">
        <v>49074446.21</v>
      </c>
      <c r="H69" s="77">
        <v>51381572.73</v>
      </c>
      <c r="I69" s="77">
        <v>53000575.29</v>
      </c>
      <c r="J69" s="77">
        <v>53165516.59</v>
      </c>
      <c r="K69" s="77">
        <v>53633226.67</v>
      </c>
      <c r="L69" s="77"/>
      <c r="M69" s="77"/>
      <c r="N69" s="77"/>
    </row>
    <row r="70" spans="1:14" ht="12.75">
      <c r="A70" s="310"/>
      <c r="B70" s="74" t="s">
        <v>119</v>
      </c>
      <c r="C70" s="77">
        <v>0</v>
      </c>
      <c r="D70" s="77">
        <v>1490900.95</v>
      </c>
      <c r="E70" s="77">
        <v>10411775.4</v>
      </c>
      <c r="F70" s="177">
        <v>16655120.36</v>
      </c>
      <c r="G70" s="77">
        <v>20347180.94</v>
      </c>
      <c r="H70" s="77">
        <v>25988013.06</v>
      </c>
      <c r="I70" s="77">
        <v>31860669.68</v>
      </c>
      <c r="J70" s="77">
        <v>36709628.68</v>
      </c>
      <c r="K70" s="77">
        <v>38475472.46</v>
      </c>
      <c r="L70" s="77"/>
      <c r="M70" s="77"/>
      <c r="N70" s="77"/>
    </row>
    <row r="71" spans="1:14" ht="12.75">
      <c r="A71" s="310"/>
      <c r="B71" s="74" t="s">
        <v>121</v>
      </c>
      <c r="C71" s="77">
        <v>0</v>
      </c>
      <c r="D71" s="77">
        <v>1093770.44</v>
      </c>
      <c r="E71" s="77">
        <v>990446.66</v>
      </c>
      <c r="F71" s="177">
        <v>232753.85</v>
      </c>
      <c r="G71" s="77">
        <v>2360783.6</v>
      </c>
      <c r="H71" s="77">
        <v>0</v>
      </c>
      <c r="I71" s="77">
        <v>703759.47</v>
      </c>
      <c r="J71" s="77">
        <v>49185.34</v>
      </c>
      <c r="K71" s="77">
        <v>1268039.66</v>
      </c>
      <c r="L71" s="77"/>
      <c r="M71" s="77"/>
      <c r="N71" s="77"/>
    </row>
    <row r="72" spans="1:14" ht="12.75">
      <c r="A72" s="310"/>
      <c r="B72" s="74" t="s">
        <v>145</v>
      </c>
      <c r="C72" s="77">
        <v>0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/>
      <c r="M72" s="77"/>
      <c r="N72" s="77"/>
    </row>
    <row r="73" spans="1:14" ht="12.75">
      <c r="A73" s="311"/>
      <c r="B73" s="74" t="s">
        <v>122</v>
      </c>
      <c r="C73" s="77">
        <v>4556155.32</v>
      </c>
      <c r="D73" s="77">
        <v>27390833.42</v>
      </c>
      <c r="E73" s="77">
        <f>+E69-E70-E71</f>
        <v>28641403.3</v>
      </c>
      <c r="F73" s="177">
        <v>31260426.36</v>
      </c>
      <c r="G73" s="77">
        <v>26366481.67</v>
      </c>
      <c r="H73" s="77">
        <v>25393559.67</v>
      </c>
      <c r="I73" s="77">
        <v>20436146.14</v>
      </c>
      <c r="J73" s="77">
        <v>16406702.57</v>
      </c>
      <c r="K73" s="77">
        <v>13889714.55</v>
      </c>
      <c r="L73" s="77"/>
      <c r="M73" s="77"/>
      <c r="N73" s="77"/>
    </row>
    <row r="74" spans="1:14" s="62" customFormat="1" ht="3.75" customHeight="1">
      <c r="A74" s="75"/>
      <c r="B74" s="76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</row>
    <row r="75" spans="1:14" ht="12.75">
      <c r="A75" s="309" t="s">
        <v>99</v>
      </c>
      <c r="B75" s="74" t="s">
        <v>118</v>
      </c>
      <c r="C75" s="77">
        <v>32407.87</v>
      </c>
      <c r="D75" s="77">
        <v>36758.37</v>
      </c>
      <c r="E75" s="77">
        <v>36758.37</v>
      </c>
      <c r="F75" s="177">
        <v>37480.47</v>
      </c>
      <c r="G75" s="77">
        <v>82847.97</v>
      </c>
      <c r="H75" s="77">
        <v>85847.97</v>
      </c>
      <c r="I75" s="77">
        <v>85847.97</v>
      </c>
      <c r="J75" s="77">
        <v>67699.4</v>
      </c>
      <c r="K75" s="77">
        <v>86589.4</v>
      </c>
      <c r="L75" s="77"/>
      <c r="M75" s="77"/>
      <c r="N75" s="77"/>
    </row>
    <row r="76" spans="1:14" ht="12.75">
      <c r="A76" s="310"/>
      <c r="B76" s="74" t="s">
        <v>119</v>
      </c>
      <c r="C76" s="77">
        <v>0</v>
      </c>
      <c r="D76" s="77">
        <v>344.1</v>
      </c>
      <c r="E76" s="77">
        <v>910.35</v>
      </c>
      <c r="F76" s="177">
        <v>3076.73</v>
      </c>
      <c r="G76" s="77">
        <v>5682.43</v>
      </c>
      <c r="H76" s="77">
        <v>6043.39</v>
      </c>
      <c r="I76" s="77">
        <v>11572.09</v>
      </c>
      <c r="J76" s="77">
        <v>12030.76</v>
      </c>
      <c r="K76" s="77">
        <v>17166.31</v>
      </c>
      <c r="L76" s="77"/>
      <c r="M76" s="77"/>
      <c r="N76" s="77"/>
    </row>
    <row r="77" spans="1:14" ht="12.75">
      <c r="A77" s="310"/>
      <c r="B77" s="74" t="s">
        <v>121</v>
      </c>
      <c r="C77" s="77">
        <v>0</v>
      </c>
      <c r="D77" s="77">
        <v>0</v>
      </c>
      <c r="E77" s="77">
        <v>0</v>
      </c>
      <c r="F77" s="177">
        <v>1227.1</v>
      </c>
      <c r="G77" s="77">
        <v>0</v>
      </c>
      <c r="H77" s="77">
        <v>5164.4</v>
      </c>
      <c r="I77" s="77">
        <v>98.87</v>
      </c>
      <c r="J77" s="77">
        <v>371.19</v>
      </c>
      <c r="K77" s="77">
        <v>0</v>
      </c>
      <c r="L77" s="77"/>
      <c r="M77" s="77"/>
      <c r="N77" s="77"/>
    </row>
    <row r="78" spans="1:14" ht="12.75">
      <c r="A78" s="310"/>
      <c r="B78" s="74" t="s">
        <v>145</v>
      </c>
      <c r="C78" s="77">
        <v>0</v>
      </c>
      <c r="D78" s="77">
        <v>0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77">
        <v>0</v>
      </c>
      <c r="K78" s="77">
        <v>0</v>
      </c>
      <c r="L78" s="77"/>
      <c r="M78" s="77"/>
      <c r="N78" s="77"/>
    </row>
    <row r="79" spans="1:14" ht="12.75">
      <c r="A79" s="311"/>
      <c r="B79" s="74" t="s">
        <v>122</v>
      </c>
      <c r="C79" s="77">
        <v>32407.87</v>
      </c>
      <c r="D79" s="77">
        <v>36414.27</v>
      </c>
      <c r="E79" s="77">
        <f>+E75-E76</f>
        <v>35848.020000000004</v>
      </c>
      <c r="F79" s="177">
        <v>33176.64</v>
      </c>
      <c r="G79" s="77">
        <v>77165.54</v>
      </c>
      <c r="H79" s="77">
        <v>74640.18</v>
      </c>
      <c r="I79" s="77">
        <v>74177.01</v>
      </c>
      <c r="J79" s="77">
        <v>55297.45</v>
      </c>
      <c r="K79" s="77">
        <v>69423.09</v>
      </c>
      <c r="L79" s="77"/>
      <c r="M79" s="77"/>
      <c r="N79" s="77"/>
    </row>
    <row r="80" spans="1:14" s="62" customFormat="1" ht="3.75" customHeight="1">
      <c r="A80" s="70"/>
      <c r="B80" s="71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12.75">
      <c r="A81" s="308" t="s">
        <v>124</v>
      </c>
      <c r="B81" s="308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</row>
    <row r="82" spans="1:14" ht="12.75">
      <c r="A82" s="312" t="s">
        <v>127</v>
      </c>
      <c r="B82" s="74" t="s">
        <v>125</v>
      </c>
      <c r="C82" s="77">
        <v>16355000</v>
      </c>
      <c r="D82" s="77">
        <v>16355000</v>
      </c>
      <c r="E82" s="77">
        <v>16355000</v>
      </c>
      <c r="F82" s="77">
        <v>16355000</v>
      </c>
      <c r="G82" s="77">
        <v>16355000</v>
      </c>
      <c r="H82" s="77">
        <v>16355000</v>
      </c>
      <c r="I82" s="77">
        <v>16355000</v>
      </c>
      <c r="J82" s="77">
        <v>16355000</v>
      </c>
      <c r="K82" s="77">
        <v>16355000</v>
      </c>
      <c r="L82" s="77"/>
      <c r="M82" s="77"/>
      <c r="N82" s="77"/>
    </row>
    <row r="83" spans="1:14" ht="12.75">
      <c r="A83" s="312"/>
      <c r="B83" s="74" t="s">
        <v>126</v>
      </c>
      <c r="C83" s="77">
        <v>16355000</v>
      </c>
      <c r="D83" s="77">
        <v>103028894</v>
      </c>
      <c r="E83" s="77">
        <v>85670273.59</v>
      </c>
      <c r="F83" s="77">
        <v>85717580.69</v>
      </c>
      <c r="G83" s="77">
        <v>85717580.69</v>
      </c>
      <c r="H83" s="77">
        <v>85717580.69</v>
      </c>
      <c r="I83" s="77">
        <v>86201365.24</v>
      </c>
      <c r="J83" s="77">
        <v>86151365.24</v>
      </c>
      <c r="K83" s="77">
        <v>86280125.77</v>
      </c>
      <c r="L83" s="77"/>
      <c r="M83" s="77"/>
      <c r="N83" s="77"/>
    </row>
    <row r="84" spans="1:14" ht="12.75">
      <c r="A84" s="312"/>
      <c r="B84" s="74" t="s">
        <v>118</v>
      </c>
      <c r="C84" s="77">
        <v>4511663.19</v>
      </c>
      <c r="D84" s="77">
        <v>29735654.86</v>
      </c>
      <c r="E84" s="77">
        <v>38633437.88</v>
      </c>
      <c r="F84" s="177">
        <v>45801611.35</v>
      </c>
      <c r="G84" s="77">
        <v>46727084.19</v>
      </c>
      <c r="H84" s="77">
        <v>48832302.68</v>
      </c>
      <c r="I84" s="77">
        <v>49939803.29</v>
      </c>
      <c r="J84" s="77">
        <v>50085570.22</v>
      </c>
      <c r="K84" s="77">
        <v>50566170.3</v>
      </c>
      <c r="L84" s="77"/>
      <c r="M84" s="77"/>
      <c r="N84" s="77"/>
    </row>
    <row r="85" spans="1:14" ht="12.75">
      <c r="A85" s="312"/>
      <c r="B85" s="74" t="s">
        <v>120</v>
      </c>
      <c r="C85" s="77">
        <v>0</v>
      </c>
      <c r="D85" s="77">
        <v>2585015.49</v>
      </c>
      <c r="E85" s="77">
        <v>11172694.4</v>
      </c>
      <c r="F85" s="177">
        <v>16425501.49</v>
      </c>
      <c r="G85" s="77">
        <v>21363365.74</v>
      </c>
      <c r="H85" s="77">
        <v>24094564.8</v>
      </c>
      <c r="I85" s="77">
        <v>30047172.11</v>
      </c>
      <c r="J85" s="77">
        <v>33728639.76</v>
      </c>
      <c r="K85" s="77">
        <v>36644802.68</v>
      </c>
      <c r="L85" s="77"/>
      <c r="M85" s="77"/>
      <c r="N85" s="77"/>
    </row>
    <row r="86" spans="1:14" ht="12.75">
      <c r="A86" s="312"/>
      <c r="B86" s="74" t="s">
        <v>119</v>
      </c>
      <c r="C86" s="77">
        <v>0</v>
      </c>
      <c r="D86" s="77">
        <v>1491245.05</v>
      </c>
      <c r="E86" s="77">
        <v>10217399.39</v>
      </c>
      <c r="F86" s="177">
        <v>16191520.54</v>
      </c>
      <c r="G86" s="77">
        <v>19105842.14</v>
      </c>
      <c r="H86" s="77">
        <v>24089400.4</v>
      </c>
      <c r="I86" s="77">
        <v>29412188.37</v>
      </c>
      <c r="J86" s="77">
        <v>33679083.23</v>
      </c>
      <c r="K86" s="77">
        <v>35376763.02</v>
      </c>
      <c r="L86" s="77"/>
      <c r="M86" s="77"/>
      <c r="N86" s="77"/>
    </row>
    <row r="87" spans="1:14" s="62" customFormat="1" ht="3.75" customHeight="1">
      <c r="A87" s="75"/>
      <c r="B87" s="76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</row>
    <row r="88" spans="1:14" ht="12.75">
      <c r="A88" s="312" t="s">
        <v>128</v>
      </c>
      <c r="B88" s="74" t="s">
        <v>125</v>
      </c>
      <c r="C88" s="77">
        <v>104856584</v>
      </c>
      <c r="D88" s="77">
        <v>104856584</v>
      </c>
      <c r="E88" s="77">
        <v>104856584</v>
      </c>
      <c r="F88" s="77">
        <v>104856584</v>
      </c>
      <c r="G88" s="77">
        <v>104856584</v>
      </c>
      <c r="H88" s="77">
        <v>104856584</v>
      </c>
      <c r="I88" s="77">
        <v>104856584</v>
      </c>
      <c r="J88" s="77">
        <v>104856584</v>
      </c>
      <c r="K88" s="77">
        <v>104856584</v>
      </c>
      <c r="L88" s="77"/>
      <c r="M88" s="77"/>
      <c r="N88" s="77"/>
    </row>
    <row r="89" spans="1:14" ht="12.75">
      <c r="A89" s="312"/>
      <c r="B89" s="74" t="s">
        <v>126</v>
      </c>
      <c r="C89" s="77">
        <v>104856584</v>
      </c>
      <c r="D89" s="77">
        <v>18182690</v>
      </c>
      <c r="E89" s="77">
        <v>18182690</v>
      </c>
      <c r="F89" s="77">
        <v>18180890</v>
      </c>
      <c r="G89" s="77">
        <v>18180890</v>
      </c>
      <c r="H89" s="77">
        <v>18180890</v>
      </c>
      <c r="I89" s="77">
        <v>17697105.45</v>
      </c>
      <c r="J89" s="77">
        <v>17697105.45</v>
      </c>
      <c r="K89" s="77">
        <v>17568344.92</v>
      </c>
      <c r="L89" s="77"/>
      <c r="M89" s="77"/>
      <c r="N89" s="77"/>
    </row>
    <row r="90" spans="1:14" ht="12.75">
      <c r="A90" s="312"/>
      <c r="B90" s="74" t="s">
        <v>118</v>
      </c>
      <c r="C90" s="77">
        <v>76900</v>
      </c>
      <c r="D90" s="77">
        <v>276608.32</v>
      </c>
      <c r="E90" s="77">
        <v>1446945.85</v>
      </c>
      <c r="F90" s="177">
        <v>2384169.69</v>
      </c>
      <c r="G90" s="77">
        <v>2430209.99</v>
      </c>
      <c r="H90" s="77">
        <v>2635118.02</v>
      </c>
      <c r="I90" s="77">
        <v>3146619.97</v>
      </c>
      <c r="J90" s="77">
        <v>3147645.77</v>
      </c>
      <c r="K90" s="77">
        <v>3153645.77</v>
      </c>
      <c r="L90" s="77"/>
      <c r="M90" s="77"/>
      <c r="N90" s="77"/>
    </row>
    <row r="91" spans="1:14" ht="12.75">
      <c r="A91" s="312"/>
      <c r="B91" s="74" t="s">
        <v>120</v>
      </c>
      <c r="C91" s="77">
        <v>0</v>
      </c>
      <c r="D91" s="77">
        <v>0</v>
      </c>
      <c r="E91" s="77">
        <v>230438.01</v>
      </c>
      <c r="F91" s="177">
        <v>466676.55</v>
      </c>
      <c r="G91" s="77">
        <v>1350281.23</v>
      </c>
      <c r="H91" s="77">
        <v>1904656.05</v>
      </c>
      <c r="I91" s="77">
        <v>2528928</v>
      </c>
      <c r="J91" s="77">
        <v>3042576.21</v>
      </c>
      <c r="K91" s="77">
        <v>3115875.75</v>
      </c>
      <c r="L91" s="77"/>
      <c r="M91" s="77"/>
      <c r="N91" s="77"/>
    </row>
    <row r="92" spans="1:14" ht="12.75">
      <c r="A92" s="312"/>
      <c r="B92" s="74" t="s">
        <v>119</v>
      </c>
      <c r="C92" s="77">
        <v>0</v>
      </c>
      <c r="D92" s="77">
        <v>0</v>
      </c>
      <c r="E92" s="77">
        <v>195286.36</v>
      </c>
      <c r="F92" s="177">
        <v>466676.55</v>
      </c>
      <c r="G92" s="77">
        <v>1247021.23</v>
      </c>
      <c r="H92" s="77">
        <v>1904656.05</v>
      </c>
      <c r="I92" s="77">
        <v>2460053.4</v>
      </c>
      <c r="J92" s="77">
        <v>3042576.21</v>
      </c>
      <c r="K92" s="77">
        <v>3115875.75</v>
      </c>
      <c r="L92" s="77"/>
      <c r="M92" s="77"/>
      <c r="N92" s="77"/>
    </row>
    <row r="93" spans="3:14" ht="12.75"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</row>
    <row r="94" spans="3:14" ht="12.75"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</row>
    <row r="95" spans="1:14" ht="12.75">
      <c r="A95" s="313" t="s">
        <v>129</v>
      </c>
      <c r="B95" s="313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</row>
    <row r="96" spans="1:14" ht="12.75">
      <c r="A96" s="308" t="s">
        <v>123</v>
      </c>
      <c r="B96" s="308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</row>
    <row r="97" spans="1:14" ht="12.75">
      <c r="A97" s="307" t="s">
        <v>132</v>
      </c>
      <c r="B97" s="63" t="s">
        <v>151</v>
      </c>
      <c r="C97" s="77">
        <v>1006066.72</v>
      </c>
      <c r="D97" s="77">
        <v>2365905.4</v>
      </c>
      <c r="E97" s="77">
        <v>2810690</v>
      </c>
      <c r="F97" s="77">
        <v>2810690</v>
      </c>
      <c r="G97" s="77">
        <v>2810690</v>
      </c>
      <c r="H97" s="77">
        <v>2810690</v>
      </c>
      <c r="I97" s="77">
        <v>2810690</v>
      </c>
      <c r="J97" s="77">
        <v>2810690</v>
      </c>
      <c r="K97" s="77">
        <v>2810690</v>
      </c>
      <c r="L97" s="77"/>
      <c r="M97" s="77"/>
      <c r="N97" s="77"/>
    </row>
    <row r="98" spans="1:14" ht="12.75">
      <c r="A98" s="307"/>
      <c r="B98" s="63" t="s">
        <v>154</v>
      </c>
      <c r="C98" s="77">
        <v>221030</v>
      </c>
      <c r="D98" s="77">
        <v>317159.85</v>
      </c>
      <c r="E98" s="77">
        <v>317159.85</v>
      </c>
      <c r="F98" s="77">
        <v>317159.85</v>
      </c>
      <c r="G98" s="77">
        <v>317159.85</v>
      </c>
      <c r="H98" s="77">
        <v>317159.85</v>
      </c>
      <c r="I98" s="77">
        <v>317159.85</v>
      </c>
      <c r="J98" s="77">
        <v>317159.85</v>
      </c>
      <c r="K98" s="77">
        <v>317159.85</v>
      </c>
      <c r="L98" s="77"/>
      <c r="M98" s="77"/>
      <c r="N98" s="77"/>
    </row>
    <row r="99" spans="1:14" ht="12.75">
      <c r="A99" s="91"/>
      <c r="B99" s="66" t="s">
        <v>94</v>
      </c>
      <c r="C99" s="78">
        <f>SUM(C97:C98)</f>
        <v>1227096.72</v>
      </c>
      <c r="D99" s="78">
        <f aca="true" t="shared" si="24" ref="D99:N99">SUM(D97:D98)</f>
        <v>2683065.25</v>
      </c>
      <c r="E99" s="78">
        <f t="shared" si="24"/>
        <v>3127849.85</v>
      </c>
      <c r="F99" s="78">
        <f t="shared" si="24"/>
        <v>3127849.85</v>
      </c>
      <c r="G99" s="78">
        <f t="shared" si="24"/>
        <v>3127849.85</v>
      </c>
      <c r="H99" s="78">
        <f t="shared" si="24"/>
        <v>3127849.85</v>
      </c>
      <c r="I99" s="78">
        <f t="shared" si="24"/>
        <v>3127849.85</v>
      </c>
      <c r="J99" s="78">
        <f t="shared" si="24"/>
        <v>3127849.85</v>
      </c>
      <c r="K99" s="78">
        <f t="shared" si="24"/>
        <v>3127849.85</v>
      </c>
      <c r="L99" s="78">
        <f t="shared" si="24"/>
        <v>0</v>
      </c>
      <c r="M99" s="78">
        <f t="shared" si="24"/>
        <v>0</v>
      </c>
      <c r="N99" s="78">
        <f t="shared" si="24"/>
        <v>0</v>
      </c>
    </row>
    <row r="100" spans="1:14" s="62" customFormat="1" ht="3.75" customHeight="1">
      <c r="A100" s="70"/>
      <c r="B100" s="71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</row>
    <row r="101" spans="1:14" ht="12.75">
      <c r="A101" s="307" t="s">
        <v>132</v>
      </c>
      <c r="B101" s="63" t="s">
        <v>153</v>
      </c>
      <c r="C101" s="77">
        <v>541.12</v>
      </c>
      <c r="D101" s="77">
        <v>50387.99</v>
      </c>
      <c r="E101" s="77">
        <v>153175.99</v>
      </c>
      <c r="F101" s="77">
        <v>153175.99</v>
      </c>
      <c r="G101" s="77">
        <v>153175.99</v>
      </c>
      <c r="H101" s="77">
        <v>153175.99</v>
      </c>
      <c r="I101" s="77">
        <v>153175.99</v>
      </c>
      <c r="J101" s="77">
        <v>153175.99</v>
      </c>
      <c r="K101" s="77">
        <v>153175.99</v>
      </c>
      <c r="L101" s="77"/>
      <c r="M101" s="77"/>
      <c r="N101" s="77"/>
    </row>
    <row r="102" spans="1:14" ht="12.75">
      <c r="A102" s="307"/>
      <c r="B102" s="63" t="s">
        <v>152</v>
      </c>
      <c r="C102" s="77">
        <v>17757.42</v>
      </c>
      <c r="D102" s="77">
        <v>17757.42</v>
      </c>
      <c r="E102" s="77">
        <v>17757.42</v>
      </c>
      <c r="F102" s="77">
        <v>17757.42</v>
      </c>
      <c r="G102" s="77">
        <v>17757.42</v>
      </c>
      <c r="H102" s="77">
        <v>17757.42</v>
      </c>
      <c r="I102" s="77">
        <v>17757.42</v>
      </c>
      <c r="J102" s="77">
        <v>17757.42</v>
      </c>
      <c r="K102" s="77">
        <v>17757.42</v>
      </c>
      <c r="L102" s="77"/>
      <c r="M102" s="77"/>
      <c r="N102" s="77"/>
    </row>
    <row r="103" spans="1:14" ht="12.75">
      <c r="A103" s="91"/>
      <c r="B103" s="66" t="s">
        <v>94</v>
      </c>
      <c r="C103" s="78">
        <f>SUM(C101:C102)</f>
        <v>18298.539999999997</v>
      </c>
      <c r="D103" s="78">
        <f aca="true" t="shared" si="25" ref="D103:N103">SUM(D101:D102)</f>
        <v>68145.41</v>
      </c>
      <c r="E103" s="78">
        <f t="shared" si="25"/>
        <v>170933.40999999997</v>
      </c>
      <c r="F103" s="78">
        <f t="shared" si="25"/>
        <v>170933.40999999997</v>
      </c>
      <c r="G103" s="78">
        <f t="shared" si="25"/>
        <v>170933.40999999997</v>
      </c>
      <c r="H103" s="78">
        <f t="shared" si="25"/>
        <v>170933.40999999997</v>
      </c>
      <c r="I103" s="78">
        <f t="shared" si="25"/>
        <v>170933.40999999997</v>
      </c>
      <c r="J103" s="78">
        <f t="shared" si="25"/>
        <v>170933.40999999997</v>
      </c>
      <c r="K103" s="78">
        <f t="shared" si="25"/>
        <v>170933.40999999997</v>
      </c>
      <c r="L103" s="78">
        <f t="shared" si="25"/>
        <v>0</v>
      </c>
      <c r="M103" s="78">
        <f t="shared" si="25"/>
        <v>0</v>
      </c>
      <c r="N103" s="78">
        <f t="shared" si="25"/>
        <v>0</v>
      </c>
    </row>
    <row r="104" spans="1:14" s="62" customFormat="1" ht="3.75" customHeight="1">
      <c r="A104" s="70"/>
      <c r="B104" s="71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12.75">
      <c r="A105" s="308" t="s">
        <v>133</v>
      </c>
      <c r="B105" s="308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  <row r="106" spans="1:14" ht="12.75">
      <c r="A106" s="307" t="s">
        <v>134</v>
      </c>
      <c r="B106" s="63" t="s">
        <v>130</v>
      </c>
      <c r="C106" s="77">
        <v>11304553.16</v>
      </c>
      <c r="D106" s="77">
        <v>11304553.16</v>
      </c>
      <c r="E106" s="77">
        <v>11304553.16</v>
      </c>
      <c r="F106" s="77">
        <v>11304553.16</v>
      </c>
      <c r="G106" s="77">
        <v>11304553.16</v>
      </c>
      <c r="H106" s="77">
        <v>11304553.16</v>
      </c>
      <c r="I106" s="77">
        <v>11304553.16</v>
      </c>
      <c r="J106" s="77">
        <v>11304553.16</v>
      </c>
      <c r="K106" s="77">
        <v>11304553.16</v>
      </c>
      <c r="L106" s="77"/>
      <c r="M106" s="77"/>
      <c r="N106" s="77"/>
    </row>
    <row r="107" spans="1:14" ht="12.75">
      <c r="A107" s="307"/>
      <c r="B107" s="63" t="s">
        <v>131</v>
      </c>
      <c r="C107" s="77">
        <v>366795.42</v>
      </c>
      <c r="D107" s="77">
        <v>366795.42</v>
      </c>
      <c r="E107" s="77">
        <v>366795.42</v>
      </c>
      <c r="F107" s="77">
        <v>366795.42</v>
      </c>
      <c r="G107" s="77">
        <v>366795.42</v>
      </c>
      <c r="H107" s="77">
        <v>366795.42</v>
      </c>
      <c r="I107" s="77">
        <v>366795.42</v>
      </c>
      <c r="J107" s="77">
        <v>366795.42</v>
      </c>
      <c r="K107" s="77">
        <v>366795.42</v>
      </c>
      <c r="L107" s="77"/>
      <c r="M107" s="77"/>
      <c r="N107" s="77"/>
    </row>
    <row r="108" spans="1:14" ht="12.75">
      <c r="A108" s="307" t="s">
        <v>132</v>
      </c>
      <c r="B108" s="63" t="s">
        <v>130</v>
      </c>
      <c r="C108" s="77">
        <v>991954.87</v>
      </c>
      <c r="D108" s="77">
        <v>2396640.42</v>
      </c>
      <c r="E108" s="77">
        <v>2944213.02</v>
      </c>
      <c r="F108" s="77">
        <v>2944213.02</v>
      </c>
      <c r="G108" s="77">
        <v>2944213.02</v>
      </c>
      <c r="H108" s="77">
        <v>2944213.02</v>
      </c>
      <c r="I108" s="77">
        <v>2944213.02</v>
      </c>
      <c r="J108" s="77">
        <v>2944213.02</v>
      </c>
      <c r="K108" s="77">
        <v>2944213.02</v>
      </c>
      <c r="L108" s="77"/>
      <c r="M108" s="77"/>
      <c r="N108" s="77"/>
    </row>
    <row r="109" spans="1:14" ht="12.75">
      <c r="A109" s="307"/>
      <c r="B109" s="63" t="s">
        <v>131</v>
      </c>
      <c r="C109" s="77">
        <v>238787.42</v>
      </c>
      <c r="D109" s="77">
        <v>334917.27</v>
      </c>
      <c r="E109" s="77">
        <v>334917.27</v>
      </c>
      <c r="F109" s="77">
        <v>334917.27</v>
      </c>
      <c r="G109" s="77">
        <v>334917.27</v>
      </c>
      <c r="H109" s="77">
        <v>334917.27</v>
      </c>
      <c r="I109" s="77">
        <v>334917.27</v>
      </c>
      <c r="J109" s="77">
        <v>334917.27</v>
      </c>
      <c r="K109" s="77">
        <v>334917.27</v>
      </c>
      <c r="L109" s="77"/>
      <c r="M109" s="77"/>
      <c r="N109" s="77"/>
    </row>
    <row r="110" spans="1:14" ht="12.75">
      <c r="A110" s="307" t="s">
        <v>135</v>
      </c>
      <c r="B110" s="63" t="s">
        <v>130</v>
      </c>
      <c r="C110" s="77">
        <v>16650.7</v>
      </c>
      <c r="D110" s="77">
        <v>2896371.47</v>
      </c>
      <c r="E110" s="77">
        <v>8293178.14</v>
      </c>
      <c r="F110" s="77">
        <v>8293178.14</v>
      </c>
      <c r="G110" s="77">
        <v>8293178.14</v>
      </c>
      <c r="H110" s="77">
        <v>8293178.14</v>
      </c>
      <c r="I110" s="77">
        <v>8293178.14</v>
      </c>
      <c r="J110" s="77">
        <v>8293178.14</v>
      </c>
      <c r="K110" s="77">
        <v>8293178.14</v>
      </c>
      <c r="L110" s="77"/>
      <c r="M110" s="77"/>
      <c r="N110" s="77"/>
    </row>
    <row r="111" spans="1:14" ht="12.75">
      <c r="A111" s="307"/>
      <c r="B111" s="63" t="s">
        <v>131</v>
      </c>
      <c r="C111" s="77">
        <v>0</v>
      </c>
      <c r="D111" s="77">
        <v>0</v>
      </c>
      <c r="E111" s="77">
        <v>0</v>
      </c>
      <c r="F111" s="77">
        <v>0</v>
      </c>
      <c r="G111" s="77">
        <v>0</v>
      </c>
      <c r="H111" s="77">
        <v>0</v>
      </c>
      <c r="I111" s="77"/>
      <c r="J111" s="77"/>
      <c r="K111" s="77"/>
      <c r="L111" s="77"/>
      <c r="M111" s="77"/>
      <c r="N111" s="77"/>
    </row>
    <row r="112" spans="1:14" ht="12.75">
      <c r="A112" s="308" t="s">
        <v>136</v>
      </c>
      <c r="B112" s="308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</row>
    <row r="113" spans="1:14" ht="12.75">
      <c r="A113" s="307" t="s">
        <v>134</v>
      </c>
      <c r="B113" s="63" t="s">
        <v>130</v>
      </c>
      <c r="C113" s="77">
        <v>140878.38</v>
      </c>
      <c r="D113" s="77">
        <v>140878.38</v>
      </c>
      <c r="E113" s="77">
        <v>140878.38</v>
      </c>
      <c r="F113" s="77">
        <v>140878.38</v>
      </c>
      <c r="G113" s="77">
        <v>140878.38</v>
      </c>
      <c r="H113" s="77">
        <v>140878.38</v>
      </c>
      <c r="I113" s="77">
        <v>140878.38</v>
      </c>
      <c r="J113" s="77">
        <v>140878.38</v>
      </c>
      <c r="K113" s="77">
        <v>140878.38</v>
      </c>
      <c r="L113" s="77"/>
      <c r="M113" s="77"/>
      <c r="N113" s="77"/>
    </row>
    <row r="114" spans="1:14" ht="12.75">
      <c r="A114" s="307"/>
      <c r="B114" s="63" t="s">
        <v>131</v>
      </c>
      <c r="C114" s="77">
        <v>0</v>
      </c>
      <c r="D114" s="77">
        <v>0</v>
      </c>
      <c r="E114" s="77">
        <v>0</v>
      </c>
      <c r="F114" s="77">
        <v>0</v>
      </c>
      <c r="G114" s="77">
        <v>0</v>
      </c>
      <c r="H114" s="77">
        <v>0</v>
      </c>
      <c r="I114" s="77">
        <v>0</v>
      </c>
      <c r="J114" s="77">
        <v>0</v>
      </c>
      <c r="K114" s="77">
        <v>0</v>
      </c>
      <c r="L114" s="77"/>
      <c r="M114" s="77"/>
      <c r="N114" s="77"/>
    </row>
    <row r="115" spans="1:14" ht="12.75">
      <c r="A115" s="307" t="s">
        <v>132</v>
      </c>
      <c r="B115" s="63" t="s">
        <v>130</v>
      </c>
      <c r="C115" s="77">
        <v>14652.97</v>
      </c>
      <c r="D115" s="77">
        <v>19652.97</v>
      </c>
      <c r="E115" s="77">
        <v>19652.97</v>
      </c>
      <c r="F115" s="77">
        <v>19652.97</v>
      </c>
      <c r="G115" s="77">
        <v>19652.97</v>
      </c>
      <c r="H115" s="77">
        <v>19652.97</v>
      </c>
      <c r="I115" s="77">
        <v>19652.97</v>
      </c>
      <c r="J115" s="77">
        <v>19652.97</v>
      </c>
      <c r="K115" s="77">
        <v>19652.97</v>
      </c>
      <c r="L115" s="77"/>
      <c r="M115" s="77"/>
      <c r="N115" s="77"/>
    </row>
    <row r="116" spans="1:14" ht="12.75">
      <c r="A116" s="307"/>
      <c r="B116" s="63" t="s">
        <v>131</v>
      </c>
      <c r="C116" s="77">
        <v>0</v>
      </c>
      <c r="D116" s="77">
        <v>0</v>
      </c>
      <c r="E116" s="77">
        <v>0</v>
      </c>
      <c r="F116" s="77">
        <v>0</v>
      </c>
      <c r="G116" s="77">
        <v>0</v>
      </c>
      <c r="H116" s="77">
        <v>0</v>
      </c>
      <c r="I116" s="77">
        <v>0</v>
      </c>
      <c r="J116" s="77">
        <v>0</v>
      </c>
      <c r="K116" s="77">
        <v>0</v>
      </c>
      <c r="L116" s="77"/>
      <c r="M116" s="77"/>
      <c r="N116" s="77"/>
    </row>
    <row r="117" spans="1:14" ht="12.75">
      <c r="A117" s="307" t="s">
        <v>135</v>
      </c>
      <c r="B117" s="63" t="s">
        <v>130</v>
      </c>
      <c r="C117" s="77">
        <v>0</v>
      </c>
      <c r="D117" s="77">
        <v>14202.34</v>
      </c>
      <c r="E117" s="77">
        <v>121225.41</v>
      </c>
      <c r="F117" s="77">
        <v>121225.41</v>
      </c>
      <c r="G117" s="77">
        <v>121225.41</v>
      </c>
      <c r="H117" s="77">
        <v>121225.41</v>
      </c>
      <c r="I117" s="77">
        <v>121225.41</v>
      </c>
      <c r="J117" s="77">
        <v>121225.41</v>
      </c>
      <c r="K117" s="77">
        <v>121225.41</v>
      </c>
      <c r="L117" s="77"/>
      <c r="M117" s="77"/>
      <c r="N117" s="77"/>
    </row>
    <row r="118" spans="1:14" ht="12.75">
      <c r="A118" s="307"/>
      <c r="B118" s="63" t="s">
        <v>131</v>
      </c>
      <c r="C118" s="77">
        <v>0</v>
      </c>
      <c r="D118" s="77">
        <v>0</v>
      </c>
      <c r="E118" s="77">
        <v>0</v>
      </c>
      <c r="F118" s="77">
        <v>0</v>
      </c>
      <c r="G118" s="77">
        <v>0</v>
      </c>
      <c r="H118" s="77">
        <v>0</v>
      </c>
      <c r="I118" s="77">
        <v>0</v>
      </c>
      <c r="J118" s="77">
        <v>0</v>
      </c>
      <c r="K118" s="77">
        <v>0</v>
      </c>
      <c r="L118" s="77"/>
      <c r="M118" s="77"/>
      <c r="N118" s="77"/>
    </row>
    <row r="120" spans="1:2" ht="12.75">
      <c r="A120" s="313" t="s">
        <v>148</v>
      </c>
      <c r="B120" s="313"/>
    </row>
    <row r="121" spans="1:14" ht="12.75">
      <c r="A121" s="308" t="s">
        <v>133</v>
      </c>
      <c r="B121" s="308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</row>
    <row r="122" spans="1:14" ht="12.75">
      <c r="A122" s="307" t="s">
        <v>134</v>
      </c>
      <c r="B122" s="63" t="s">
        <v>130</v>
      </c>
      <c r="C122" s="77">
        <v>1990.57</v>
      </c>
      <c r="D122" s="77">
        <v>1990.57</v>
      </c>
      <c r="E122" s="77">
        <v>1990.57</v>
      </c>
      <c r="F122" s="77">
        <v>1990.57</v>
      </c>
      <c r="G122" s="77">
        <v>1990.57</v>
      </c>
      <c r="H122" s="77">
        <v>1990.57</v>
      </c>
      <c r="I122" s="77">
        <v>1990.57</v>
      </c>
      <c r="J122" s="77">
        <v>1990.57</v>
      </c>
      <c r="K122" s="77">
        <v>1990.57</v>
      </c>
      <c r="L122" s="77"/>
      <c r="M122" s="77"/>
      <c r="N122" s="77"/>
    </row>
    <row r="123" spans="1:14" ht="12.75">
      <c r="A123" s="307"/>
      <c r="B123" s="63" t="s">
        <v>131</v>
      </c>
      <c r="C123" s="77">
        <v>1786.76</v>
      </c>
      <c r="D123" s="77">
        <v>1786.76</v>
      </c>
      <c r="E123" s="77">
        <v>1786.76</v>
      </c>
      <c r="F123" s="77">
        <v>1786.76</v>
      </c>
      <c r="G123" s="77">
        <v>1786.76</v>
      </c>
      <c r="H123" s="77">
        <v>1786.76</v>
      </c>
      <c r="I123" s="77">
        <v>1786.76</v>
      </c>
      <c r="J123" s="77">
        <v>1786.76</v>
      </c>
      <c r="K123" s="77">
        <v>1786.76</v>
      </c>
      <c r="L123" s="77"/>
      <c r="M123" s="77"/>
      <c r="N123" s="77"/>
    </row>
    <row r="124" spans="1:14" ht="12.75">
      <c r="A124" s="307" t="s">
        <v>132</v>
      </c>
      <c r="B124" s="63" t="s">
        <v>130</v>
      </c>
      <c r="C124" s="77">
        <v>0</v>
      </c>
      <c r="D124" s="77">
        <v>0</v>
      </c>
      <c r="E124" s="77">
        <v>0</v>
      </c>
      <c r="F124" s="77"/>
      <c r="G124" s="77"/>
      <c r="H124" s="77"/>
      <c r="I124" s="77"/>
      <c r="J124" s="77"/>
      <c r="K124" s="77"/>
      <c r="L124" s="77"/>
      <c r="M124" s="77"/>
      <c r="N124" s="77"/>
    </row>
    <row r="125" spans="1:14" ht="12.75">
      <c r="A125" s="307"/>
      <c r="B125" s="63" t="s">
        <v>131</v>
      </c>
      <c r="C125" s="77">
        <v>0</v>
      </c>
      <c r="D125" s="77">
        <v>0</v>
      </c>
      <c r="E125" s="77">
        <v>0</v>
      </c>
      <c r="F125" s="77"/>
      <c r="G125" s="77"/>
      <c r="H125" s="77"/>
      <c r="I125" s="77"/>
      <c r="J125" s="77"/>
      <c r="K125" s="77"/>
      <c r="L125" s="77"/>
      <c r="M125" s="77"/>
      <c r="N125" s="77"/>
    </row>
    <row r="126" spans="1:14" ht="12.75">
      <c r="A126" s="307" t="s">
        <v>135</v>
      </c>
      <c r="B126" s="63" t="s">
        <v>130</v>
      </c>
      <c r="C126" s="77">
        <v>0</v>
      </c>
      <c r="D126" s="77">
        <v>0</v>
      </c>
      <c r="E126" s="77">
        <v>0</v>
      </c>
      <c r="F126" s="77"/>
      <c r="G126" s="77"/>
      <c r="H126" s="77"/>
      <c r="I126" s="77"/>
      <c r="J126" s="77"/>
      <c r="K126" s="77"/>
      <c r="L126" s="77"/>
      <c r="M126" s="77"/>
      <c r="N126" s="77"/>
    </row>
    <row r="127" spans="1:14" ht="12.75">
      <c r="A127" s="307"/>
      <c r="B127" s="63" t="s">
        <v>131</v>
      </c>
      <c r="C127" s="77">
        <v>0</v>
      </c>
      <c r="D127" s="77">
        <v>0</v>
      </c>
      <c r="E127" s="77">
        <v>0</v>
      </c>
      <c r="F127" s="77"/>
      <c r="G127" s="77"/>
      <c r="H127" s="77"/>
      <c r="I127" s="77"/>
      <c r="J127" s="77"/>
      <c r="K127" s="77"/>
      <c r="L127" s="77"/>
      <c r="M127" s="77"/>
      <c r="N127" s="77"/>
    </row>
    <row r="128" spans="1:14" ht="12.75">
      <c r="A128" s="308" t="s">
        <v>136</v>
      </c>
      <c r="B128" s="308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</row>
    <row r="129" spans="1:14" ht="12.75">
      <c r="A129" s="307" t="s">
        <v>134</v>
      </c>
      <c r="B129" s="63" t="s">
        <v>130</v>
      </c>
      <c r="C129" s="77">
        <v>0</v>
      </c>
      <c r="D129" s="77">
        <v>0</v>
      </c>
      <c r="E129" s="77">
        <v>0</v>
      </c>
      <c r="F129" s="77"/>
      <c r="G129" s="77"/>
      <c r="H129" s="77"/>
      <c r="I129" s="77"/>
      <c r="J129" s="77"/>
      <c r="K129" s="77"/>
      <c r="L129" s="77"/>
      <c r="M129" s="77"/>
      <c r="N129" s="77"/>
    </row>
    <row r="130" spans="1:14" ht="12.75">
      <c r="A130" s="307"/>
      <c r="B130" s="63" t="s">
        <v>131</v>
      </c>
      <c r="C130" s="77">
        <v>0</v>
      </c>
      <c r="D130" s="77">
        <v>0</v>
      </c>
      <c r="E130" s="77">
        <v>0</v>
      </c>
      <c r="F130" s="77"/>
      <c r="G130" s="77"/>
      <c r="H130" s="77"/>
      <c r="I130" s="77"/>
      <c r="J130" s="77"/>
      <c r="K130" s="77"/>
      <c r="L130" s="77"/>
      <c r="M130" s="77"/>
      <c r="N130" s="77"/>
    </row>
    <row r="131" spans="1:14" ht="12.75">
      <c r="A131" s="307" t="s">
        <v>132</v>
      </c>
      <c r="B131" s="63" t="s">
        <v>130</v>
      </c>
      <c r="C131" s="77">
        <v>0</v>
      </c>
      <c r="D131" s="77">
        <v>0</v>
      </c>
      <c r="E131" s="77">
        <v>0</v>
      </c>
      <c r="F131" s="77"/>
      <c r="G131" s="77"/>
      <c r="H131" s="77"/>
      <c r="I131" s="77"/>
      <c r="J131" s="77"/>
      <c r="K131" s="77"/>
      <c r="L131" s="77"/>
      <c r="M131" s="77"/>
      <c r="N131" s="77"/>
    </row>
    <row r="132" spans="1:14" ht="12.75">
      <c r="A132" s="307"/>
      <c r="B132" s="63" t="s">
        <v>131</v>
      </c>
      <c r="C132" s="77">
        <v>0</v>
      </c>
      <c r="D132" s="77">
        <v>0</v>
      </c>
      <c r="E132" s="77">
        <v>0</v>
      </c>
      <c r="F132" s="77"/>
      <c r="G132" s="77"/>
      <c r="H132" s="77"/>
      <c r="I132" s="77"/>
      <c r="J132" s="77"/>
      <c r="K132" s="77"/>
      <c r="L132" s="77"/>
      <c r="M132" s="77"/>
      <c r="N132" s="77"/>
    </row>
    <row r="133" spans="1:14" ht="12.75">
      <c r="A133" s="307" t="s">
        <v>135</v>
      </c>
      <c r="B133" s="63" t="s">
        <v>130</v>
      </c>
      <c r="C133" s="77">
        <v>0</v>
      </c>
      <c r="D133" s="77">
        <v>0</v>
      </c>
      <c r="E133" s="77">
        <v>0</v>
      </c>
      <c r="F133" s="77"/>
      <c r="G133" s="77"/>
      <c r="H133" s="77"/>
      <c r="I133" s="77"/>
      <c r="J133" s="77"/>
      <c r="K133" s="77"/>
      <c r="L133" s="77"/>
      <c r="M133" s="77"/>
      <c r="N133" s="77"/>
    </row>
    <row r="134" spans="1:14" ht="12.75">
      <c r="A134" s="307"/>
      <c r="B134" s="63" t="s">
        <v>131</v>
      </c>
      <c r="C134" s="77">
        <v>0</v>
      </c>
      <c r="D134" s="77">
        <v>0</v>
      </c>
      <c r="E134" s="77">
        <v>0</v>
      </c>
      <c r="F134" s="77"/>
      <c r="G134" s="77"/>
      <c r="H134" s="77"/>
      <c r="I134" s="77"/>
      <c r="J134" s="77"/>
      <c r="K134" s="77"/>
      <c r="L134" s="77"/>
      <c r="M134" s="77"/>
      <c r="N134" s="77"/>
    </row>
    <row r="137" spans="1:2" ht="12.75">
      <c r="A137" s="306" t="s">
        <v>149</v>
      </c>
      <c r="B137" s="306"/>
    </row>
    <row r="138" spans="1:2" ht="12.75">
      <c r="A138" s="308" t="s">
        <v>23</v>
      </c>
      <c r="B138" s="308"/>
    </row>
    <row r="139" spans="1:14" ht="12.75">
      <c r="A139" s="302"/>
      <c r="B139" s="303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</row>
    <row r="140" spans="1:14" ht="12.75">
      <c r="A140" s="302"/>
      <c r="B140" s="303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</row>
    <row r="141" spans="1:14" ht="12.75">
      <c r="A141" s="302"/>
      <c r="B141" s="303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</row>
    <row r="142" spans="1:14" ht="12.75">
      <c r="A142" s="302"/>
      <c r="B142" s="303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</row>
    <row r="143" spans="1:14" ht="12.75">
      <c r="A143" s="302"/>
      <c r="B143" s="303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</row>
    <row r="144" spans="1:14" ht="12.75">
      <c r="A144" s="302"/>
      <c r="B144" s="303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</row>
    <row r="145" spans="2:14" ht="12.75">
      <c r="B145" s="66" t="s">
        <v>94</v>
      </c>
      <c r="C145" s="78">
        <f aca="true" t="shared" si="26" ref="C145:N145">SUM(C139:C144)</f>
        <v>0</v>
      </c>
      <c r="D145" s="78">
        <f t="shared" si="26"/>
        <v>0</v>
      </c>
      <c r="E145" s="78">
        <f t="shared" si="26"/>
        <v>0</v>
      </c>
      <c r="F145" s="78">
        <f t="shared" si="26"/>
        <v>0</v>
      </c>
      <c r="G145" s="78">
        <f t="shared" si="26"/>
        <v>0</v>
      </c>
      <c r="H145" s="78">
        <f t="shared" si="26"/>
        <v>0</v>
      </c>
      <c r="I145" s="78">
        <f t="shared" si="26"/>
        <v>0</v>
      </c>
      <c r="J145" s="78">
        <f t="shared" si="26"/>
        <v>0</v>
      </c>
      <c r="K145" s="78">
        <f t="shared" si="26"/>
        <v>0</v>
      </c>
      <c r="L145" s="78">
        <f t="shared" si="26"/>
        <v>0</v>
      </c>
      <c r="M145" s="78">
        <f t="shared" si="26"/>
        <v>0</v>
      </c>
      <c r="N145" s="78">
        <f t="shared" si="26"/>
        <v>0</v>
      </c>
    </row>
    <row r="148" spans="1:2" ht="12.75">
      <c r="A148" s="306" t="s">
        <v>150</v>
      </c>
      <c r="B148" s="306"/>
    </row>
    <row r="149" spans="1:2" ht="12.75">
      <c r="A149" s="308" t="s">
        <v>23</v>
      </c>
      <c r="B149" s="308"/>
    </row>
    <row r="150" spans="1:15" ht="12.75">
      <c r="A150" s="300" t="s">
        <v>193</v>
      </c>
      <c r="B150" s="301"/>
      <c r="C150" s="176">
        <f>C48</f>
        <v>87423.17</v>
      </c>
      <c r="D150" s="176">
        <f aca="true" t="shared" si="27" ref="D150:N150">D48</f>
        <v>61559.73</v>
      </c>
      <c r="E150" s="176">
        <f t="shared" si="27"/>
        <v>44667.89</v>
      </c>
      <c r="F150" s="176">
        <f t="shared" si="27"/>
        <v>113634.37</v>
      </c>
      <c r="G150" s="176">
        <f t="shared" si="27"/>
        <v>120268.9</v>
      </c>
      <c r="H150" s="176">
        <f t="shared" si="27"/>
        <v>108212.1</v>
      </c>
      <c r="I150" s="176">
        <f t="shared" si="27"/>
        <v>117611.52</v>
      </c>
      <c r="J150" s="176">
        <f t="shared" si="27"/>
        <v>124447.57</v>
      </c>
      <c r="K150" s="176">
        <f t="shared" si="27"/>
        <v>96182.07</v>
      </c>
      <c r="L150" s="176">
        <f t="shared" si="27"/>
        <v>0</v>
      </c>
      <c r="M150" s="176">
        <f t="shared" si="27"/>
        <v>0</v>
      </c>
      <c r="N150" s="176">
        <f t="shared" si="27"/>
        <v>0</v>
      </c>
      <c r="O150" s="80">
        <f>SUM(C150:N150)</f>
        <v>874007.3200000001</v>
      </c>
    </row>
    <row r="151" spans="1:14" ht="12.75">
      <c r="A151" s="302" t="s">
        <v>209</v>
      </c>
      <c r="B151" s="303"/>
      <c r="C151" s="77"/>
      <c r="D151" s="77"/>
      <c r="E151" s="77"/>
      <c r="F151" s="77"/>
      <c r="G151" s="77"/>
      <c r="H151" s="77"/>
      <c r="I151" s="186">
        <v>2951853.74</v>
      </c>
      <c r="J151" s="77"/>
      <c r="K151" s="77"/>
      <c r="L151" s="77"/>
      <c r="M151" s="77"/>
      <c r="N151" s="77"/>
    </row>
    <row r="152" spans="1:14" ht="12.75">
      <c r="A152" s="302" t="s">
        <v>213</v>
      </c>
      <c r="B152" s="303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</row>
    <row r="153" spans="1:14" ht="12.75">
      <c r="A153" s="302" t="s">
        <v>216</v>
      </c>
      <c r="B153" s="303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</row>
    <row r="154" spans="1:14" ht="12.75">
      <c r="A154" s="304" t="s">
        <v>249</v>
      </c>
      <c r="B154" s="305"/>
      <c r="C154" s="77"/>
      <c r="D154" s="77"/>
      <c r="E154" s="77"/>
      <c r="F154" s="186">
        <v>17358620.41</v>
      </c>
      <c r="G154" s="77"/>
      <c r="H154" s="77"/>
      <c r="I154" s="205"/>
      <c r="J154" s="77"/>
      <c r="K154" s="77"/>
      <c r="L154" s="77"/>
      <c r="M154" s="77"/>
      <c r="N154" s="77"/>
    </row>
    <row r="155" spans="1:14" ht="12.75">
      <c r="A155" s="302"/>
      <c r="B155" s="303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</row>
    <row r="156" spans="2:14" ht="12.75">
      <c r="B156" s="66" t="s">
        <v>94</v>
      </c>
      <c r="C156" s="78">
        <f>SUM(C150:C155)</f>
        <v>87423.17</v>
      </c>
      <c r="D156" s="78">
        <f>SUM(D150:D155)+C156</f>
        <v>148982.9</v>
      </c>
      <c r="E156" s="78">
        <f aca="true" t="shared" si="28" ref="E156:N156">SUM(E150:E155)+D156</f>
        <v>193650.78999999998</v>
      </c>
      <c r="F156" s="78">
        <f t="shared" si="28"/>
        <v>17665905.57</v>
      </c>
      <c r="G156" s="78">
        <f t="shared" si="28"/>
        <v>17786174.47</v>
      </c>
      <c r="H156" s="78">
        <f t="shared" si="28"/>
        <v>17894386.57</v>
      </c>
      <c r="I156" s="78">
        <f t="shared" si="28"/>
        <v>20963851.830000002</v>
      </c>
      <c r="J156" s="78">
        <f t="shared" si="28"/>
        <v>21088299.400000002</v>
      </c>
      <c r="K156" s="78">
        <f t="shared" si="28"/>
        <v>21184481.470000003</v>
      </c>
      <c r="L156" s="78">
        <f t="shared" si="28"/>
        <v>21184481.470000003</v>
      </c>
      <c r="M156" s="78">
        <f t="shared" si="28"/>
        <v>21184481.470000003</v>
      </c>
      <c r="N156" s="78">
        <f t="shared" si="28"/>
        <v>21184481.470000003</v>
      </c>
    </row>
    <row r="158" spans="1:2" ht="12.75">
      <c r="A158" s="306" t="s">
        <v>155</v>
      </c>
      <c r="B158" s="306"/>
    </row>
    <row r="159" spans="1:2" ht="12.75">
      <c r="A159" s="308" t="s">
        <v>38</v>
      </c>
      <c r="B159" s="308"/>
    </row>
    <row r="160" spans="1:14" ht="12.75">
      <c r="A160" s="300" t="s">
        <v>157</v>
      </c>
      <c r="B160" s="301"/>
      <c r="C160" s="77"/>
      <c r="D160" s="172">
        <f aca="true" t="shared" si="29" ref="D160:N160">C178</f>
        <v>0</v>
      </c>
      <c r="E160" s="172">
        <f>D178-1370</f>
        <v>728560.76</v>
      </c>
      <c r="F160" s="172">
        <f>E178-273175</f>
        <v>0</v>
      </c>
      <c r="G160" s="172">
        <f>F178</f>
        <v>0</v>
      </c>
      <c r="H160" s="172">
        <f>G178</f>
        <v>502115.5</v>
      </c>
      <c r="I160" s="206">
        <f>H178-684358.81</f>
        <v>0</v>
      </c>
      <c r="J160" s="172">
        <f t="shared" si="29"/>
        <v>442424.6</v>
      </c>
      <c r="K160" s="172">
        <f t="shared" si="29"/>
        <v>0</v>
      </c>
      <c r="L160" s="172">
        <f t="shared" si="29"/>
        <v>276515.27</v>
      </c>
      <c r="M160" s="172">
        <f t="shared" si="29"/>
        <v>0</v>
      </c>
      <c r="N160" s="172">
        <f t="shared" si="29"/>
        <v>0</v>
      </c>
    </row>
    <row r="161" spans="1:14" ht="12.75">
      <c r="A161" s="302" t="s">
        <v>199</v>
      </c>
      <c r="B161" s="303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</row>
    <row r="162" spans="1:14" ht="12.75">
      <c r="A162" s="302" t="s">
        <v>200</v>
      </c>
      <c r="B162" s="303"/>
      <c r="C162" s="77"/>
      <c r="D162" s="77"/>
      <c r="F162" s="77"/>
      <c r="G162" s="77"/>
      <c r="H162" s="77"/>
      <c r="I162" s="77"/>
      <c r="J162" s="77"/>
      <c r="K162" s="77"/>
      <c r="L162" s="77"/>
      <c r="M162" s="77"/>
      <c r="N162" s="77"/>
    </row>
    <row r="163" spans="1:14" ht="12.75">
      <c r="A163" s="302" t="s">
        <v>232</v>
      </c>
      <c r="B163" s="303"/>
      <c r="C163" s="181">
        <f>4447597.4+5000</f>
        <v>4452597.4</v>
      </c>
      <c r="D163" s="77"/>
      <c r="E163" s="77"/>
      <c r="F163" s="181">
        <v>263684.99</v>
      </c>
      <c r="G163" s="77">
        <v>10910.01</v>
      </c>
      <c r="H163" s="77"/>
      <c r="I163" s="186">
        <v>673958.81</v>
      </c>
      <c r="J163" s="186">
        <v>1020</v>
      </c>
      <c r="K163" s="77">
        <v>0</v>
      </c>
      <c r="L163" s="77"/>
      <c r="M163" s="77"/>
      <c r="N163" s="77"/>
    </row>
    <row r="164" spans="1:14" ht="12.75">
      <c r="A164" s="302" t="s">
        <v>233</v>
      </c>
      <c r="B164" s="303"/>
      <c r="C164" s="77">
        <v>250</v>
      </c>
      <c r="D164" s="77"/>
      <c r="E164" s="77"/>
      <c r="F164" s="77"/>
      <c r="H164" s="77"/>
      <c r="I164" s="77">
        <v>0</v>
      </c>
      <c r="J164" s="186">
        <v>620</v>
      </c>
      <c r="K164" s="186">
        <v>0</v>
      </c>
      <c r="L164" s="77"/>
      <c r="M164" s="77"/>
      <c r="N164" s="77"/>
    </row>
    <row r="165" spans="1:14" ht="12.75">
      <c r="A165" s="302" t="s">
        <v>210</v>
      </c>
      <c r="B165" s="303"/>
      <c r="C165" s="77"/>
      <c r="D165" s="77"/>
      <c r="E165" s="77"/>
      <c r="F165" s="77"/>
      <c r="G165" s="186">
        <v>4389.91</v>
      </c>
      <c r="H165" s="77"/>
      <c r="I165" s="77"/>
      <c r="J165" s="77"/>
      <c r="K165" s="77"/>
      <c r="L165" s="77"/>
      <c r="M165" s="77"/>
      <c r="N165" s="77"/>
    </row>
    <row r="166" spans="1:14" ht="12.75">
      <c r="A166" s="302"/>
      <c r="B166" s="303"/>
      <c r="C166" s="77"/>
      <c r="D166" s="77"/>
      <c r="E166" s="77"/>
      <c r="F166" s="186">
        <v>200</v>
      </c>
      <c r="G166" s="77"/>
      <c r="H166" s="202">
        <v>957</v>
      </c>
      <c r="I166" s="186">
        <v>-957</v>
      </c>
      <c r="J166" s="77"/>
      <c r="K166" s="77"/>
      <c r="L166" s="77"/>
      <c r="M166" s="77"/>
      <c r="N166" s="77"/>
    </row>
    <row r="167" spans="2:14" ht="12.75">
      <c r="B167" s="66" t="s">
        <v>94</v>
      </c>
      <c r="C167" s="78">
        <f>SUM(C161:C166)</f>
        <v>4452847.4</v>
      </c>
      <c r="D167" s="78">
        <f>SUM(D160:D166)</f>
        <v>0</v>
      </c>
      <c r="E167" s="78">
        <f aca="true" t="shared" si="30" ref="E167:N167">SUM(E160:E166)</f>
        <v>728560.76</v>
      </c>
      <c r="F167" s="78">
        <f t="shared" si="30"/>
        <v>263884.99</v>
      </c>
      <c r="G167" s="78">
        <f t="shared" si="30"/>
        <v>15299.92</v>
      </c>
      <c r="H167" s="78">
        <f t="shared" si="30"/>
        <v>503072.5</v>
      </c>
      <c r="I167" s="78">
        <f t="shared" si="30"/>
        <v>673001.81</v>
      </c>
      <c r="J167" s="78">
        <f t="shared" si="30"/>
        <v>444064.6</v>
      </c>
      <c r="K167" s="78">
        <f t="shared" si="30"/>
        <v>0</v>
      </c>
      <c r="L167" s="78">
        <f t="shared" si="30"/>
        <v>276515.27</v>
      </c>
      <c r="M167" s="78">
        <f t="shared" si="30"/>
        <v>0</v>
      </c>
      <c r="N167" s="78">
        <f t="shared" si="30"/>
        <v>0</v>
      </c>
    </row>
    <row r="168" spans="2:14" s="110" customFormat="1" ht="25.5">
      <c r="B168" s="111" t="s">
        <v>158</v>
      </c>
      <c r="C168" s="112">
        <f>C167</f>
        <v>4452847.4</v>
      </c>
      <c r="D168" s="112">
        <f aca="true" t="shared" si="31" ref="D168:I168">+C168+D167</f>
        <v>4452847.4</v>
      </c>
      <c r="E168" s="112">
        <f t="shared" si="31"/>
        <v>5181408.16</v>
      </c>
      <c r="F168" s="112">
        <f t="shared" si="31"/>
        <v>5445293.15</v>
      </c>
      <c r="G168" s="112">
        <f t="shared" si="31"/>
        <v>5460593.07</v>
      </c>
      <c r="H168" s="112">
        <f t="shared" si="31"/>
        <v>5963665.57</v>
      </c>
      <c r="I168" s="112">
        <f t="shared" si="31"/>
        <v>6636667.380000001</v>
      </c>
      <c r="J168" s="112">
        <f>+I168+J167</f>
        <v>7080731.98</v>
      </c>
      <c r="K168" s="112">
        <f>+J168+K167</f>
        <v>7080731.98</v>
      </c>
      <c r="L168" s="112">
        <f>+K168+L167</f>
        <v>7357247.25</v>
      </c>
      <c r="M168" s="112">
        <f>+L168+M167</f>
        <v>7357247.25</v>
      </c>
      <c r="N168" s="112">
        <f>+M168+N167</f>
        <v>7357247.25</v>
      </c>
    </row>
    <row r="170" spans="1:2" ht="12.75">
      <c r="A170" s="306" t="s">
        <v>156</v>
      </c>
      <c r="B170" s="306"/>
    </row>
    <row r="171" spans="1:14" ht="12.75">
      <c r="A171" s="308" t="s">
        <v>39</v>
      </c>
      <c r="B171" s="308"/>
      <c r="N171" s="131"/>
    </row>
    <row r="172" spans="1:14" ht="12.75">
      <c r="A172" s="302" t="s">
        <v>198</v>
      </c>
      <c r="B172" s="303"/>
      <c r="C172" s="146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</row>
    <row r="173" spans="1:14" ht="12.75">
      <c r="A173" s="302" t="s">
        <v>237</v>
      </c>
      <c r="B173" s="303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</row>
    <row r="174" spans="1:14" s="173" customFormat="1" ht="12.75">
      <c r="A174" s="325" t="s">
        <v>197</v>
      </c>
      <c r="B174" s="326"/>
      <c r="C174" s="171"/>
      <c r="D174" s="175">
        <f>661398.76+67162</f>
        <v>728560.76</v>
      </c>
      <c r="E174" s="171"/>
      <c r="F174" s="146"/>
      <c r="G174" s="186">
        <v>502115.5</v>
      </c>
      <c r="H174" s="171"/>
      <c r="I174" s="175">
        <v>442424.6</v>
      </c>
      <c r="J174" s="205"/>
      <c r="K174" s="175">
        <v>200423.3</v>
      </c>
      <c r="L174" s="146"/>
      <c r="M174" s="146"/>
      <c r="N174" s="171"/>
    </row>
    <row r="175" spans="1:14" ht="12.75">
      <c r="A175" s="325" t="s">
        <v>201</v>
      </c>
      <c r="B175" s="326"/>
      <c r="C175" s="77"/>
      <c r="D175" s="77"/>
      <c r="E175" s="77"/>
      <c r="F175" s="147"/>
      <c r="G175" s="77"/>
      <c r="H175" s="77"/>
      <c r="I175" s="77"/>
      <c r="J175" s="77"/>
      <c r="K175" s="77"/>
      <c r="L175" s="77"/>
      <c r="M175" s="77"/>
      <c r="N175" s="77"/>
    </row>
    <row r="176" spans="1:14" ht="12.75">
      <c r="A176" s="302" t="s">
        <v>240</v>
      </c>
      <c r="B176" s="303"/>
      <c r="C176" s="77"/>
      <c r="D176" s="181">
        <v>1370</v>
      </c>
      <c r="E176" s="181">
        <v>273175</v>
      </c>
      <c r="F176" s="77"/>
      <c r="G176" s="77"/>
      <c r="H176" s="181">
        <v>684358.81</v>
      </c>
      <c r="I176" s="77"/>
      <c r="J176" s="77"/>
      <c r="K176" s="186">
        <v>76091.97</v>
      </c>
      <c r="L176" s="77"/>
      <c r="M176" s="77"/>
      <c r="N176" s="77"/>
    </row>
    <row r="177" spans="1:14" ht="12.75">
      <c r="A177" s="89"/>
      <c r="B177" s="90"/>
      <c r="C177" s="77"/>
      <c r="D177" s="77"/>
      <c r="E177" s="77"/>
      <c r="F177" s="77"/>
      <c r="G177" s="77"/>
      <c r="H177" s="152"/>
      <c r="I177" s="77"/>
      <c r="J177" s="77"/>
      <c r="K177" s="77"/>
      <c r="L177" s="77"/>
      <c r="M177" s="77"/>
      <c r="N177" s="77"/>
    </row>
    <row r="178" spans="2:14" ht="12.75">
      <c r="B178" s="66" t="s">
        <v>94</v>
      </c>
      <c r="C178" s="78">
        <f aca="true" t="shared" si="32" ref="C178:N178">SUM(C172:C177)</f>
        <v>0</v>
      </c>
      <c r="D178" s="78">
        <f t="shared" si="32"/>
        <v>729930.76</v>
      </c>
      <c r="E178" s="78">
        <f t="shared" si="32"/>
        <v>273175</v>
      </c>
      <c r="F178" s="78">
        <f t="shared" si="32"/>
        <v>0</v>
      </c>
      <c r="G178" s="78">
        <f t="shared" si="32"/>
        <v>502115.5</v>
      </c>
      <c r="H178" s="78">
        <f t="shared" si="32"/>
        <v>684358.81</v>
      </c>
      <c r="I178" s="78">
        <f t="shared" si="32"/>
        <v>442424.6</v>
      </c>
      <c r="J178" s="78">
        <f t="shared" si="32"/>
        <v>0</v>
      </c>
      <c r="K178" s="78">
        <f t="shared" si="32"/>
        <v>276515.27</v>
      </c>
      <c r="L178" s="78">
        <f t="shared" si="32"/>
        <v>0</v>
      </c>
      <c r="M178" s="78">
        <f t="shared" si="32"/>
        <v>0</v>
      </c>
      <c r="N178" s="78">
        <f t="shared" si="32"/>
        <v>0</v>
      </c>
    </row>
    <row r="179" spans="2:14" s="110" customFormat="1" ht="12.75">
      <c r="B179" s="111" t="s">
        <v>159</v>
      </c>
      <c r="C179" s="112">
        <f>C178</f>
        <v>0</v>
      </c>
      <c r="D179" s="112">
        <f aca="true" t="shared" si="33" ref="D179:N179">+C179+D178</f>
        <v>729930.76</v>
      </c>
      <c r="E179" s="112">
        <f t="shared" si="33"/>
        <v>1003105.76</v>
      </c>
      <c r="F179" s="112">
        <f t="shared" si="33"/>
        <v>1003105.76</v>
      </c>
      <c r="G179" s="112">
        <f t="shared" si="33"/>
        <v>1505221.26</v>
      </c>
      <c r="H179" s="112">
        <f t="shared" si="33"/>
        <v>2189580.0700000003</v>
      </c>
      <c r="I179" s="112">
        <f t="shared" si="33"/>
        <v>2632004.6700000004</v>
      </c>
      <c r="J179" s="112">
        <f t="shared" si="33"/>
        <v>2632004.6700000004</v>
      </c>
      <c r="K179" s="112">
        <f t="shared" si="33"/>
        <v>2908519.9400000004</v>
      </c>
      <c r="L179" s="112">
        <f t="shared" si="33"/>
        <v>2908519.9400000004</v>
      </c>
      <c r="M179" s="112">
        <f t="shared" si="33"/>
        <v>2908519.9400000004</v>
      </c>
      <c r="N179" s="112">
        <f t="shared" si="33"/>
        <v>2908519.9400000004</v>
      </c>
    </row>
    <row r="181" ht="12.75">
      <c r="F181" s="80"/>
    </row>
    <row r="184" ht="14.25">
      <c r="A184" s="226" t="s">
        <v>275</v>
      </c>
    </row>
  </sheetData>
  <sheetProtection/>
  <mergeCells count="73">
    <mergeCell ref="A175:B175"/>
    <mergeCell ref="A161:B161"/>
    <mergeCell ref="A160:B160"/>
    <mergeCell ref="A174:B174"/>
    <mergeCell ref="A173:B173"/>
    <mergeCell ref="A172:B172"/>
    <mergeCell ref="A171:B171"/>
    <mergeCell ref="A170:B170"/>
    <mergeCell ref="A162:B162"/>
    <mergeCell ref="A163:B163"/>
    <mergeCell ref="A164:B164"/>
    <mergeCell ref="A165:B165"/>
    <mergeCell ref="A166:B166"/>
    <mergeCell ref="A68:B68"/>
    <mergeCell ref="A138:B138"/>
    <mergeCell ref="A106:A107"/>
    <mergeCell ref="A108:A109"/>
    <mergeCell ref="A110:A111"/>
    <mergeCell ref="A137:B137"/>
    <mergeCell ref="A120:B120"/>
    <mergeCell ref="A3:B3"/>
    <mergeCell ref="A49:A50"/>
    <mergeCell ref="A4:A10"/>
    <mergeCell ref="A12:A18"/>
    <mergeCell ref="A37:B37"/>
    <mergeCell ref="A28:A34"/>
    <mergeCell ref="A2:B2"/>
    <mergeCell ref="A1:B1"/>
    <mergeCell ref="A159:B159"/>
    <mergeCell ref="A56:B56"/>
    <mergeCell ref="A46:B46"/>
    <mergeCell ref="A47:A48"/>
    <mergeCell ref="A20:A26"/>
    <mergeCell ref="A38:A44"/>
    <mergeCell ref="A105:B105"/>
    <mergeCell ref="A67:B67"/>
    <mergeCell ref="A112:B112"/>
    <mergeCell ref="A113:A114"/>
    <mergeCell ref="A115:A116"/>
    <mergeCell ref="A124:A125"/>
    <mergeCell ref="A126:A127"/>
    <mergeCell ref="A101:A102"/>
    <mergeCell ref="A122:A123"/>
    <mergeCell ref="A69:A73"/>
    <mergeCell ref="A75:A79"/>
    <mergeCell ref="A97:A98"/>
    <mergeCell ref="A82:A86"/>
    <mergeCell ref="A88:A92"/>
    <mergeCell ref="A95:B95"/>
    <mergeCell ref="A96:B96"/>
    <mergeCell ref="A81:B81"/>
    <mergeCell ref="A176:B176"/>
    <mergeCell ref="A158:B158"/>
    <mergeCell ref="A117:A118"/>
    <mergeCell ref="A148:B148"/>
    <mergeCell ref="A149:B149"/>
    <mergeCell ref="A121:B121"/>
    <mergeCell ref="A128:B128"/>
    <mergeCell ref="A129:A130"/>
    <mergeCell ref="A131:A132"/>
    <mergeCell ref="A133:A134"/>
    <mergeCell ref="A139:B139"/>
    <mergeCell ref="A140:B140"/>
    <mergeCell ref="A141:B141"/>
    <mergeCell ref="A142:B142"/>
    <mergeCell ref="A143:B143"/>
    <mergeCell ref="A144:B144"/>
    <mergeCell ref="A150:B150"/>
    <mergeCell ref="A151:B151"/>
    <mergeCell ref="A152:B152"/>
    <mergeCell ref="A153:B153"/>
    <mergeCell ref="A154:B154"/>
    <mergeCell ref="A155:B155"/>
  </mergeCells>
  <hyperlinks>
    <hyperlink ref="A184" r:id="rId1" display="..\7.Julho\Desvinculação da Receita - Julho 2018  ´Procedimentos.docx"/>
  </hyperlinks>
  <printOptions/>
  <pageMargins left="0.07874015748031496" right="0.07874015748031496" top="0.11811023622047245" bottom="0.07874015748031496" header="0.11811023622047245" footer="0.11811023622047245"/>
  <pageSetup horizontalDpi="600" verticalDpi="600" orientation="landscape" paperSize="9" r:id="rId5"/>
  <ignoredErrors>
    <ignoredError sqref="D14" formula="1"/>
    <ignoredError sqref="E178" formulaRange="1"/>
  </ignoredError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N47"/>
  <sheetViews>
    <sheetView showGridLines="0" zoomScale="115" zoomScaleNormal="115" zoomScalePageLayoutView="0" workbookViewId="0" topLeftCell="A13">
      <selection activeCell="A6" sqref="A6:D6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3" width="35.421875" style="1" bestFit="1" customWidth="1"/>
    <col min="4" max="4" width="17.00390625" style="1" customWidth="1"/>
    <col min="5" max="9" width="9.8515625" style="1" customWidth="1"/>
    <col min="10" max="10" width="7.28125" style="1" customWidth="1"/>
    <col min="11" max="11" width="15.57421875" style="25" customWidth="1"/>
    <col min="12" max="12" width="10.57421875" style="1" bestFit="1" customWidth="1"/>
    <col min="13" max="13" width="6.8515625" style="1" customWidth="1"/>
    <col min="14" max="14" width="12.00390625" style="1" bestFit="1" customWidth="1"/>
    <col min="15" max="16384" width="6.8515625" style="1" customWidth="1"/>
  </cols>
  <sheetData>
    <row r="1" ht="13.5" customHeight="1">
      <c r="C1" s="153"/>
    </row>
    <row r="3" spans="1:11" ht="13.5" customHeight="1">
      <c r="A3" s="353" t="s">
        <v>0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</row>
    <row r="4" spans="1:11" ht="15" customHeight="1">
      <c r="A4" s="353" t="s">
        <v>143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</row>
    <row r="5" spans="1:14" ht="15" customHeight="1">
      <c r="A5" s="354">
        <v>43344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N5" s="2"/>
    </row>
    <row r="6" spans="1:11" ht="19.5" customHeight="1">
      <c r="A6" s="356" t="s">
        <v>3</v>
      </c>
      <c r="B6" s="357"/>
      <c r="C6" s="357"/>
      <c r="D6" s="357"/>
      <c r="E6" s="356" t="s">
        <v>4</v>
      </c>
      <c r="F6" s="357"/>
      <c r="G6" s="357"/>
      <c r="H6" s="357"/>
      <c r="I6" s="357"/>
      <c r="J6" s="357"/>
      <c r="K6" s="358"/>
    </row>
    <row r="7" spans="1:11" ht="19.5" customHeight="1">
      <c r="A7" s="359" t="s">
        <v>5</v>
      </c>
      <c r="B7" s="360"/>
      <c r="C7" s="360"/>
      <c r="D7" s="5" t="s">
        <v>6</v>
      </c>
      <c r="E7" s="359" t="s">
        <v>5</v>
      </c>
      <c r="F7" s="360"/>
      <c r="G7" s="360"/>
      <c r="H7" s="360"/>
      <c r="I7" s="360"/>
      <c r="J7" s="361"/>
      <c r="K7" s="5" t="s">
        <v>6</v>
      </c>
    </row>
    <row r="8" spans="1:11" ht="13.5" customHeight="1">
      <c r="A8" s="335" t="s">
        <v>7</v>
      </c>
      <c r="B8" s="339"/>
      <c r="C8" s="339"/>
      <c r="D8" s="106">
        <f>+$D$9+$D$13</f>
        <v>21612429.61</v>
      </c>
      <c r="E8" s="335" t="s">
        <v>8</v>
      </c>
      <c r="F8" s="339"/>
      <c r="G8" s="339"/>
      <c r="H8" s="339"/>
      <c r="I8" s="339"/>
      <c r="J8" s="337"/>
      <c r="K8" s="106">
        <f>+$K$13+$K$9</f>
        <v>53633226.67</v>
      </c>
    </row>
    <row r="9" spans="1:11" ht="13.5" customHeight="1">
      <c r="A9" s="340" t="s">
        <v>9</v>
      </c>
      <c r="B9" s="348"/>
      <c r="C9" s="348"/>
      <c r="D9" s="11">
        <f>SUM(D10:D12)</f>
        <v>2951853.74</v>
      </c>
      <c r="E9" s="340" t="s">
        <v>9</v>
      </c>
      <c r="F9" s="348"/>
      <c r="G9" s="348"/>
      <c r="H9" s="348"/>
      <c r="I9" s="348"/>
      <c r="J9" s="342"/>
      <c r="K9" s="11">
        <f>SUM(K10:K12)</f>
        <v>0</v>
      </c>
    </row>
    <row r="10" spans="1:11" ht="13.5" customHeight="1">
      <c r="A10" s="349" t="s">
        <v>10</v>
      </c>
      <c r="B10" s="352"/>
      <c r="C10" s="352"/>
      <c r="D10" s="154">
        <v>2951853.74</v>
      </c>
      <c r="E10" s="349" t="s">
        <v>10</v>
      </c>
      <c r="F10" s="352"/>
      <c r="G10" s="352"/>
      <c r="H10" s="352"/>
      <c r="I10" s="352"/>
      <c r="J10" s="351"/>
      <c r="K10" s="11"/>
    </row>
    <row r="11" spans="1:11" ht="13.5" customHeight="1">
      <c r="A11" s="349" t="s">
        <v>11</v>
      </c>
      <c r="B11" s="350"/>
      <c r="C11" s="350"/>
      <c r="D11" s="11"/>
      <c r="E11" s="349" t="s">
        <v>11</v>
      </c>
      <c r="F11" s="350"/>
      <c r="G11" s="350"/>
      <c r="H11" s="350"/>
      <c r="I11" s="350"/>
      <c r="J11" s="351"/>
      <c r="K11" s="11"/>
    </row>
    <row r="12" spans="1:11" ht="13.5" customHeight="1">
      <c r="A12" s="349" t="s">
        <v>12</v>
      </c>
      <c r="B12" s="350"/>
      <c r="C12" s="350"/>
      <c r="D12" s="11"/>
      <c r="E12" s="349" t="s">
        <v>12</v>
      </c>
      <c r="F12" s="350"/>
      <c r="G12" s="350"/>
      <c r="H12" s="350"/>
      <c r="I12" s="350"/>
      <c r="J12" s="351"/>
      <c r="K12" s="11"/>
    </row>
    <row r="13" spans="1:11" ht="13.5" customHeight="1">
      <c r="A13" s="329" t="s">
        <v>13</v>
      </c>
      <c r="B13" s="343"/>
      <c r="C13" s="343"/>
      <c r="D13" s="109">
        <f>SUM($D$14:$D$20)</f>
        <v>18660575.869999997</v>
      </c>
      <c r="E13" s="329" t="s">
        <v>13</v>
      </c>
      <c r="F13" s="343"/>
      <c r="G13" s="343"/>
      <c r="H13" s="343"/>
      <c r="I13" s="343"/>
      <c r="J13" s="331"/>
      <c r="K13" s="109">
        <f>SUM(K14:K20)</f>
        <v>53633226.67</v>
      </c>
    </row>
    <row r="14" spans="1:11" ht="13.5" customHeight="1">
      <c r="A14" s="349" t="s">
        <v>14</v>
      </c>
      <c r="B14" s="352"/>
      <c r="C14" s="352"/>
      <c r="D14" s="11"/>
      <c r="E14" s="349" t="s">
        <v>14</v>
      </c>
      <c r="F14" s="352"/>
      <c r="G14" s="352"/>
      <c r="H14" s="352"/>
      <c r="I14" s="352"/>
      <c r="J14" s="351"/>
      <c r="K14" s="11"/>
    </row>
    <row r="15" spans="1:11" ht="13.5" customHeight="1">
      <c r="A15" s="349" t="s">
        <v>15</v>
      </c>
      <c r="B15" s="350"/>
      <c r="C15" s="350"/>
      <c r="D15" s="11"/>
      <c r="E15" s="349" t="s">
        <v>15</v>
      </c>
      <c r="F15" s="350"/>
      <c r="G15" s="350"/>
      <c r="H15" s="350"/>
      <c r="I15" s="350"/>
      <c r="J15" s="351"/>
      <c r="K15" s="11"/>
    </row>
    <row r="16" spans="1:11" ht="13.5" customHeight="1">
      <c r="A16" s="349" t="s">
        <v>16</v>
      </c>
      <c r="B16" s="350"/>
      <c r="C16" s="350"/>
      <c r="D16" s="11"/>
      <c r="E16" s="349" t="s">
        <v>16</v>
      </c>
      <c r="F16" s="350"/>
      <c r="G16" s="350"/>
      <c r="H16" s="350"/>
      <c r="I16" s="350"/>
      <c r="J16" s="351"/>
      <c r="K16" s="11"/>
    </row>
    <row r="17" spans="1:11" ht="13.5" customHeight="1">
      <c r="A17" s="349" t="s">
        <v>17</v>
      </c>
      <c r="B17" s="350"/>
      <c r="C17" s="350"/>
      <c r="D17" s="11"/>
      <c r="E17" s="349" t="s">
        <v>17</v>
      </c>
      <c r="F17" s="350"/>
      <c r="G17" s="350"/>
      <c r="H17" s="350"/>
      <c r="I17" s="350"/>
      <c r="J17" s="351"/>
      <c r="K17" s="11"/>
    </row>
    <row r="18" spans="1:11" ht="13.5" customHeight="1">
      <c r="A18" s="349" t="s">
        <v>18</v>
      </c>
      <c r="B18" s="350"/>
      <c r="C18" s="350"/>
      <c r="D18" s="155">
        <f>HLOOKUP($A$5,DADOS!1:156,35,0)-2363691.28-447766.91-140395.55</f>
        <v>18659676.109999996</v>
      </c>
      <c r="E18" s="349" t="s">
        <v>18</v>
      </c>
      <c r="F18" s="350"/>
      <c r="G18" s="350"/>
      <c r="H18" s="350"/>
      <c r="I18" s="350"/>
      <c r="J18" s="351"/>
      <c r="K18" s="107">
        <f>HLOOKUP($A$5,DADOS!1:156,69,0)</f>
        <v>53633226.67</v>
      </c>
    </row>
    <row r="19" spans="1:11" ht="13.5" customHeight="1">
      <c r="A19" s="349" t="s">
        <v>19</v>
      </c>
      <c r="B19" s="350"/>
      <c r="C19" s="350"/>
      <c r="D19" s="11"/>
      <c r="E19" s="349" t="s">
        <v>19</v>
      </c>
      <c r="F19" s="350"/>
      <c r="G19" s="350"/>
      <c r="H19" s="350"/>
      <c r="I19" s="350"/>
      <c r="J19" s="351"/>
      <c r="K19" s="11"/>
    </row>
    <row r="20" spans="1:11" ht="13.5" customHeight="1">
      <c r="A20" s="345" t="s">
        <v>20</v>
      </c>
      <c r="B20" s="346"/>
      <c r="C20" s="346"/>
      <c r="D20" s="155">
        <f>HLOOKUP($A$5,DADOS!1:156,44,0)</f>
        <v>899.76</v>
      </c>
      <c r="E20" s="345" t="s">
        <v>20</v>
      </c>
      <c r="F20" s="346"/>
      <c r="G20" s="346"/>
      <c r="H20" s="346"/>
      <c r="I20" s="346"/>
      <c r="J20" s="347"/>
      <c r="K20" s="11"/>
    </row>
    <row r="21" spans="1:11" ht="13.5" customHeight="1">
      <c r="A21" s="335" t="s">
        <v>21</v>
      </c>
      <c r="B21" s="339"/>
      <c r="C21" s="339"/>
      <c r="D21" s="14">
        <f>SUBTOTAL(9,$D$22:$D$25)</f>
        <v>0</v>
      </c>
      <c r="E21" s="335" t="s">
        <v>22</v>
      </c>
      <c r="F21" s="339"/>
      <c r="G21" s="339"/>
      <c r="H21" s="339"/>
      <c r="I21" s="339"/>
      <c r="J21" s="337"/>
      <c r="K21" s="14">
        <f>SUBTOTAL(9,$K$22:$K$25)</f>
        <v>21184481.470000003</v>
      </c>
    </row>
    <row r="22" spans="1:11" ht="13.5" customHeight="1">
      <c r="A22" s="340" t="s">
        <v>23</v>
      </c>
      <c r="B22" s="341"/>
      <c r="C22" s="341"/>
      <c r="D22" s="92">
        <f>HLOOKUP($A$5,DADOS!1:156,144,0)</f>
        <v>0</v>
      </c>
      <c r="E22" s="340" t="s">
        <v>23</v>
      </c>
      <c r="F22" s="348"/>
      <c r="G22" s="348"/>
      <c r="H22" s="348"/>
      <c r="I22" s="348"/>
      <c r="J22" s="342"/>
      <c r="K22" s="92">
        <f>HLOOKUP($A$5,DADOS!1:156,156,0)</f>
        <v>21184481.470000003</v>
      </c>
    </row>
    <row r="23" spans="1:11" ht="13.5" customHeight="1">
      <c r="A23" s="329" t="s">
        <v>24</v>
      </c>
      <c r="B23" s="343"/>
      <c r="C23" s="343"/>
      <c r="D23" s="11"/>
      <c r="E23" s="329" t="s">
        <v>24</v>
      </c>
      <c r="F23" s="343"/>
      <c r="G23" s="343"/>
      <c r="H23" s="343"/>
      <c r="I23" s="343"/>
      <c r="J23" s="331"/>
      <c r="K23" s="11"/>
    </row>
    <row r="24" spans="1:11" ht="13.5" customHeight="1">
      <c r="A24" s="329" t="s">
        <v>25</v>
      </c>
      <c r="B24" s="343"/>
      <c r="C24" s="343"/>
      <c r="D24" s="11"/>
      <c r="E24" s="329" t="s">
        <v>25</v>
      </c>
      <c r="F24" s="343"/>
      <c r="G24" s="343"/>
      <c r="H24" s="343"/>
      <c r="I24" s="343"/>
      <c r="J24" s="331"/>
      <c r="K24" s="11"/>
    </row>
    <row r="25" spans="1:11" ht="13.5" customHeight="1">
      <c r="A25" s="332" t="s">
        <v>26</v>
      </c>
      <c r="B25" s="344"/>
      <c r="C25" s="344"/>
      <c r="D25" s="11"/>
      <c r="E25" s="332" t="s">
        <v>26</v>
      </c>
      <c r="F25" s="333"/>
      <c r="G25" s="333"/>
      <c r="H25" s="333"/>
      <c r="I25" s="333"/>
      <c r="J25" s="338"/>
      <c r="K25" s="11"/>
    </row>
    <row r="26" spans="1:11" ht="13.5" customHeight="1">
      <c r="A26" s="335" t="s">
        <v>27</v>
      </c>
      <c r="B26" s="339"/>
      <c r="C26" s="339"/>
      <c r="D26" s="14">
        <f>SUBTOTAL(9,$D$27:$D$32)</f>
        <v>22238486.19</v>
      </c>
      <c r="E26" s="335" t="s">
        <v>28</v>
      </c>
      <c r="F26" s="339"/>
      <c r="G26" s="339"/>
      <c r="H26" s="339"/>
      <c r="I26" s="339"/>
      <c r="J26" s="337"/>
      <c r="K26" s="14">
        <f>SUBTOTAL(9,$K$27:$K$32)</f>
        <v>6036369.790000001</v>
      </c>
    </row>
    <row r="27" spans="1:11" ht="13.5" customHeight="1">
      <c r="A27" s="340" t="s">
        <v>29</v>
      </c>
      <c r="B27" s="341"/>
      <c r="C27" s="341"/>
      <c r="D27" s="11"/>
      <c r="E27" s="340" t="s">
        <v>30</v>
      </c>
      <c r="F27" s="341"/>
      <c r="G27" s="341"/>
      <c r="H27" s="341"/>
      <c r="I27" s="341"/>
      <c r="J27" s="342"/>
      <c r="K27" s="11"/>
    </row>
    <row r="28" spans="1:11" ht="13.5" customHeight="1">
      <c r="A28" s="329" t="s">
        <v>31</v>
      </c>
      <c r="B28" s="330"/>
      <c r="C28" s="330"/>
      <c r="D28" s="107">
        <f>HLOOKUP($A$5,DADOS!1:156,73,0)</f>
        <v>13889714.55</v>
      </c>
      <c r="E28" s="329" t="s">
        <v>32</v>
      </c>
      <c r="F28" s="330"/>
      <c r="G28" s="330"/>
      <c r="H28" s="330"/>
      <c r="I28" s="330"/>
      <c r="J28" s="331"/>
      <c r="K28" s="107">
        <f>HLOOKUP($A$5,DADOS!1:156,97,0)</f>
        <v>2810690</v>
      </c>
    </row>
    <row r="29" spans="1:11" ht="13.5" customHeight="1">
      <c r="A29" s="329" t="s">
        <v>33</v>
      </c>
      <c r="B29" s="343"/>
      <c r="C29" s="343"/>
      <c r="D29" s="11"/>
      <c r="E29" s="329" t="s">
        <v>146</v>
      </c>
      <c r="F29" s="343"/>
      <c r="G29" s="343"/>
      <c r="H29" s="343"/>
      <c r="I29" s="343"/>
      <c r="J29" s="331"/>
      <c r="K29" s="11"/>
    </row>
    <row r="30" spans="1:11" ht="13.5" customHeight="1">
      <c r="A30" s="329" t="s">
        <v>35</v>
      </c>
      <c r="B30" s="343"/>
      <c r="C30" s="343"/>
      <c r="D30" s="107">
        <f>HLOOKUP($A$5,DADOS!1:156,71,0)-HLOOKUP($A$5,DADOS!1:156,72,0)</f>
        <v>1268039.66</v>
      </c>
      <c r="E30" s="329" t="s">
        <v>36</v>
      </c>
      <c r="F30" s="343"/>
      <c r="G30" s="343"/>
      <c r="H30" s="343"/>
      <c r="I30" s="343"/>
      <c r="J30" s="331"/>
      <c r="K30" s="107">
        <f>HLOOKUP($A$5,DADOS!1:158,98,0)</f>
        <v>317159.85</v>
      </c>
    </row>
    <row r="31" spans="1:11" ht="13.5" customHeight="1">
      <c r="A31" s="329" t="s">
        <v>37</v>
      </c>
      <c r="B31" s="343"/>
      <c r="C31" s="343"/>
      <c r="D31" s="11"/>
      <c r="E31" s="329" t="s">
        <v>37</v>
      </c>
      <c r="F31" s="343"/>
      <c r="G31" s="343"/>
      <c r="H31" s="343"/>
      <c r="I31" s="343"/>
      <c r="J31" s="331"/>
      <c r="K31" s="11"/>
    </row>
    <row r="32" spans="1:12" ht="13.5" customHeight="1">
      <c r="A32" s="332" t="s">
        <v>38</v>
      </c>
      <c r="B32" s="333"/>
      <c r="C32" s="333"/>
      <c r="D32" s="92">
        <f>HLOOKUP($A$5,DADOS!1:179,168,0)</f>
        <v>7080731.98</v>
      </c>
      <c r="E32" s="332" t="s">
        <v>39</v>
      </c>
      <c r="F32" s="333"/>
      <c r="G32" s="333"/>
      <c r="H32" s="333"/>
      <c r="I32" s="333"/>
      <c r="J32" s="338"/>
      <c r="K32" s="92">
        <f>HLOOKUP($A$5,DADOS!1:179,179,0)</f>
        <v>2908519.9400000004</v>
      </c>
      <c r="L32" s="33"/>
    </row>
    <row r="33" spans="1:11" ht="13.5" customHeight="1">
      <c r="A33" s="335" t="s">
        <v>40</v>
      </c>
      <c r="B33" s="339"/>
      <c r="C33" s="339"/>
      <c r="D33" s="106">
        <f>SUBTOTAL(9,$D$35:$D$36)</f>
        <v>250461958.19</v>
      </c>
      <c r="E33" s="335" t="s">
        <v>41</v>
      </c>
      <c r="F33" s="339"/>
      <c r="G33" s="339"/>
      <c r="H33" s="339"/>
      <c r="I33" s="339"/>
      <c r="J33" s="337"/>
      <c r="K33" s="106">
        <f>SUBTOTAL(9,$K$35:$K$36)</f>
        <v>213458796.06</v>
      </c>
    </row>
    <row r="34" spans="1:11" ht="13.5" customHeight="1">
      <c r="A34" s="340" t="s">
        <v>42</v>
      </c>
      <c r="B34" s="341"/>
      <c r="C34" s="341"/>
      <c r="D34" s="11"/>
      <c r="E34" s="340" t="s">
        <v>42</v>
      </c>
      <c r="F34" s="341"/>
      <c r="G34" s="341"/>
      <c r="H34" s="341"/>
      <c r="I34" s="341"/>
      <c r="J34" s="342"/>
      <c r="K34" s="12"/>
    </row>
    <row r="35" spans="1:11" ht="13.5" customHeight="1">
      <c r="A35" s="329" t="s">
        <v>43</v>
      </c>
      <c r="B35" s="330"/>
      <c r="C35" s="330"/>
      <c r="D35" s="108">
        <f>DADOS!B65</f>
        <v>250461958.19</v>
      </c>
      <c r="E35" s="329" t="s">
        <v>43</v>
      </c>
      <c r="F35" s="330"/>
      <c r="G35" s="330"/>
      <c r="H35" s="330"/>
      <c r="I35" s="330"/>
      <c r="J35" s="331"/>
      <c r="K35" s="107">
        <f>HLOOKUP($A$5,DADOS!1:164,65,0)</f>
        <v>213458796.06</v>
      </c>
    </row>
    <row r="36" spans="1:11" ht="13.5" customHeight="1">
      <c r="A36" s="332" t="s">
        <v>37</v>
      </c>
      <c r="B36" s="333"/>
      <c r="C36" s="333"/>
      <c r="D36" s="11"/>
      <c r="E36" s="332" t="s">
        <v>37</v>
      </c>
      <c r="F36" s="333"/>
      <c r="G36" s="333"/>
      <c r="H36" s="333"/>
      <c r="I36" s="333"/>
      <c r="J36" s="334"/>
      <c r="K36" s="11"/>
    </row>
    <row r="37" spans="1:11" ht="13.5" customHeight="1">
      <c r="A37" s="335" t="s">
        <v>44</v>
      </c>
      <c r="B37" s="336"/>
      <c r="C37" s="336"/>
      <c r="D37" s="16">
        <f>+$D$33+$D$26+$D$21+$D$8</f>
        <v>294312873.99</v>
      </c>
      <c r="E37" s="335" t="s">
        <v>45</v>
      </c>
      <c r="F37" s="336"/>
      <c r="G37" s="336"/>
      <c r="H37" s="336"/>
      <c r="I37" s="336"/>
      <c r="J37" s="337"/>
      <c r="K37" s="16">
        <f>+$K$33+$K$26+$K$21+$K$8</f>
        <v>294312873.99</v>
      </c>
    </row>
    <row r="38" spans="1:11" ht="13.5" customHeight="1">
      <c r="A38" s="19" t="s">
        <v>138</v>
      </c>
      <c r="B38" s="20"/>
      <c r="C38" s="117"/>
      <c r="D38" s="21">
        <f>D37-K37</f>
        <v>0</v>
      </c>
      <c r="E38" s="117"/>
      <c r="F38" s="20"/>
      <c r="G38" s="20"/>
      <c r="H38" s="21"/>
      <c r="I38" s="21"/>
      <c r="J38" s="21"/>
      <c r="K38" s="22">
        <f>K37-D37</f>
        <v>0</v>
      </c>
    </row>
    <row r="39" spans="1:11" ht="13.5" customHeight="1">
      <c r="A39" s="23"/>
      <c r="B39" s="23"/>
      <c r="C39" s="145"/>
      <c r="D39" s="117"/>
      <c r="E39" s="23"/>
      <c r="F39" s="23"/>
      <c r="G39" s="23"/>
      <c r="H39" s="23"/>
      <c r="I39" s="23"/>
      <c r="J39" s="23"/>
      <c r="K39" s="24"/>
    </row>
    <row r="40" spans="1:11" ht="13.5" customHeight="1">
      <c r="A40" s="19" t="s">
        <v>139</v>
      </c>
      <c r="B40" s="23"/>
      <c r="C40" s="117"/>
      <c r="D40" s="117"/>
      <c r="E40" s="23"/>
      <c r="F40" s="23"/>
      <c r="G40" s="23"/>
      <c r="H40" s="23"/>
      <c r="I40" s="23"/>
      <c r="J40" s="23"/>
      <c r="K40" s="179"/>
    </row>
    <row r="41" spans="1:10" ht="13.5" customHeight="1">
      <c r="A41" s="19"/>
      <c r="B41" s="23"/>
      <c r="D41" s="117"/>
      <c r="E41" s="23"/>
      <c r="F41" s="23"/>
      <c r="G41" s="23"/>
      <c r="H41" s="23"/>
      <c r="I41" s="23"/>
      <c r="J41" s="23"/>
    </row>
    <row r="42" spans="1:10" ht="13.5" customHeight="1">
      <c r="A42" s="19"/>
      <c r="B42" s="23"/>
      <c r="C42" s="117"/>
      <c r="D42" s="144"/>
      <c r="E42" s="23"/>
      <c r="F42" s="23"/>
      <c r="G42" s="23"/>
      <c r="H42" s="23"/>
      <c r="I42" s="23"/>
      <c r="J42" s="23"/>
    </row>
    <row r="43" spans="1:10" ht="13.5" customHeight="1">
      <c r="A43" s="19"/>
      <c r="B43" s="23"/>
      <c r="C43" s="23"/>
      <c r="D43" s="144"/>
      <c r="E43" s="23"/>
      <c r="F43" s="23"/>
      <c r="G43" s="23"/>
      <c r="H43" s="23"/>
      <c r="I43" s="23"/>
      <c r="J43" s="23"/>
    </row>
    <row r="45" spans="3:10" ht="13.5" customHeight="1">
      <c r="C45" s="84" t="s">
        <v>140</v>
      </c>
      <c r="D45" s="327" t="s">
        <v>140</v>
      </c>
      <c r="E45" s="327"/>
      <c r="F45" s="327"/>
      <c r="G45" s="328" t="s">
        <v>140</v>
      </c>
      <c r="H45" s="328"/>
      <c r="I45" s="328"/>
      <c r="J45" s="328"/>
    </row>
    <row r="46" spans="2:10" ht="13.5" customHeight="1">
      <c r="B46" s="85"/>
      <c r="C46" s="86"/>
      <c r="D46" s="87"/>
      <c r="E46" s="87" t="s">
        <v>141</v>
      </c>
      <c r="F46" s="87"/>
      <c r="G46" s="87"/>
      <c r="H46" s="87" t="s">
        <v>141</v>
      </c>
      <c r="I46" s="87"/>
      <c r="J46" s="87"/>
    </row>
    <row r="47" spans="4:10" ht="13.5" customHeight="1">
      <c r="D47" s="88"/>
      <c r="E47" s="88" t="s">
        <v>142</v>
      </c>
      <c r="F47" s="88"/>
      <c r="G47" s="88"/>
      <c r="H47" s="88" t="s">
        <v>142</v>
      </c>
      <c r="I47" s="88"/>
      <c r="J47" s="88"/>
    </row>
  </sheetData>
  <sheetProtection/>
  <mergeCells count="69">
    <mergeCell ref="A3:K3"/>
    <mergeCell ref="A4:K4"/>
    <mergeCell ref="A5:K5"/>
    <mergeCell ref="A6:D6"/>
    <mergeCell ref="E6:K6"/>
    <mergeCell ref="A7:C7"/>
    <mergeCell ref="E7:J7"/>
    <mergeCell ref="A8:C8"/>
    <mergeCell ref="E8:J8"/>
    <mergeCell ref="A9:C9"/>
    <mergeCell ref="E9:J9"/>
    <mergeCell ref="A10:C10"/>
    <mergeCell ref="E10:J10"/>
    <mergeCell ref="A11:C11"/>
    <mergeCell ref="E11:J11"/>
    <mergeCell ref="A12:C12"/>
    <mergeCell ref="E12:J12"/>
    <mergeCell ref="A13:C13"/>
    <mergeCell ref="E13:J13"/>
    <mergeCell ref="A14:C14"/>
    <mergeCell ref="E14:J14"/>
    <mergeCell ref="A15:C15"/>
    <mergeCell ref="E15:J15"/>
    <mergeCell ref="A16:C16"/>
    <mergeCell ref="E16:J16"/>
    <mergeCell ref="A17:C17"/>
    <mergeCell ref="E17:J17"/>
    <mergeCell ref="A18:C18"/>
    <mergeCell ref="E18:J18"/>
    <mergeCell ref="A19:C19"/>
    <mergeCell ref="E19:J19"/>
    <mergeCell ref="A20:C20"/>
    <mergeCell ref="E20:J20"/>
    <mergeCell ref="A21:C21"/>
    <mergeCell ref="E21:J21"/>
    <mergeCell ref="A22:C22"/>
    <mergeCell ref="E22:J22"/>
    <mergeCell ref="A23:C23"/>
    <mergeCell ref="E23:J23"/>
    <mergeCell ref="A24:C24"/>
    <mergeCell ref="E24:J24"/>
    <mergeCell ref="A25:C25"/>
    <mergeCell ref="E25:J25"/>
    <mergeCell ref="A26:C26"/>
    <mergeCell ref="E26:J26"/>
    <mergeCell ref="A27:C27"/>
    <mergeCell ref="E27:J27"/>
    <mergeCell ref="A28:C28"/>
    <mergeCell ref="E28:J28"/>
    <mergeCell ref="A29:C29"/>
    <mergeCell ref="E29:J29"/>
    <mergeCell ref="A30:C30"/>
    <mergeCell ref="E30:J30"/>
    <mergeCell ref="A31:C31"/>
    <mergeCell ref="E31:J31"/>
    <mergeCell ref="A32:C32"/>
    <mergeCell ref="E32:J32"/>
    <mergeCell ref="A33:C33"/>
    <mergeCell ref="E33:J33"/>
    <mergeCell ref="A34:C34"/>
    <mergeCell ref="E34:J34"/>
    <mergeCell ref="D45:F45"/>
    <mergeCell ref="G45:J45"/>
    <mergeCell ref="A35:C35"/>
    <mergeCell ref="E35:J35"/>
    <mergeCell ref="A36:C36"/>
    <mergeCell ref="E36:J36"/>
    <mergeCell ref="A37:C37"/>
    <mergeCell ref="E37:J37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K45"/>
  <sheetViews>
    <sheetView showGridLines="0" zoomScale="115" zoomScaleNormal="115" zoomScalePageLayoutView="0" workbookViewId="0" topLeftCell="A13">
      <selection activeCell="D20" sqref="D20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3" width="35.421875" style="1" bestFit="1" customWidth="1"/>
    <col min="4" max="4" width="15.140625" style="1" customWidth="1"/>
    <col min="5" max="9" width="9.8515625" style="1" customWidth="1"/>
    <col min="10" max="10" width="7.28125" style="1" customWidth="1"/>
    <col min="11" max="11" width="15.57421875" style="25" customWidth="1"/>
    <col min="12" max="16384" width="6.8515625" style="1" customWidth="1"/>
  </cols>
  <sheetData>
    <row r="1" spans="1:11" ht="13.5" customHeight="1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</row>
    <row r="2" spans="1:11" ht="15" customHeight="1">
      <c r="A2" s="353" t="s">
        <v>144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</row>
    <row r="3" spans="1:11" ht="15" customHeight="1">
      <c r="A3" s="362">
        <f>'B.F. 05'!A5:K5</f>
        <v>43344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11" ht="19.5" customHeight="1">
      <c r="A4" s="356" t="s">
        <v>3</v>
      </c>
      <c r="B4" s="357"/>
      <c r="C4" s="357"/>
      <c r="D4" s="357"/>
      <c r="E4" s="356" t="s">
        <v>4</v>
      </c>
      <c r="F4" s="357"/>
      <c r="G4" s="357"/>
      <c r="H4" s="357"/>
      <c r="I4" s="357"/>
      <c r="J4" s="357"/>
      <c r="K4" s="358"/>
    </row>
    <row r="5" spans="1:11" ht="19.5" customHeight="1">
      <c r="A5" s="359" t="s">
        <v>5</v>
      </c>
      <c r="B5" s="336"/>
      <c r="C5" s="336"/>
      <c r="D5" s="5" t="s">
        <v>6</v>
      </c>
      <c r="E5" s="359" t="s">
        <v>5</v>
      </c>
      <c r="F5" s="336"/>
      <c r="G5" s="336"/>
      <c r="H5" s="336"/>
      <c r="I5" s="336"/>
      <c r="J5" s="337"/>
      <c r="K5" s="5" t="s">
        <v>6</v>
      </c>
    </row>
    <row r="6" spans="1:11" ht="13.5" customHeight="1">
      <c r="A6" s="335" t="s">
        <v>7</v>
      </c>
      <c r="B6" s="339"/>
      <c r="C6" s="339"/>
      <c r="D6" s="14">
        <f>SUBTOTAL(9,D7:D18)</f>
        <v>0</v>
      </c>
      <c r="E6" s="335" t="s">
        <v>8</v>
      </c>
      <c r="F6" s="339"/>
      <c r="G6" s="339"/>
      <c r="H6" s="339"/>
      <c r="I6" s="339"/>
      <c r="J6" s="337"/>
      <c r="K6" s="14">
        <f>SUBTOTAL(9,K7:K18)</f>
        <v>86589.4</v>
      </c>
    </row>
    <row r="7" spans="1:11" ht="13.5" customHeight="1">
      <c r="A7" s="340" t="s">
        <v>9</v>
      </c>
      <c r="B7" s="348"/>
      <c r="C7" s="348"/>
      <c r="D7" s="11">
        <f>SUBTOTAL(9,D8:D10)</f>
        <v>0</v>
      </c>
      <c r="E7" s="340" t="s">
        <v>9</v>
      </c>
      <c r="F7" s="348"/>
      <c r="G7" s="348"/>
      <c r="H7" s="348"/>
      <c r="I7" s="348"/>
      <c r="J7" s="342"/>
      <c r="K7" s="12">
        <f>SUBTOTAL(9,K8:K10)</f>
        <v>86589.4</v>
      </c>
    </row>
    <row r="8" spans="1:11" ht="13.5" customHeight="1">
      <c r="A8" s="349" t="s">
        <v>10</v>
      </c>
      <c r="B8" s="352"/>
      <c r="C8" s="352"/>
      <c r="D8" s="11"/>
      <c r="E8" s="349" t="s">
        <v>10</v>
      </c>
      <c r="F8" s="352"/>
      <c r="G8" s="352"/>
      <c r="H8" s="352"/>
      <c r="I8" s="352"/>
      <c r="J8" s="351"/>
      <c r="K8" s="158">
        <f>HLOOKUP($A$3,DADOS!1:156,75,0)</f>
        <v>86589.4</v>
      </c>
    </row>
    <row r="9" spans="1:11" ht="13.5" customHeight="1">
      <c r="A9" s="349" t="s">
        <v>11</v>
      </c>
      <c r="B9" s="350"/>
      <c r="C9" s="350"/>
      <c r="D9" s="11"/>
      <c r="E9" s="349" t="s">
        <v>11</v>
      </c>
      <c r="F9" s="350"/>
      <c r="G9" s="350"/>
      <c r="H9" s="350"/>
      <c r="I9" s="350"/>
      <c r="J9" s="351"/>
      <c r="K9" s="11"/>
    </row>
    <row r="10" spans="1:11" ht="13.5" customHeight="1">
      <c r="A10" s="349" t="s">
        <v>12</v>
      </c>
      <c r="B10" s="350"/>
      <c r="C10" s="350"/>
      <c r="D10" s="11"/>
      <c r="E10" s="349" t="s">
        <v>12</v>
      </c>
      <c r="F10" s="350"/>
      <c r="G10" s="350"/>
      <c r="H10" s="350"/>
      <c r="I10" s="350"/>
      <c r="J10" s="351"/>
      <c r="K10" s="11"/>
    </row>
    <row r="11" spans="1:11" ht="13.5" customHeight="1">
      <c r="A11" s="329" t="s">
        <v>13</v>
      </c>
      <c r="B11" s="343"/>
      <c r="C11" s="343"/>
      <c r="D11" s="11"/>
      <c r="E11" s="329" t="s">
        <v>13</v>
      </c>
      <c r="F11" s="343"/>
      <c r="G11" s="343"/>
      <c r="H11" s="343"/>
      <c r="I11" s="343"/>
      <c r="J11" s="331"/>
      <c r="K11" s="11"/>
    </row>
    <row r="12" spans="1:11" ht="13.5" customHeight="1">
      <c r="A12" s="349" t="s">
        <v>14</v>
      </c>
      <c r="B12" s="352"/>
      <c r="C12" s="352"/>
      <c r="D12" s="11"/>
      <c r="E12" s="349" t="s">
        <v>14</v>
      </c>
      <c r="F12" s="352"/>
      <c r="G12" s="352"/>
      <c r="H12" s="352"/>
      <c r="I12" s="352"/>
      <c r="J12" s="351"/>
      <c r="K12" s="11"/>
    </row>
    <row r="13" spans="1:11" ht="13.5" customHeight="1">
      <c r="A13" s="349" t="s">
        <v>15</v>
      </c>
      <c r="B13" s="350"/>
      <c r="C13" s="350"/>
      <c r="D13" s="11"/>
      <c r="E13" s="349" t="s">
        <v>15</v>
      </c>
      <c r="F13" s="350"/>
      <c r="G13" s="350"/>
      <c r="H13" s="350"/>
      <c r="I13" s="350"/>
      <c r="J13" s="351"/>
      <c r="K13" s="11"/>
    </row>
    <row r="14" spans="1:11" ht="13.5" customHeight="1">
      <c r="A14" s="349" t="s">
        <v>16</v>
      </c>
      <c r="B14" s="350"/>
      <c r="C14" s="350"/>
      <c r="D14" s="11"/>
      <c r="E14" s="349" t="s">
        <v>16</v>
      </c>
      <c r="F14" s="350"/>
      <c r="G14" s="350"/>
      <c r="H14" s="350"/>
      <c r="I14" s="350"/>
      <c r="J14" s="351"/>
      <c r="K14" s="11"/>
    </row>
    <row r="15" spans="1:11" ht="13.5" customHeight="1">
      <c r="A15" s="349" t="s">
        <v>17</v>
      </c>
      <c r="B15" s="350"/>
      <c r="C15" s="350"/>
      <c r="D15" s="11"/>
      <c r="E15" s="349" t="s">
        <v>17</v>
      </c>
      <c r="F15" s="350"/>
      <c r="G15" s="350"/>
      <c r="H15" s="350"/>
      <c r="I15" s="350"/>
      <c r="J15" s="351"/>
      <c r="K15" s="11"/>
    </row>
    <row r="16" spans="1:11" ht="13.5" customHeight="1">
      <c r="A16" s="349" t="s">
        <v>18</v>
      </c>
      <c r="B16" s="350"/>
      <c r="C16" s="350"/>
      <c r="D16" s="11"/>
      <c r="E16" s="349" t="s">
        <v>18</v>
      </c>
      <c r="F16" s="350"/>
      <c r="G16" s="350"/>
      <c r="H16" s="350"/>
      <c r="I16" s="350"/>
      <c r="J16" s="351"/>
      <c r="K16" s="11"/>
    </row>
    <row r="17" spans="1:11" ht="13.5" customHeight="1">
      <c r="A17" s="349" t="s">
        <v>19</v>
      </c>
      <c r="B17" s="350"/>
      <c r="C17" s="350"/>
      <c r="D17" s="11"/>
      <c r="E17" s="349" t="s">
        <v>19</v>
      </c>
      <c r="F17" s="350"/>
      <c r="G17" s="350"/>
      <c r="H17" s="350"/>
      <c r="I17" s="350"/>
      <c r="J17" s="351"/>
      <c r="K17" s="11"/>
    </row>
    <row r="18" spans="1:11" ht="13.5" customHeight="1">
      <c r="A18" s="345" t="s">
        <v>20</v>
      </c>
      <c r="B18" s="346"/>
      <c r="C18" s="346"/>
      <c r="D18" s="11"/>
      <c r="E18" s="345" t="s">
        <v>20</v>
      </c>
      <c r="F18" s="346"/>
      <c r="G18" s="346"/>
      <c r="H18" s="346"/>
      <c r="I18" s="346"/>
      <c r="J18" s="347"/>
      <c r="K18" s="11"/>
    </row>
    <row r="19" spans="1:11" ht="13.5" customHeight="1">
      <c r="A19" s="335" t="s">
        <v>21</v>
      </c>
      <c r="B19" s="339"/>
      <c r="C19" s="339"/>
      <c r="D19" s="14">
        <f>SUBTOTAL(9,D20:D23)</f>
        <v>188099.71999999997</v>
      </c>
      <c r="E19" s="335" t="s">
        <v>22</v>
      </c>
      <c r="F19" s="339"/>
      <c r="G19" s="339"/>
      <c r="H19" s="339"/>
      <c r="I19" s="339"/>
      <c r="J19" s="337"/>
      <c r="K19" s="14">
        <f>SUBTOTAL(9,K20:K23)</f>
        <v>0</v>
      </c>
    </row>
    <row r="20" spans="1:11" ht="13.5" customHeight="1">
      <c r="A20" s="340" t="s">
        <v>23</v>
      </c>
      <c r="B20" s="341"/>
      <c r="C20" s="341"/>
      <c r="D20" s="158">
        <f>HLOOKUP($A$3,DADOS!1:155,76,0)+HLOOKUP($A$3,DADOS!1:155,101,0)+HLOOKUP($A$3,DADOS!1:155,102,0)</f>
        <v>188099.71999999997</v>
      </c>
      <c r="E20" s="340" t="s">
        <v>23</v>
      </c>
      <c r="F20" s="348"/>
      <c r="G20" s="348"/>
      <c r="H20" s="348"/>
      <c r="I20" s="348"/>
      <c r="J20" s="342"/>
      <c r="K20" s="11"/>
    </row>
    <row r="21" spans="1:11" ht="13.5" customHeight="1">
      <c r="A21" s="329" t="s">
        <v>24</v>
      </c>
      <c r="B21" s="343"/>
      <c r="C21" s="343"/>
      <c r="D21" s="11"/>
      <c r="E21" s="329" t="s">
        <v>24</v>
      </c>
      <c r="F21" s="343"/>
      <c r="G21" s="343"/>
      <c r="H21" s="343"/>
      <c r="I21" s="343"/>
      <c r="J21" s="331"/>
      <c r="K21" s="11"/>
    </row>
    <row r="22" spans="1:11" ht="13.5" customHeight="1">
      <c r="A22" s="329" t="s">
        <v>25</v>
      </c>
      <c r="B22" s="343"/>
      <c r="C22" s="343"/>
      <c r="D22" s="11"/>
      <c r="E22" s="329" t="s">
        <v>25</v>
      </c>
      <c r="F22" s="343"/>
      <c r="G22" s="343"/>
      <c r="H22" s="343"/>
      <c r="I22" s="343"/>
      <c r="J22" s="331"/>
      <c r="K22" s="11"/>
    </row>
    <row r="23" spans="1:11" ht="13.5" customHeight="1">
      <c r="A23" s="332" t="s">
        <v>26</v>
      </c>
      <c r="B23" s="344"/>
      <c r="C23" s="344"/>
      <c r="D23" s="11"/>
      <c r="E23" s="332" t="s">
        <v>26</v>
      </c>
      <c r="F23" s="333"/>
      <c r="G23" s="333"/>
      <c r="H23" s="333"/>
      <c r="I23" s="333"/>
      <c r="J23" s="338"/>
      <c r="K23" s="11"/>
    </row>
    <row r="24" spans="1:11" ht="13.5" customHeight="1">
      <c r="A24" s="335" t="s">
        <v>27</v>
      </c>
      <c r="B24" s="339"/>
      <c r="C24" s="339"/>
      <c r="D24" s="14">
        <f>SUBTOTAL(9,D25:D30)</f>
        <v>69423.09</v>
      </c>
      <c r="E24" s="335" t="s">
        <v>28</v>
      </c>
      <c r="F24" s="339"/>
      <c r="G24" s="339"/>
      <c r="H24" s="339"/>
      <c r="I24" s="339"/>
      <c r="J24" s="337"/>
      <c r="K24" s="14">
        <f>SUBTOTAL(9,K25:K30)</f>
        <v>170933.40999999997</v>
      </c>
    </row>
    <row r="25" spans="1:11" ht="13.5" customHeight="1">
      <c r="A25" s="340" t="s">
        <v>29</v>
      </c>
      <c r="B25" s="341"/>
      <c r="C25" s="341"/>
      <c r="D25" s="92">
        <f>HLOOKUP($A$3,DADOS!1:156,79,0)</f>
        <v>69423.09</v>
      </c>
      <c r="E25" s="340" t="s">
        <v>30</v>
      </c>
      <c r="F25" s="341"/>
      <c r="G25" s="341"/>
      <c r="H25" s="341"/>
      <c r="I25" s="341"/>
      <c r="J25" s="342"/>
      <c r="K25" s="92">
        <f>HLOOKUP($A$3,DADOS!1:156,101,0)</f>
        <v>153175.99</v>
      </c>
    </row>
    <row r="26" spans="1:11" ht="13.5" customHeight="1">
      <c r="A26" s="329" t="s">
        <v>31</v>
      </c>
      <c r="B26" s="330"/>
      <c r="C26" s="330"/>
      <c r="D26" s="11"/>
      <c r="E26" s="329" t="s">
        <v>32</v>
      </c>
      <c r="F26" s="330"/>
      <c r="G26" s="330"/>
      <c r="H26" s="330"/>
      <c r="I26" s="330"/>
      <c r="J26" s="331"/>
      <c r="K26" s="11"/>
    </row>
    <row r="27" spans="1:11" ht="13.5" customHeight="1">
      <c r="A27" s="329" t="s">
        <v>33</v>
      </c>
      <c r="B27" s="343"/>
      <c r="C27" s="343"/>
      <c r="D27" s="92">
        <f>HLOOKUP($A$3,DADOS!1:156,77,0)-HLOOKUP($A$3,DADOS!1:156,78,0)</f>
        <v>0</v>
      </c>
      <c r="E27" s="329" t="s">
        <v>34</v>
      </c>
      <c r="F27" s="343"/>
      <c r="G27" s="343"/>
      <c r="H27" s="343"/>
      <c r="I27" s="343"/>
      <c r="J27" s="331"/>
      <c r="K27" s="92">
        <f>HLOOKUP($A$3,DADOS!1:156,102,0)</f>
        <v>17757.42</v>
      </c>
    </row>
    <row r="28" spans="1:11" ht="13.5" customHeight="1">
      <c r="A28" s="329" t="s">
        <v>35</v>
      </c>
      <c r="B28" s="343"/>
      <c r="C28" s="343"/>
      <c r="D28" s="11"/>
      <c r="E28" s="329" t="s">
        <v>36</v>
      </c>
      <c r="F28" s="343"/>
      <c r="G28" s="343"/>
      <c r="H28" s="343"/>
      <c r="I28" s="343"/>
      <c r="J28" s="331"/>
      <c r="K28" s="11"/>
    </row>
    <row r="29" spans="1:11" ht="13.5" customHeight="1">
      <c r="A29" s="329" t="s">
        <v>37</v>
      </c>
      <c r="B29" s="343"/>
      <c r="C29" s="343"/>
      <c r="D29" s="11"/>
      <c r="E29" s="329" t="s">
        <v>37</v>
      </c>
      <c r="F29" s="343"/>
      <c r="G29" s="343"/>
      <c r="H29" s="343"/>
      <c r="I29" s="343"/>
      <c r="J29" s="331"/>
      <c r="K29" s="11"/>
    </row>
    <row r="30" spans="1:11" ht="13.5" customHeight="1">
      <c r="A30" s="332" t="s">
        <v>38</v>
      </c>
      <c r="B30" s="333"/>
      <c r="C30" s="333"/>
      <c r="D30" s="92">
        <f>HLOOKUP($A$3,DADOS!1:156,78,0)</f>
        <v>0</v>
      </c>
      <c r="E30" s="332" t="s">
        <v>39</v>
      </c>
      <c r="F30" s="333"/>
      <c r="G30" s="333"/>
      <c r="H30" s="333"/>
      <c r="I30" s="333"/>
      <c r="J30" s="338"/>
      <c r="K30" s="83"/>
    </row>
    <row r="31" spans="1:11" ht="13.5" customHeight="1">
      <c r="A31" s="335" t="s">
        <v>40</v>
      </c>
      <c r="B31" s="339"/>
      <c r="C31" s="339"/>
      <c r="D31" s="14">
        <f>SUBTOTAL(9,D33:D34)</f>
        <v>0</v>
      </c>
      <c r="E31" s="335" t="s">
        <v>41</v>
      </c>
      <c r="F31" s="339"/>
      <c r="G31" s="339"/>
      <c r="H31" s="339"/>
      <c r="I31" s="339"/>
      <c r="J31" s="337"/>
      <c r="K31" s="14">
        <f>SUBTOTAL(9,K33:K34)</f>
        <v>0</v>
      </c>
    </row>
    <row r="32" spans="1:11" ht="13.5" customHeight="1">
      <c r="A32" s="340" t="s">
        <v>42</v>
      </c>
      <c r="B32" s="341"/>
      <c r="C32" s="341"/>
      <c r="D32" s="11"/>
      <c r="E32" s="340" t="s">
        <v>42</v>
      </c>
      <c r="F32" s="341"/>
      <c r="G32" s="341"/>
      <c r="H32" s="341"/>
      <c r="I32" s="341"/>
      <c r="J32" s="342"/>
      <c r="K32" s="12"/>
    </row>
    <row r="33" spans="1:11" ht="13.5" customHeight="1">
      <c r="A33" s="329" t="s">
        <v>43</v>
      </c>
      <c r="B33" s="330"/>
      <c r="C33" s="330"/>
      <c r="D33" s="11"/>
      <c r="E33" s="329" t="s">
        <v>43</v>
      </c>
      <c r="F33" s="330"/>
      <c r="G33" s="330"/>
      <c r="H33" s="330"/>
      <c r="I33" s="330"/>
      <c r="J33" s="331"/>
      <c r="K33" s="11"/>
    </row>
    <row r="34" spans="1:11" ht="13.5" customHeight="1">
      <c r="A34" s="332" t="s">
        <v>37</v>
      </c>
      <c r="B34" s="333"/>
      <c r="C34" s="333"/>
      <c r="D34" s="11"/>
      <c r="E34" s="332" t="s">
        <v>37</v>
      </c>
      <c r="F34" s="333"/>
      <c r="G34" s="333"/>
      <c r="H34" s="333"/>
      <c r="I34" s="333"/>
      <c r="J34" s="334"/>
      <c r="K34" s="11"/>
    </row>
    <row r="35" spans="1:11" ht="13.5" customHeight="1">
      <c r="A35" s="335" t="s">
        <v>44</v>
      </c>
      <c r="B35" s="336"/>
      <c r="C35" s="336"/>
      <c r="D35" s="16">
        <f>SUBTOTAL(9,D6:D34)</f>
        <v>257522.80999999997</v>
      </c>
      <c r="E35" s="335" t="s">
        <v>45</v>
      </c>
      <c r="F35" s="336"/>
      <c r="G35" s="336"/>
      <c r="H35" s="336"/>
      <c r="I35" s="336"/>
      <c r="J35" s="337"/>
      <c r="K35" s="16">
        <f>SUBTOTAL(9,K6:K34)</f>
        <v>257522.81</v>
      </c>
    </row>
    <row r="36" spans="1:11" ht="13.5" customHeight="1">
      <c r="A36" s="19" t="s">
        <v>138</v>
      </c>
      <c r="B36" s="20"/>
      <c r="C36" s="20"/>
      <c r="D36" s="141">
        <f>+D35-K35</f>
        <v>0</v>
      </c>
      <c r="E36" s="20"/>
      <c r="F36" s="20"/>
      <c r="G36" s="20"/>
      <c r="H36" s="21"/>
      <c r="I36" s="21"/>
      <c r="J36" s="21"/>
      <c r="K36" s="141">
        <f>+K35-D35</f>
        <v>0</v>
      </c>
    </row>
    <row r="37" spans="1:10" ht="13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1" ht="13.5" customHeight="1">
      <c r="A38" s="19" t="s">
        <v>139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0" ht="13.5" customHeight="1">
      <c r="A39" s="19"/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3.5" customHeight="1">
      <c r="A40" s="19"/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3.5" customHeight="1">
      <c r="A41" s="19"/>
      <c r="B41" s="23"/>
      <c r="C41" s="23"/>
      <c r="D41" s="23"/>
      <c r="E41" s="23"/>
      <c r="F41" s="23"/>
      <c r="G41" s="23"/>
      <c r="H41" s="23"/>
      <c r="I41" s="23"/>
      <c r="J41" s="23"/>
    </row>
    <row r="43" spans="3:10" ht="13.5" customHeight="1">
      <c r="C43" s="84" t="s">
        <v>140</v>
      </c>
      <c r="D43" s="327" t="s">
        <v>140</v>
      </c>
      <c r="E43" s="327"/>
      <c r="F43" s="327"/>
      <c r="G43" s="328" t="s">
        <v>140</v>
      </c>
      <c r="H43" s="328"/>
      <c r="I43" s="328"/>
      <c r="J43" s="328"/>
    </row>
    <row r="44" spans="2:10" ht="13.5" customHeight="1">
      <c r="B44" s="85"/>
      <c r="C44" s="86"/>
      <c r="D44" s="87"/>
      <c r="E44" s="87" t="s">
        <v>141</v>
      </c>
      <c r="F44" s="87"/>
      <c r="G44" s="87"/>
      <c r="H44" s="87" t="s">
        <v>141</v>
      </c>
      <c r="I44" s="87"/>
      <c r="J44" s="87"/>
    </row>
    <row r="45" spans="4:10" ht="13.5" customHeight="1">
      <c r="D45" s="88"/>
      <c r="E45" s="88" t="s">
        <v>142</v>
      </c>
      <c r="F45" s="88"/>
      <c r="G45" s="88"/>
      <c r="H45" s="88" t="s">
        <v>142</v>
      </c>
      <c r="I45" s="88"/>
      <c r="J45" s="88"/>
    </row>
  </sheetData>
  <sheetProtection/>
  <mergeCells count="69">
    <mergeCell ref="A1:K1"/>
    <mergeCell ref="A2:K2"/>
    <mergeCell ref="A3:K3"/>
    <mergeCell ref="A4:D4"/>
    <mergeCell ref="E4:K4"/>
    <mergeCell ref="A5:C5"/>
    <mergeCell ref="E5:J5"/>
    <mergeCell ref="A6:C6"/>
    <mergeCell ref="E6:J6"/>
    <mergeCell ref="A7:C7"/>
    <mergeCell ref="E7:J7"/>
    <mergeCell ref="A8:C8"/>
    <mergeCell ref="E8:J8"/>
    <mergeCell ref="A9:C9"/>
    <mergeCell ref="E9:J9"/>
    <mergeCell ref="A10:C10"/>
    <mergeCell ref="E10:J10"/>
    <mergeCell ref="A11:C11"/>
    <mergeCell ref="E11:J11"/>
    <mergeCell ref="A12:C12"/>
    <mergeCell ref="E12:J12"/>
    <mergeCell ref="A13:C13"/>
    <mergeCell ref="E13:J13"/>
    <mergeCell ref="A14:C14"/>
    <mergeCell ref="E14:J14"/>
    <mergeCell ref="A15:C15"/>
    <mergeCell ref="E15:J15"/>
    <mergeCell ref="A16:C16"/>
    <mergeCell ref="E16:J16"/>
    <mergeCell ref="A17:C17"/>
    <mergeCell ref="E17:J17"/>
    <mergeCell ref="A18:C18"/>
    <mergeCell ref="E18:J18"/>
    <mergeCell ref="A19:C19"/>
    <mergeCell ref="E19:J19"/>
    <mergeCell ref="A20:C20"/>
    <mergeCell ref="E20:J20"/>
    <mergeCell ref="A21:C21"/>
    <mergeCell ref="E21:J21"/>
    <mergeCell ref="A22:C22"/>
    <mergeCell ref="E22:J22"/>
    <mergeCell ref="A23:C23"/>
    <mergeCell ref="E23:J23"/>
    <mergeCell ref="A24:C24"/>
    <mergeCell ref="E24:J24"/>
    <mergeCell ref="A25:C25"/>
    <mergeCell ref="E25:J25"/>
    <mergeCell ref="A26:C26"/>
    <mergeCell ref="E26:J26"/>
    <mergeCell ref="A27:C27"/>
    <mergeCell ref="E27:J27"/>
    <mergeCell ref="A28:C28"/>
    <mergeCell ref="E28:J28"/>
    <mergeCell ref="A29:C29"/>
    <mergeCell ref="E29:J29"/>
    <mergeCell ref="A30:C30"/>
    <mergeCell ref="E30:J30"/>
    <mergeCell ref="A31:C31"/>
    <mergeCell ref="E31:J31"/>
    <mergeCell ref="A32:C32"/>
    <mergeCell ref="E32:J32"/>
    <mergeCell ref="A33:C33"/>
    <mergeCell ref="E33:J33"/>
    <mergeCell ref="A34:C34"/>
    <mergeCell ref="E34:J34"/>
    <mergeCell ref="G43:J43"/>
    <mergeCell ref="D43:F43"/>
    <mergeCell ref="A35:C35"/>
    <mergeCell ref="E35:J35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tabColor indexed="42"/>
  </sheetPr>
  <dimension ref="A1:IU68"/>
  <sheetViews>
    <sheetView showGridLines="0" tabSelected="1" showOutlineSymbols="0" zoomScale="120" zoomScaleNormal="120" zoomScalePageLayoutView="0" workbookViewId="0" topLeftCell="A1">
      <selection activeCell="A36" sqref="A36:M36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5" width="7.28125" style="1" customWidth="1"/>
    <col min="6" max="6" width="10.8515625" style="1" customWidth="1"/>
    <col min="7" max="8" width="16.7109375" style="1" customWidth="1"/>
    <col min="9" max="10" width="9.8515625" style="1" customWidth="1"/>
    <col min="11" max="11" width="15.57421875" style="1" customWidth="1"/>
    <col min="12" max="12" width="9.8515625" style="1" customWidth="1"/>
    <col min="13" max="13" width="10.8515625" style="1" customWidth="1"/>
    <col min="14" max="14" width="16.7109375" style="25" customWidth="1"/>
    <col min="15" max="15" width="16.7109375" style="1" customWidth="1"/>
    <col min="16" max="16" width="14.28125" style="1" bestFit="1" customWidth="1"/>
    <col min="17" max="17" width="9.00390625" style="1" bestFit="1" customWidth="1"/>
    <col min="18" max="18" width="12.57421875" style="1" customWidth="1"/>
    <col min="19" max="16384" width="6.8515625" style="1" customWidth="1"/>
  </cols>
  <sheetData>
    <row r="1" spans="1:15" ht="21.75" customHeight="1">
      <c r="A1" s="405" t="s">
        <v>208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</row>
    <row r="2" spans="1:16" ht="15" customHeight="1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2"/>
    </row>
    <row r="3" spans="1:15" ht="18" customHeight="1">
      <c r="A3" s="407" t="s">
        <v>283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5" ht="12" customHeigh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10"/>
      <c r="O4" s="4" t="s">
        <v>2</v>
      </c>
    </row>
    <row r="5" spans="1:16" ht="19.5" customHeight="1">
      <c r="A5" s="388" t="s">
        <v>3</v>
      </c>
      <c r="B5" s="389"/>
      <c r="C5" s="389"/>
      <c r="D5" s="389"/>
      <c r="E5" s="389"/>
      <c r="F5" s="389"/>
      <c r="G5" s="389"/>
      <c r="H5" s="274"/>
      <c r="I5" s="388" t="s">
        <v>4</v>
      </c>
      <c r="J5" s="389"/>
      <c r="K5" s="389"/>
      <c r="L5" s="389"/>
      <c r="M5" s="389"/>
      <c r="N5" s="390"/>
      <c r="O5" s="196"/>
      <c r="P5" s="2"/>
    </row>
    <row r="6" spans="1:15" ht="19.5" customHeight="1">
      <c r="A6" s="395" t="s">
        <v>5</v>
      </c>
      <c r="B6" s="396"/>
      <c r="C6" s="396"/>
      <c r="D6" s="396"/>
      <c r="E6" s="396"/>
      <c r="F6" s="397"/>
      <c r="G6" s="275" t="s">
        <v>6</v>
      </c>
      <c r="H6" s="273" t="s">
        <v>192</v>
      </c>
      <c r="I6" s="392" t="s">
        <v>5</v>
      </c>
      <c r="J6" s="393"/>
      <c r="K6" s="393"/>
      <c r="L6" s="393"/>
      <c r="M6" s="394"/>
      <c r="N6" s="275" t="s">
        <v>6</v>
      </c>
      <c r="O6" s="197" t="s">
        <v>192</v>
      </c>
    </row>
    <row r="7" spans="1:16" ht="15.75" customHeight="1">
      <c r="A7" s="379" t="s">
        <v>7</v>
      </c>
      <c r="B7" s="380"/>
      <c r="C7" s="380"/>
      <c r="D7" s="380"/>
      <c r="E7" s="380"/>
      <c r="F7" s="381"/>
      <c r="G7" s="276">
        <f>SUBTOTAL(9,G8:G19)</f>
        <v>21612429.609999996</v>
      </c>
      <c r="H7" s="276">
        <f>SUBTOTAL(9,H8:H19)</f>
        <v>65679363.76</v>
      </c>
      <c r="I7" s="379" t="s">
        <v>8</v>
      </c>
      <c r="J7" s="380"/>
      <c r="K7" s="380"/>
      <c r="L7" s="380"/>
      <c r="M7" s="381"/>
      <c r="N7" s="276">
        <f>SUBTOTAL(9,N8:N19)</f>
        <v>53719816.07</v>
      </c>
      <c r="O7" s="183">
        <f>SUBTOTAL(9,O8:O19)</f>
        <v>63889476.26</v>
      </c>
      <c r="P7" s="8"/>
    </row>
    <row r="8" spans="1:15" ht="13.5" customHeight="1">
      <c r="A8" s="375" t="s">
        <v>9</v>
      </c>
      <c r="B8" s="376"/>
      <c r="C8" s="377"/>
      <c r="D8" s="377"/>
      <c r="E8" s="377"/>
      <c r="F8" s="378"/>
      <c r="G8" s="277">
        <f>SUBTOTAL(9,G9:G11)</f>
        <v>2951853.74</v>
      </c>
      <c r="H8" s="276">
        <f>SUBTOTAL(9,H9:H11)</f>
        <v>15480496.12</v>
      </c>
      <c r="I8" s="375" t="s">
        <v>9</v>
      </c>
      <c r="J8" s="377"/>
      <c r="K8" s="377"/>
      <c r="L8" s="377"/>
      <c r="M8" s="376"/>
      <c r="N8" s="277">
        <f>SUBTOTAL(9,N9:N11)</f>
        <v>86589.4</v>
      </c>
      <c r="O8" s="182">
        <f>SUBTOTAL(9,O9:O11)</f>
        <v>1354534.18</v>
      </c>
    </row>
    <row r="9" spans="1:16" ht="13.5" customHeight="1">
      <c r="A9" s="384" t="s">
        <v>10</v>
      </c>
      <c r="B9" s="385"/>
      <c r="C9" s="391"/>
      <c r="D9" s="391"/>
      <c r="E9" s="391"/>
      <c r="F9" s="387"/>
      <c r="G9" s="278">
        <f>+'B.F. 00'!D8+'B.F. 05'!D10</f>
        <v>2951853.74</v>
      </c>
      <c r="H9" s="279">
        <v>15480496.12</v>
      </c>
      <c r="I9" s="384" t="s">
        <v>10</v>
      </c>
      <c r="J9" s="386"/>
      <c r="K9" s="386"/>
      <c r="L9" s="386"/>
      <c r="M9" s="385"/>
      <c r="N9" s="278">
        <f>+'B.F. 00'!K8+'B.F. 05'!K10</f>
        <v>86589.4</v>
      </c>
      <c r="O9" s="235">
        <v>1354534.18</v>
      </c>
      <c r="P9" s="2"/>
    </row>
    <row r="10" spans="1:15" ht="13.5" customHeight="1">
      <c r="A10" s="384" t="s">
        <v>11</v>
      </c>
      <c r="B10" s="385"/>
      <c r="C10" s="386"/>
      <c r="D10" s="386"/>
      <c r="E10" s="386"/>
      <c r="F10" s="387"/>
      <c r="G10" s="278">
        <f>+'B.F. 00'!D9+'B.F. 05'!D11</f>
        <v>0</v>
      </c>
      <c r="H10" s="279"/>
      <c r="I10" s="384" t="s">
        <v>11</v>
      </c>
      <c r="J10" s="386"/>
      <c r="K10" s="386"/>
      <c r="L10" s="386"/>
      <c r="M10" s="385"/>
      <c r="N10" s="278">
        <f>+'B.F. 00'!K9+'B.F. 05'!K11</f>
        <v>0</v>
      </c>
      <c r="O10" s="236"/>
    </row>
    <row r="11" spans="1:16" ht="13.5" customHeight="1">
      <c r="A11" s="384" t="s">
        <v>12</v>
      </c>
      <c r="B11" s="385"/>
      <c r="C11" s="386"/>
      <c r="D11" s="386"/>
      <c r="E11" s="386"/>
      <c r="F11" s="387"/>
      <c r="G11" s="278">
        <f>+'B.F. 00'!D10+'B.F. 05'!D12</f>
        <v>0</v>
      </c>
      <c r="H11" s="279"/>
      <c r="I11" s="384" t="s">
        <v>12</v>
      </c>
      <c r="J11" s="386"/>
      <c r="K11" s="386"/>
      <c r="L11" s="386"/>
      <c r="M11" s="385"/>
      <c r="N11" s="278">
        <f>+'B.F. 00'!K10+'B.F. 05'!K12</f>
        <v>0</v>
      </c>
      <c r="O11" s="236"/>
      <c r="P11" s="7"/>
    </row>
    <row r="12" spans="1:16" ht="13.5" customHeight="1">
      <c r="A12" s="364" t="s">
        <v>13</v>
      </c>
      <c r="B12" s="365"/>
      <c r="C12" s="366"/>
      <c r="D12" s="366"/>
      <c r="E12" s="366"/>
      <c r="F12" s="367"/>
      <c r="G12" s="280">
        <f>SUBTOTAL(9,G13:G19)</f>
        <v>18660575.869999997</v>
      </c>
      <c r="H12" s="281">
        <f>SUBTOTAL(9,H13:H19)</f>
        <v>50198867.64</v>
      </c>
      <c r="I12" s="364" t="s">
        <v>13</v>
      </c>
      <c r="J12" s="366"/>
      <c r="K12" s="366"/>
      <c r="L12" s="366"/>
      <c r="M12" s="365"/>
      <c r="N12" s="280">
        <f>SUBTOTAL(9,N13:N19)</f>
        <v>53633226.67</v>
      </c>
      <c r="O12" s="233">
        <f>SUBTOTAL(9,O13:O19)</f>
        <v>62534942.08</v>
      </c>
      <c r="P12" s="2"/>
    </row>
    <row r="13" spans="1:15" ht="13.5" customHeight="1">
      <c r="A13" s="384" t="s">
        <v>14</v>
      </c>
      <c r="B13" s="385"/>
      <c r="C13" s="386"/>
      <c r="D13" s="386"/>
      <c r="E13" s="386"/>
      <c r="F13" s="387"/>
      <c r="G13" s="278">
        <f>+'B.F. 00'!D12+'B.F. 05'!D14</f>
        <v>0</v>
      </c>
      <c r="H13" s="279"/>
      <c r="I13" s="384" t="s">
        <v>14</v>
      </c>
      <c r="J13" s="386"/>
      <c r="K13" s="386"/>
      <c r="L13" s="386"/>
      <c r="M13" s="385"/>
      <c r="N13" s="278">
        <f>+'B.F. 00'!K12+'B.F. 05'!K14</f>
        <v>0</v>
      </c>
      <c r="O13" s="236"/>
    </row>
    <row r="14" spans="1:15" ht="13.5" customHeight="1">
      <c r="A14" s="384" t="s">
        <v>15</v>
      </c>
      <c r="B14" s="385"/>
      <c r="C14" s="386"/>
      <c r="D14" s="386"/>
      <c r="E14" s="386"/>
      <c r="F14" s="387"/>
      <c r="G14" s="278">
        <f>+'B.F. 00'!D13+'B.F. 05'!D15</f>
        <v>0</v>
      </c>
      <c r="H14" s="279"/>
      <c r="I14" s="384" t="s">
        <v>15</v>
      </c>
      <c r="J14" s="386"/>
      <c r="K14" s="386"/>
      <c r="L14" s="386"/>
      <c r="M14" s="385"/>
      <c r="N14" s="278">
        <f>+'B.F. 00'!K13+'B.F. 05'!K15</f>
        <v>0</v>
      </c>
      <c r="O14" s="236"/>
    </row>
    <row r="15" spans="1:15" ht="13.5" customHeight="1">
      <c r="A15" s="384" t="s">
        <v>16</v>
      </c>
      <c r="B15" s="385"/>
      <c r="C15" s="386"/>
      <c r="D15" s="386"/>
      <c r="E15" s="386"/>
      <c r="F15" s="387"/>
      <c r="G15" s="278">
        <f>+'B.F. 00'!D14+'B.F. 05'!D16</f>
        <v>0</v>
      </c>
      <c r="H15" s="279"/>
      <c r="I15" s="384" t="s">
        <v>16</v>
      </c>
      <c r="J15" s="386"/>
      <c r="K15" s="386"/>
      <c r="L15" s="386"/>
      <c r="M15" s="385"/>
      <c r="N15" s="278">
        <f>+'B.F. 00'!K14+'B.F. 05'!K16</f>
        <v>0</v>
      </c>
      <c r="O15" s="236"/>
    </row>
    <row r="16" spans="1:15" ht="13.5" customHeight="1">
      <c r="A16" s="384" t="s">
        <v>17</v>
      </c>
      <c r="B16" s="385"/>
      <c r="C16" s="386"/>
      <c r="D16" s="386"/>
      <c r="E16" s="386"/>
      <c r="F16" s="387"/>
      <c r="G16" s="278">
        <f>+'B.F. 00'!D15+'B.F. 05'!D17</f>
        <v>0</v>
      </c>
      <c r="H16" s="279"/>
      <c r="I16" s="384" t="s">
        <v>17</v>
      </c>
      <c r="J16" s="386"/>
      <c r="K16" s="386"/>
      <c r="L16" s="386"/>
      <c r="M16" s="385"/>
      <c r="N16" s="278">
        <f>+'B.F. 00'!K15+'B.F. 05'!K17</f>
        <v>0</v>
      </c>
      <c r="O16" s="236"/>
    </row>
    <row r="17" spans="1:15" ht="13.5" customHeight="1">
      <c r="A17" s="384" t="s">
        <v>18</v>
      </c>
      <c r="B17" s="385"/>
      <c r="C17" s="386"/>
      <c r="D17" s="386"/>
      <c r="E17" s="386"/>
      <c r="F17" s="387"/>
      <c r="G17" s="278">
        <f>'B.F. 00'!D16+'B.F. 05'!D18</f>
        <v>18659676.109999996</v>
      </c>
      <c r="H17" s="279">
        <v>50191266.83</v>
      </c>
      <c r="I17" s="384" t="s">
        <v>18</v>
      </c>
      <c r="J17" s="386"/>
      <c r="K17" s="386"/>
      <c r="L17" s="386"/>
      <c r="M17" s="385"/>
      <c r="N17" s="278">
        <f>+'B.F. 00'!K16+'B.F. 05'!K18</f>
        <v>53633226.67</v>
      </c>
      <c r="O17" s="235">
        <v>62534942.08</v>
      </c>
    </row>
    <row r="18" spans="1:15" ht="13.5" customHeight="1">
      <c r="A18" s="384" t="s">
        <v>19</v>
      </c>
      <c r="B18" s="385"/>
      <c r="C18" s="386"/>
      <c r="D18" s="386"/>
      <c r="E18" s="386"/>
      <c r="F18" s="387"/>
      <c r="G18" s="278">
        <f>+'B.F. 00'!D17+'B.F. 05'!D19</f>
        <v>0</v>
      </c>
      <c r="H18" s="279"/>
      <c r="I18" s="384" t="s">
        <v>19</v>
      </c>
      <c r="J18" s="386"/>
      <c r="K18" s="386"/>
      <c r="L18" s="386"/>
      <c r="M18" s="385"/>
      <c r="N18" s="278">
        <f>+'B.F. 00'!K17+'B.F. 05'!K19</f>
        <v>0</v>
      </c>
      <c r="O18" s="184">
        <f>+'[1]B.F. 00'!N18+'[1]B.F. 05'!N20</f>
        <v>0</v>
      </c>
    </row>
    <row r="19" spans="1:15" ht="13.5" customHeight="1">
      <c r="A19" s="398" t="s">
        <v>20</v>
      </c>
      <c r="B19" s="399"/>
      <c r="C19" s="400"/>
      <c r="D19" s="400"/>
      <c r="E19" s="400"/>
      <c r="F19" s="401"/>
      <c r="G19" s="282">
        <f>+'B.F. 00'!D18+'B.F. 05'!D20</f>
        <v>899.76</v>
      </c>
      <c r="H19" s="283">
        <v>7600.81</v>
      </c>
      <c r="I19" s="398" t="s">
        <v>20</v>
      </c>
      <c r="J19" s="400"/>
      <c r="K19" s="400"/>
      <c r="L19" s="400"/>
      <c r="M19" s="399"/>
      <c r="N19" s="282">
        <f>+'B.F. 00'!K18+'B.F. 05'!K20</f>
        <v>0</v>
      </c>
      <c r="O19" s="185">
        <f>+'[1]B.F. 00'!N19+'[1]B.F. 05'!N21</f>
        <v>0</v>
      </c>
    </row>
    <row r="20" spans="1:16" ht="15.75" customHeight="1">
      <c r="A20" s="379" t="s">
        <v>21</v>
      </c>
      <c r="B20" s="380"/>
      <c r="C20" s="380"/>
      <c r="D20" s="380"/>
      <c r="E20" s="380"/>
      <c r="F20" s="381"/>
      <c r="G20" s="284">
        <f>SUM(G21:G24)</f>
        <v>188099.71999999997</v>
      </c>
      <c r="H20" s="284">
        <f>SUM(H21:H24)</f>
        <v>816577.35</v>
      </c>
      <c r="I20" s="379" t="s">
        <v>22</v>
      </c>
      <c r="J20" s="380"/>
      <c r="K20" s="380"/>
      <c r="L20" s="380"/>
      <c r="M20" s="381"/>
      <c r="N20" s="285">
        <f>SUM(N21:N24)</f>
        <v>21184481.470000003</v>
      </c>
      <c r="O20" s="183">
        <f>SUM(O21:O24)</f>
        <v>17803983.09</v>
      </c>
      <c r="P20" s="2"/>
    </row>
    <row r="21" spans="1:15" ht="13.5" customHeight="1">
      <c r="A21" s="364" t="s">
        <v>23</v>
      </c>
      <c r="B21" s="365"/>
      <c r="C21" s="366"/>
      <c r="D21" s="366"/>
      <c r="E21" s="366"/>
      <c r="F21" s="367"/>
      <c r="G21" s="278">
        <f>'B.F. 00'!D20+'B.F. 05'!D22</f>
        <v>188099.71999999997</v>
      </c>
      <c r="H21" s="279">
        <v>816577.35</v>
      </c>
      <c r="I21" s="375" t="s">
        <v>23</v>
      </c>
      <c r="J21" s="377"/>
      <c r="K21" s="377"/>
      <c r="L21" s="377"/>
      <c r="M21" s="376"/>
      <c r="N21" s="278">
        <f>+'B.F. 00'!K20+'B.F. 05'!K22</f>
        <v>21184481.470000003</v>
      </c>
      <c r="O21" s="235">
        <v>17803983.09</v>
      </c>
    </row>
    <row r="22" spans="1:15" ht="13.5" customHeight="1">
      <c r="A22" s="364" t="s">
        <v>24</v>
      </c>
      <c r="B22" s="365"/>
      <c r="C22" s="366"/>
      <c r="D22" s="366"/>
      <c r="E22" s="366"/>
      <c r="F22" s="367"/>
      <c r="G22" s="278">
        <f>+'B.F. 00'!D21+'B.F. 05'!D23</f>
        <v>0</v>
      </c>
      <c r="H22" s="279"/>
      <c r="I22" s="364" t="s">
        <v>24</v>
      </c>
      <c r="J22" s="366"/>
      <c r="K22" s="366"/>
      <c r="L22" s="366"/>
      <c r="M22" s="365"/>
      <c r="N22" s="278">
        <f>+'B.F. 00'!K21+'B.F. 05'!K23</f>
        <v>0</v>
      </c>
      <c r="O22" s="184">
        <f>+'[1]B.F. 00'!N22+'[1]B.F. 05'!N24</f>
        <v>0</v>
      </c>
    </row>
    <row r="23" spans="1:15" ht="13.5" customHeight="1">
      <c r="A23" s="364" t="s">
        <v>25</v>
      </c>
      <c r="B23" s="365"/>
      <c r="C23" s="366"/>
      <c r="D23" s="366"/>
      <c r="E23" s="366"/>
      <c r="F23" s="367"/>
      <c r="G23" s="278">
        <f>+'B.F. 00'!D22+'B.F. 05'!D24</f>
        <v>0</v>
      </c>
      <c r="H23" s="279"/>
      <c r="I23" s="364" t="s">
        <v>25</v>
      </c>
      <c r="J23" s="366"/>
      <c r="K23" s="366"/>
      <c r="L23" s="366"/>
      <c r="M23" s="365"/>
      <c r="N23" s="278">
        <f>+'B.F. 00'!K22+'B.F. 05'!K24</f>
        <v>0</v>
      </c>
      <c r="O23" s="184">
        <f>+'[1]B.F. 00'!N23+'[1]B.F. 05'!N25</f>
        <v>0</v>
      </c>
    </row>
    <row r="24" spans="1:15" ht="13.5" customHeight="1">
      <c r="A24" s="364" t="s">
        <v>26</v>
      </c>
      <c r="B24" s="365"/>
      <c r="C24" s="366"/>
      <c r="D24" s="366"/>
      <c r="E24" s="366"/>
      <c r="F24" s="367"/>
      <c r="G24" s="278">
        <f>+'B.F. 00'!D23+'B.F. 05'!D25</f>
        <v>0</v>
      </c>
      <c r="H24" s="279"/>
      <c r="I24" s="370" t="s">
        <v>26</v>
      </c>
      <c r="J24" s="371"/>
      <c r="K24" s="371"/>
      <c r="L24" s="371"/>
      <c r="M24" s="372"/>
      <c r="N24" s="278">
        <f>+'B.F. 00'!K23+'B.F. 05'!K25</f>
        <v>0</v>
      </c>
      <c r="O24" s="184">
        <f>+'[1]B.F. 00'!N24+'[1]B.F. 05'!N26</f>
        <v>0</v>
      </c>
    </row>
    <row r="25" spans="1:15" ht="15.75" customHeight="1">
      <c r="A25" s="379" t="s">
        <v>27</v>
      </c>
      <c r="B25" s="380"/>
      <c r="C25" s="380"/>
      <c r="D25" s="380"/>
      <c r="E25" s="380"/>
      <c r="F25" s="381"/>
      <c r="G25" s="286">
        <f>SUBTOTAL(9,G26:G29)</f>
        <v>22307909.28</v>
      </c>
      <c r="H25" s="285">
        <f>SUBTOTAL(9,H26:H29)</f>
        <v>31931333.89</v>
      </c>
      <c r="I25" s="379" t="s">
        <v>28</v>
      </c>
      <c r="J25" s="380"/>
      <c r="K25" s="380"/>
      <c r="L25" s="380"/>
      <c r="M25" s="381"/>
      <c r="N25" s="286">
        <f>SUBTOTAL(9,N26:N29)</f>
        <v>6207303.200000001</v>
      </c>
      <c r="O25" s="183">
        <f>SUBTOTAL(9,O26:O29)</f>
        <v>31089369.09</v>
      </c>
    </row>
    <row r="26" spans="1:15" ht="13.5" customHeight="1">
      <c r="A26" s="364" t="s">
        <v>244</v>
      </c>
      <c r="B26" s="365"/>
      <c r="C26" s="366"/>
      <c r="D26" s="366"/>
      <c r="E26" s="366"/>
      <c r="F26" s="367"/>
      <c r="G26" s="287">
        <f>+'B.F. 00'!D25+'B.F. 05'!D28</f>
        <v>13959137.64</v>
      </c>
      <c r="H26" s="288">
        <f>670948.49+21099348.39</f>
        <v>21770296.88</v>
      </c>
      <c r="I26" s="375" t="s">
        <v>254</v>
      </c>
      <c r="J26" s="377"/>
      <c r="K26" s="377"/>
      <c r="L26" s="377"/>
      <c r="M26" s="376"/>
      <c r="N26" s="289">
        <f>+'B.F. 00'!K25+'B.F. 05'!K28</f>
        <v>2963865.99</v>
      </c>
      <c r="O26" s="235">
        <f>32649.34+844095.9</f>
        <v>876745.24</v>
      </c>
    </row>
    <row r="27" spans="1:15" ht="13.5" customHeight="1">
      <c r="A27" s="364" t="s">
        <v>245</v>
      </c>
      <c r="B27" s="365"/>
      <c r="C27" s="366"/>
      <c r="D27" s="366"/>
      <c r="E27" s="366"/>
      <c r="F27" s="367"/>
      <c r="G27" s="289">
        <f>+'B.F. 00'!D27+'B.F. 05'!D30</f>
        <v>1268039.66</v>
      </c>
      <c r="H27" s="279">
        <v>261619.63</v>
      </c>
      <c r="I27" s="364" t="s">
        <v>255</v>
      </c>
      <c r="J27" s="366"/>
      <c r="K27" s="366"/>
      <c r="L27" s="366"/>
      <c r="M27" s="365"/>
      <c r="N27" s="289">
        <f>+'B.F. 00'!K27+'B.F. 05'!K30</f>
        <v>334917.26999999996</v>
      </c>
      <c r="O27" s="235">
        <f>100342.32+30415.85</f>
        <v>130758.17000000001</v>
      </c>
    </row>
    <row r="28" spans="1:15" ht="13.5" customHeight="1">
      <c r="A28" s="364" t="s">
        <v>37</v>
      </c>
      <c r="B28" s="365"/>
      <c r="C28" s="366"/>
      <c r="D28" s="366"/>
      <c r="E28" s="366"/>
      <c r="F28" s="367"/>
      <c r="G28" s="278">
        <f>+'B.F. 00'!D29+'B.F. 05'!D31</f>
        <v>0</v>
      </c>
      <c r="H28" s="279"/>
      <c r="I28" s="364" t="s">
        <v>37</v>
      </c>
      <c r="J28" s="366"/>
      <c r="K28" s="366"/>
      <c r="L28" s="366"/>
      <c r="M28" s="365"/>
      <c r="N28" s="278">
        <f>+'B.F. 00'!K29+'B.F. 05'!K31</f>
        <v>0</v>
      </c>
      <c r="O28" s="236"/>
    </row>
    <row r="29" spans="1:15" ht="13.5" customHeight="1">
      <c r="A29" s="364" t="s">
        <v>38</v>
      </c>
      <c r="B29" s="365"/>
      <c r="C29" s="366"/>
      <c r="D29" s="366"/>
      <c r="E29" s="366"/>
      <c r="F29" s="367"/>
      <c r="G29" s="290">
        <f>+'B.F. 00'!D30+'B.F. 05'!D32</f>
        <v>7080731.98</v>
      </c>
      <c r="H29" s="283">
        <v>9899417.38</v>
      </c>
      <c r="I29" s="370" t="s">
        <v>39</v>
      </c>
      <c r="J29" s="371"/>
      <c r="K29" s="371"/>
      <c r="L29" s="371"/>
      <c r="M29" s="372"/>
      <c r="N29" s="278">
        <f>+'B.F. 00'!K30+'B.F. 05'!K32</f>
        <v>2908519.9400000004</v>
      </c>
      <c r="O29" s="235">
        <v>30081865.68</v>
      </c>
    </row>
    <row r="30" spans="1:17" ht="15.75" customHeight="1">
      <c r="A30" s="379" t="s">
        <v>40</v>
      </c>
      <c r="B30" s="380"/>
      <c r="C30" s="380"/>
      <c r="D30" s="380"/>
      <c r="E30" s="380"/>
      <c r="F30" s="381"/>
      <c r="G30" s="286">
        <f>SUBTOTAL(9,G31:G32)</f>
        <v>250461958.19</v>
      </c>
      <c r="H30" s="285">
        <f>SUBTOTAL(9,H31:H32)</f>
        <v>257815249.63</v>
      </c>
      <c r="I30" s="379" t="s">
        <v>41</v>
      </c>
      <c r="J30" s="380"/>
      <c r="K30" s="380"/>
      <c r="L30" s="380"/>
      <c r="M30" s="381"/>
      <c r="N30" s="286">
        <f>SUM(N31:N32)</f>
        <v>213458796.06</v>
      </c>
      <c r="O30" s="183">
        <f>SUM(O31:O32)</f>
        <v>243459696.19</v>
      </c>
      <c r="Q30" s="15"/>
    </row>
    <row r="31" spans="1:15" ht="13.5" customHeight="1">
      <c r="A31" s="364" t="s">
        <v>246</v>
      </c>
      <c r="B31" s="365"/>
      <c r="C31" s="366"/>
      <c r="D31" s="366"/>
      <c r="E31" s="366"/>
      <c r="F31" s="367"/>
      <c r="G31" s="291">
        <f>+'B.F. 05'!D35</f>
        <v>250461958.19</v>
      </c>
      <c r="H31" s="292">
        <v>257815249.63</v>
      </c>
      <c r="I31" s="364" t="s">
        <v>246</v>
      </c>
      <c r="J31" s="366"/>
      <c r="K31" s="366"/>
      <c r="L31" s="366"/>
      <c r="M31" s="365"/>
      <c r="N31" s="293">
        <f>+'B.F. 00'!K33+'B.F. 05'!K35</f>
        <v>213458796.06</v>
      </c>
      <c r="O31" s="211">
        <v>243459696.19</v>
      </c>
    </row>
    <row r="32" spans="1:17" ht="13.5" customHeight="1">
      <c r="A32" s="364" t="s">
        <v>37</v>
      </c>
      <c r="B32" s="365"/>
      <c r="C32" s="366"/>
      <c r="D32" s="366"/>
      <c r="E32" s="366"/>
      <c r="F32" s="367"/>
      <c r="G32" s="294">
        <v>0</v>
      </c>
      <c r="H32" s="295"/>
      <c r="I32" s="370" t="s">
        <v>37</v>
      </c>
      <c r="J32" s="371"/>
      <c r="K32" s="371"/>
      <c r="L32" s="371"/>
      <c r="M32" s="372"/>
      <c r="N32" s="296"/>
      <c r="O32" s="236"/>
      <c r="P32" s="25" t="s">
        <v>259</v>
      </c>
      <c r="Q32" s="25" t="s">
        <v>258</v>
      </c>
    </row>
    <row r="33" spans="1:17" ht="15.75" customHeight="1">
      <c r="A33" s="379" t="s">
        <v>286</v>
      </c>
      <c r="B33" s="380"/>
      <c r="C33" s="382"/>
      <c r="D33" s="382"/>
      <c r="E33" s="382"/>
      <c r="F33" s="383"/>
      <c r="G33" s="297">
        <f>G7+G20+G25+G30</f>
        <v>294570396.8</v>
      </c>
      <c r="H33" s="298">
        <f>H7+H20+H25+H30</f>
        <v>356242524.63</v>
      </c>
      <c r="I33" s="379" t="s">
        <v>287</v>
      </c>
      <c r="J33" s="380"/>
      <c r="K33" s="380"/>
      <c r="L33" s="380"/>
      <c r="M33" s="381"/>
      <c r="N33" s="297">
        <f>N7+N20+N25+N30</f>
        <v>294570396.8</v>
      </c>
      <c r="O33" s="234">
        <f>O7+O20+O25+O30</f>
        <v>356242524.63</v>
      </c>
      <c r="P33" s="17">
        <f>G33-N33</f>
        <v>0</v>
      </c>
      <c r="Q33" s="153">
        <f>H33-O33</f>
        <v>0</v>
      </c>
    </row>
    <row r="34" spans="1:14" s="125" customFormat="1" ht="13.5" customHeight="1">
      <c r="A34" s="207" t="s">
        <v>46</v>
      </c>
      <c r="B34" s="122"/>
      <c r="C34" s="122"/>
      <c r="D34" s="122"/>
      <c r="E34" s="123"/>
      <c r="F34" s="123"/>
      <c r="G34" s="123"/>
      <c r="H34" s="123"/>
      <c r="I34" s="122"/>
      <c r="J34" s="122"/>
      <c r="K34" s="122"/>
      <c r="L34" s="123"/>
      <c r="M34" s="123"/>
      <c r="N34" s="124"/>
    </row>
    <row r="35" spans="1:14" s="125" customFormat="1" ht="12.75" customHeight="1">
      <c r="A35" s="299" t="s">
        <v>47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7"/>
      <c r="N35" s="127"/>
    </row>
    <row r="36" spans="1:14" s="213" customFormat="1" ht="14.25" customHeight="1">
      <c r="A36" s="369" t="s">
        <v>48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212"/>
    </row>
    <row r="37" spans="1:14" s="213" customFormat="1" ht="12.75" customHeight="1">
      <c r="A37" s="369" t="s">
        <v>236</v>
      </c>
      <c r="B37" s="369"/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212"/>
    </row>
    <row r="38" spans="1:14" s="213" customFormat="1" ht="12" customHeight="1">
      <c r="A38" s="369" t="s">
        <v>269</v>
      </c>
      <c r="B38" s="369"/>
      <c r="C38" s="369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212"/>
    </row>
    <row r="39" spans="1:14" s="213" customFormat="1" ht="12" customHeight="1">
      <c r="A39" s="374" t="s">
        <v>250</v>
      </c>
      <c r="B39" s="374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214"/>
    </row>
    <row r="40" spans="1:16" s="213" customFormat="1" ht="12" customHeight="1">
      <c r="A40" s="373" t="s">
        <v>264</v>
      </c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214"/>
      <c r="N40" s="216"/>
      <c r="P40" s="217"/>
    </row>
    <row r="41" spans="1:255" s="213" customFormat="1" ht="12" customHeight="1">
      <c r="A41" s="404" t="s">
        <v>270</v>
      </c>
      <c r="B41" s="404"/>
      <c r="C41" s="404"/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215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16"/>
      <c r="CM41" s="216"/>
      <c r="CN41" s="216"/>
      <c r="CO41" s="216"/>
      <c r="CP41" s="216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6"/>
      <c r="DB41" s="216"/>
      <c r="DC41" s="216"/>
      <c r="DD41" s="216"/>
      <c r="DE41" s="216"/>
      <c r="DF41" s="216"/>
      <c r="DG41" s="216"/>
      <c r="DH41" s="216"/>
      <c r="DI41" s="216"/>
      <c r="DJ41" s="216"/>
      <c r="DK41" s="216"/>
      <c r="DL41" s="216"/>
      <c r="DM41" s="216"/>
      <c r="DN41" s="216"/>
      <c r="DO41" s="216"/>
      <c r="DP41" s="216"/>
      <c r="DQ41" s="216"/>
      <c r="DR41" s="216"/>
      <c r="DS41" s="216"/>
      <c r="DT41" s="216"/>
      <c r="DU41" s="216"/>
      <c r="DV41" s="216"/>
      <c r="DW41" s="216"/>
      <c r="DX41" s="216"/>
      <c r="DY41" s="216"/>
      <c r="DZ41" s="216"/>
      <c r="EA41" s="216"/>
      <c r="EB41" s="216"/>
      <c r="EC41" s="216"/>
      <c r="ED41" s="216"/>
      <c r="EE41" s="216"/>
      <c r="EF41" s="216"/>
      <c r="EG41" s="216"/>
      <c r="EH41" s="216"/>
      <c r="EI41" s="216"/>
      <c r="EJ41" s="216"/>
      <c r="EK41" s="216"/>
      <c r="EL41" s="216"/>
      <c r="EM41" s="216"/>
      <c r="EN41" s="216"/>
      <c r="EO41" s="216"/>
      <c r="EP41" s="216"/>
      <c r="EQ41" s="216"/>
      <c r="ER41" s="216"/>
      <c r="ES41" s="216"/>
      <c r="ET41" s="216"/>
      <c r="EU41" s="216"/>
      <c r="EV41" s="216"/>
      <c r="EW41" s="216"/>
      <c r="EX41" s="216"/>
      <c r="EY41" s="216"/>
      <c r="EZ41" s="216"/>
      <c r="FA41" s="216"/>
      <c r="FB41" s="216"/>
      <c r="FC41" s="216"/>
      <c r="FD41" s="216"/>
      <c r="FE41" s="216"/>
      <c r="FF41" s="216"/>
      <c r="FG41" s="216"/>
      <c r="FH41" s="216"/>
      <c r="FI41" s="216"/>
      <c r="FJ41" s="216"/>
      <c r="FK41" s="216"/>
      <c r="FL41" s="216"/>
      <c r="FM41" s="216"/>
      <c r="FN41" s="216"/>
      <c r="FO41" s="216"/>
      <c r="FP41" s="216"/>
      <c r="FQ41" s="216"/>
      <c r="FR41" s="216"/>
      <c r="FS41" s="216"/>
      <c r="FT41" s="216"/>
      <c r="FU41" s="216"/>
      <c r="FV41" s="216"/>
      <c r="FW41" s="216"/>
      <c r="FX41" s="216"/>
      <c r="FY41" s="216"/>
      <c r="FZ41" s="216"/>
      <c r="GA41" s="216"/>
      <c r="GB41" s="216"/>
      <c r="GC41" s="216"/>
      <c r="GD41" s="216"/>
      <c r="GE41" s="216"/>
      <c r="GF41" s="216"/>
      <c r="GG41" s="216"/>
      <c r="GH41" s="216"/>
      <c r="GI41" s="216"/>
      <c r="GJ41" s="216"/>
      <c r="GK41" s="216"/>
      <c r="GL41" s="216"/>
      <c r="GM41" s="216"/>
      <c r="GN41" s="216"/>
      <c r="GO41" s="216"/>
      <c r="GP41" s="216"/>
      <c r="GQ41" s="216"/>
      <c r="GR41" s="216"/>
      <c r="GS41" s="216"/>
      <c r="GT41" s="216"/>
      <c r="GU41" s="216"/>
      <c r="GV41" s="216"/>
      <c r="GW41" s="216"/>
      <c r="GX41" s="216"/>
      <c r="GY41" s="216"/>
      <c r="GZ41" s="216"/>
      <c r="HA41" s="216"/>
      <c r="HB41" s="216"/>
      <c r="HC41" s="216"/>
      <c r="HD41" s="216"/>
      <c r="HE41" s="216"/>
      <c r="HF41" s="216"/>
      <c r="HG41" s="216"/>
      <c r="HH41" s="216"/>
      <c r="HI41" s="216"/>
      <c r="HJ41" s="216"/>
      <c r="HK41" s="216"/>
      <c r="HL41" s="216"/>
      <c r="HM41" s="216"/>
      <c r="HN41" s="216"/>
      <c r="HO41" s="216"/>
      <c r="HP41" s="216"/>
      <c r="HQ41" s="216"/>
      <c r="HR41" s="216"/>
      <c r="HS41" s="216"/>
      <c r="HT41" s="216"/>
      <c r="HU41" s="216"/>
      <c r="HV41" s="216"/>
      <c r="HW41" s="216"/>
      <c r="HX41" s="216"/>
      <c r="HY41" s="216"/>
      <c r="HZ41" s="216"/>
      <c r="IA41" s="216"/>
      <c r="IB41" s="216"/>
      <c r="IC41" s="216"/>
      <c r="ID41" s="216"/>
      <c r="IE41" s="216"/>
      <c r="IF41" s="216"/>
      <c r="IG41" s="216"/>
      <c r="IH41" s="216"/>
      <c r="II41" s="216"/>
      <c r="IJ41" s="216"/>
      <c r="IK41" s="216"/>
      <c r="IL41" s="216"/>
      <c r="IM41" s="216"/>
      <c r="IN41" s="216"/>
      <c r="IO41" s="216"/>
      <c r="IP41" s="216"/>
      <c r="IQ41" s="216"/>
      <c r="IR41" s="216"/>
      <c r="IS41" s="216"/>
      <c r="IT41" s="216"/>
      <c r="IU41" s="216"/>
    </row>
    <row r="42" spans="1:255" s="213" customFormat="1" ht="12" customHeight="1">
      <c r="A42" s="373" t="s">
        <v>234</v>
      </c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218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6"/>
      <c r="DL42" s="216"/>
      <c r="DM42" s="216"/>
      <c r="DN42" s="216"/>
      <c r="DO42" s="216"/>
      <c r="DP42" s="216"/>
      <c r="DQ42" s="216"/>
      <c r="DR42" s="216"/>
      <c r="DS42" s="216"/>
      <c r="DT42" s="216"/>
      <c r="DU42" s="216"/>
      <c r="DV42" s="216"/>
      <c r="DW42" s="216"/>
      <c r="DX42" s="216"/>
      <c r="DY42" s="216"/>
      <c r="DZ42" s="216"/>
      <c r="EA42" s="216"/>
      <c r="EB42" s="216"/>
      <c r="EC42" s="216"/>
      <c r="ED42" s="216"/>
      <c r="EE42" s="216"/>
      <c r="EF42" s="216"/>
      <c r="EG42" s="216"/>
      <c r="EH42" s="216"/>
      <c r="EI42" s="216"/>
      <c r="EJ42" s="216"/>
      <c r="EK42" s="216"/>
      <c r="EL42" s="216"/>
      <c r="EM42" s="216"/>
      <c r="EN42" s="216"/>
      <c r="EO42" s="216"/>
      <c r="EP42" s="216"/>
      <c r="EQ42" s="216"/>
      <c r="ER42" s="216"/>
      <c r="ES42" s="216"/>
      <c r="ET42" s="216"/>
      <c r="EU42" s="216"/>
      <c r="EV42" s="216"/>
      <c r="EW42" s="216"/>
      <c r="EX42" s="216"/>
      <c r="EY42" s="216"/>
      <c r="EZ42" s="216"/>
      <c r="FA42" s="216"/>
      <c r="FB42" s="216"/>
      <c r="FC42" s="216"/>
      <c r="FD42" s="216"/>
      <c r="FE42" s="216"/>
      <c r="FF42" s="216"/>
      <c r="FG42" s="216"/>
      <c r="FH42" s="216"/>
      <c r="FI42" s="216"/>
      <c r="FJ42" s="216"/>
      <c r="FK42" s="216"/>
      <c r="FL42" s="216"/>
      <c r="FM42" s="216"/>
      <c r="FN42" s="216"/>
      <c r="FO42" s="216"/>
      <c r="FP42" s="216"/>
      <c r="FQ42" s="216"/>
      <c r="FR42" s="216"/>
      <c r="FS42" s="216"/>
      <c r="FT42" s="216"/>
      <c r="FU42" s="216"/>
      <c r="FV42" s="216"/>
      <c r="FW42" s="216"/>
      <c r="FX42" s="216"/>
      <c r="FY42" s="216"/>
      <c r="FZ42" s="216"/>
      <c r="GA42" s="216"/>
      <c r="GB42" s="216"/>
      <c r="GC42" s="216"/>
      <c r="GD42" s="216"/>
      <c r="GE42" s="216"/>
      <c r="GF42" s="216"/>
      <c r="GG42" s="216"/>
      <c r="GH42" s="216"/>
      <c r="GI42" s="216"/>
      <c r="GJ42" s="216"/>
      <c r="GK42" s="216"/>
      <c r="GL42" s="216"/>
      <c r="GM42" s="216"/>
      <c r="GN42" s="216"/>
      <c r="GO42" s="216"/>
      <c r="GP42" s="216"/>
      <c r="GQ42" s="216"/>
      <c r="GR42" s="216"/>
      <c r="GS42" s="216"/>
      <c r="GT42" s="216"/>
      <c r="GU42" s="216"/>
      <c r="GV42" s="216"/>
      <c r="GW42" s="216"/>
      <c r="GX42" s="216"/>
      <c r="GY42" s="216"/>
      <c r="GZ42" s="216"/>
      <c r="HA42" s="216"/>
      <c r="HB42" s="216"/>
      <c r="HC42" s="216"/>
      <c r="HD42" s="216"/>
      <c r="HE42" s="216"/>
      <c r="HF42" s="216"/>
      <c r="HG42" s="216"/>
      <c r="HH42" s="216"/>
      <c r="HI42" s="216"/>
      <c r="HJ42" s="216"/>
      <c r="HK42" s="216"/>
      <c r="HL42" s="216"/>
      <c r="HM42" s="216"/>
      <c r="HN42" s="216"/>
      <c r="HO42" s="216"/>
      <c r="HP42" s="216"/>
      <c r="HQ42" s="216"/>
      <c r="HR42" s="216"/>
      <c r="HS42" s="216"/>
      <c r="HT42" s="216"/>
      <c r="HU42" s="216"/>
      <c r="HV42" s="216"/>
      <c r="HW42" s="216"/>
      <c r="HX42" s="216"/>
      <c r="HY42" s="216"/>
      <c r="HZ42" s="216"/>
      <c r="IA42" s="216"/>
      <c r="IB42" s="216"/>
      <c r="IC42" s="216"/>
      <c r="ID42" s="216"/>
      <c r="IE42" s="216"/>
      <c r="IF42" s="216"/>
      <c r="IG42" s="216"/>
      <c r="IH42" s="216"/>
      <c r="II42" s="216"/>
      <c r="IJ42" s="216"/>
      <c r="IK42" s="216"/>
      <c r="IL42" s="216"/>
      <c r="IM42" s="216"/>
      <c r="IN42" s="216"/>
      <c r="IO42" s="216"/>
      <c r="IP42" s="216"/>
      <c r="IQ42" s="216"/>
      <c r="IR42" s="216"/>
      <c r="IS42" s="216"/>
      <c r="IT42" s="216"/>
      <c r="IU42" s="216"/>
    </row>
    <row r="43" spans="1:16" s="213" customFormat="1" ht="12" customHeight="1">
      <c r="A43" s="404" t="s">
        <v>271</v>
      </c>
      <c r="B43" s="404"/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216"/>
      <c r="P43" s="217"/>
    </row>
    <row r="44" spans="1:16" s="213" customFormat="1" ht="12" customHeight="1">
      <c r="A44" s="368" t="s">
        <v>235</v>
      </c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219"/>
      <c r="P44" s="217"/>
    </row>
    <row r="45" spans="1:16" s="220" customFormat="1" ht="12" customHeight="1">
      <c r="A45" s="374" t="s">
        <v>243</v>
      </c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214"/>
      <c r="P45" s="221"/>
    </row>
    <row r="46" spans="1:16" s="220" customFormat="1" ht="12" customHeight="1">
      <c r="A46" s="374" t="s">
        <v>252</v>
      </c>
      <c r="B46" s="374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214"/>
      <c r="P46" s="221"/>
    </row>
    <row r="47" spans="1:14" s="213" customFormat="1" ht="12" customHeight="1">
      <c r="A47" s="374" t="s">
        <v>262</v>
      </c>
      <c r="B47" s="374"/>
      <c r="C47" s="374"/>
      <c r="D47" s="374"/>
      <c r="E47" s="374"/>
      <c r="F47" s="374"/>
      <c r="G47" s="374"/>
      <c r="H47" s="374"/>
      <c r="I47" s="374"/>
      <c r="J47" s="374"/>
      <c r="K47" s="374"/>
      <c r="L47" s="374"/>
      <c r="M47" s="214"/>
      <c r="N47" s="216"/>
    </row>
    <row r="48" spans="1:16" s="213" customFormat="1" ht="12" customHeight="1">
      <c r="A48" s="374" t="s">
        <v>268</v>
      </c>
      <c r="B48" s="374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214"/>
      <c r="N48" s="219"/>
      <c r="P48" s="222"/>
    </row>
    <row r="49" spans="1:16" s="213" customFormat="1" ht="12" customHeight="1">
      <c r="A49" s="404" t="s">
        <v>272</v>
      </c>
      <c r="B49" s="404"/>
      <c r="C49" s="404"/>
      <c r="D49" s="404"/>
      <c r="E49" s="404"/>
      <c r="F49" s="404"/>
      <c r="G49" s="404"/>
      <c r="H49" s="404"/>
      <c r="I49" s="404"/>
      <c r="J49" s="404"/>
      <c r="K49" s="404"/>
      <c r="L49" s="404"/>
      <c r="M49" s="404"/>
      <c r="P49" s="222"/>
    </row>
    <row r="50" spans="1:255" s="213" customFormat="1" ht="12" customHeight="1">
      <c r="A50" s="368" t="s">
        <v>206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219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  <c r="BZ50" s="216"/>
      <c r="CA50" s="216"/>
      <c r="CB50" s="216"/>
      <c r="CC50" s="216"/>
      <c r="CD50" s="216"/>
      <c r="CE50" s="216"/>
      <c r="CF50" s="216"/>
      <c r="CG50" s="216"/>
      <c r="CH50" s="216"/>
      <c r="CI50" s="216"/>
      <c r="CJ50" s="216"/>
      <c r="CK50" s="216"/>
      <c r="CL50" s="216"/>
      <c r="CM50" s="216"/>
      <c r="CN50" s="216"/>
      <c r="CO50" s="216"/>
      <c r="CP50" s="216"/>
      <c r="CQ50" s="216"/>
      <c r="CR50" s="216"/>
      <c r="CS50" s="216"/>
      <c r="CT50" s="216"/>
      <c r="CU50" s="216"/>
      <c r="CV50" s="216"/>
      <c r="CW50" s="216"/>
      <c r="CX50" s="216"/>
      <c r="CY50" s="216"/>
      <c r="CZ50" s="216"/>
      <c r="DA50" s="216"/>
      <c r="DB50" s="216"/>
      <c r="DC50" s="216"/>
      <c r="DD50" s="216"/>
      <c r="DE50" s="216"/>
      <c r="DF50" s="216"/>
      <c r="DG50" s="216"/>
      <c r="DH50" s="216"/>
      <c r="DI50" s="216"/>
      <c r="DJ50" s="216"/>
      <c r="DK50" s="216"/>
      <c r="DL50" s="216"/>
      <c r="DM50" s="216"/>
      <c r="DN50" s="216"/>
      <c r="DO50" s="216"/>
      <c r="DP50" s="216"/>
      <c r="DQ50" s="216"/>
      <c r="DR50" s="216"/>
      <c r="DS50" s="216"/>
      <c r="DT50" s="216"/>
      <c r="DU50" s="216"/>
      <c r="DV50" s="216"/>
      <c r="DW50" s="216"/>
      <c r="DX50" s="216"/>
      <c r="DY50" s="216"/>
      <c r="DZ50" s="216"/>
      <c r="EA50" s="216"/>
      <c r="EB50" s="216"/>
      <c r="EC50" s="216"/>
      <c r="ED50" s="216"/>
      <c r="EE50" s="216"/>
      <c r="EF50" s="216"/>
      <c r="EG50" s="216"/>
      <c r="EH50" s="216"/>
      <c r="EI50" s="216"/>
      <c r="EJ50" s="216"/>
      <c r="EK50" s="216"/>
      <c r="EL50" s="216"/>
      <c r="EM50" s="216"/>
      <c r="EN50" s="216"/>
      <c r="EO50" s="216"/>
      <c r="EP50" s="216"/>
      <c r="EQ50" s="216"/>
      <c r="ER50" s="216"/>
      <c r="ES50" s="216"/>
      <c r="ET50" s="216"/>
      <c r="EU50" s="216"/>
      <c r="EV50" s="216"/>
      <c r="EW50" s="216"/>
      <c r="EX50" s="216"/>
      <c r="EY50" s="216"/>
      <c r="EZ50" s="216"/>
      <c r="FA50" s="216"/>
      <c r="FB50" s="216"/>
      <c r="FC50" s="216"/>
      <c r="FD50" s="216"/>
      <c r="FE50" s="216"/>
      <c r="FF50" s="216"/>
      <c r="FG50" s="216"/>
      <c r="FH50" s="216"/>
      <c r="FI50" s="216"/>
      <c r="FJ50" s="216"/>
      <c r="FK50" s="216"/>
      <c r="FL50" s="216"/>
      <c r="FM50" s="216"/>
      <c r="FN50" s="216"/>
      <c r="FO50" s="216"/>
      <c r="FP50" s="216"/>
      <c r="FQ50" s="216"/>
      <c r="FR50" s="216"/>
      <c r="FS50" s="216"/>
      <c r="FT50" s="216"/>
      <c r="FU50" s="216"/>
      <c r="FV50" s="216"/>
      <c r="FW50" s="216"/>
      <c r="FX50" s="216"/>
      <c r="FY50" s="216"/>
      <c r="FZ50" s="216"/>
      <c r="GA50" s="216"/>
      <c r="GB50" s="216"/>
      <c r="GC50" s="216"/>
      <c r="GD50" s="216"/>
      <c r="GE50" s="216"/>
      <c r="GF50" s="216"/>
      <c r="GG50" s="216"/>
      <c r="GH50" s="216"/>
      <c r="GI50" s="216"/>
      <c r="GJ50" s="216"/>
      <c r="GK50" s="216"/>
      <c r="GL50" s="216"/>
      <c r="GM50" s="216"/>
      <c r="GN50" s="216"/>
      <c r="GO50" s="216"/>
      <c r="GP50" s="216"/>
      <c r="GQ50" s="216"/>
      <c r="GR50" s="216"/>
      <c r="GS50" s="216"/>
      <c r="GT50" s="216"/>
      <c r="GU50" s="216"/>
      <c r="GV50" s="216"/>
      <c r="GW50" s="216"/>
      <c r="GX50" s="216"/>
      <c r="GY50" s="216"/>
      <c r="GZ50" s="216"/>
      <c r="HA50" s="216"/>
      <c r="HB50" s="216"/>
      <c r="HC50" s="216"/>
      <c r="HD50" s="216"/>
      <c r="HE50" s="216"/>
      <c r="HF50" s="216"/>
      <c r="HG50" s="216"/>
      <c r="HH50" s="216"/>
      <c r="HI50" s="216"/>
      <c r="HJ50" s="216"/>
      <c r="HK50" s="216"/>
      <c r="HL50" s="216"/>
      <c r="HM50" s="216"/>
      <c r="HN50" s="216"/>
      <c r="HO50" s="216"/>
      <c r="HP50" s="216"/>
      <c r="HQ50" s="216"/>
      <c r="HR50" s="216"/>
      <c r="HS50" s="216"/>
      <c r="HT50" s="216"/>
      <c r="HU50" s="216"/>
      <c r="HV50" s="216"/>
      <c r="HW50" s="216"/>
      <c r="HX50" s="216"/>
      <c r="HY50" s="216"/>
      <c r="HZ50" s="216"/>
      <c r="IA50" s="216"/>
      <c r="IB50" s="216"/>
      <c r="IC50" s="216"/>
      <c r="ID50" s="216"/>
      <c r="IE50" s="216"/>
      <c r="IF50" s="216"/>
      <c r="IG50" s="216"/>
      <c r="IH50" s="216"/>
      <c r="II50" s="216"/>
      <c r="IJ50" s="216"/>
      <c r="IK50" s="216"/>
      <c r="IL50" s="216"/>
      <c r="IM50" s="216"/>
      <c r="IN50" s="216"/>
      <c r="IO50" s="216"/>
      <c r="IP50" s="216"/>
      <c r="IQ50" s="216"/>
      <c r="IR50" s="216"/>
      <c r="IS50" s="216"/>
      <c r="IT50" s="216"/>
      <c r="IU50" s="216"/>
    </row>
    <row r="51" spans="1:255" s="213" customFormat="1" ht="12" customHeight="1">
      <c r="A51" s="368" t="s">
        <v>285</v>
      </c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219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  <c r="BZ51" s="216"/>
      <c r="CA51" s="216"/>
      <c r="CB51" s="216"/>
      <c r="CC51" s="216"/>
      <c r="CD51" s="216"/>
      <c r="CE51" s="216"/>
      <c r="CF51" s="216"/>
      <c r="CG51" s="216"/>
      <c r="CH51" s="216"/>
      <c r="CI51" s="216"/>
      <c r="CJ51" s="216"/>
      <c r="CK51" s="216"/>
      <c r="CL51" s="216"/>
      <c r="CM51" s="216"/>
      <c r="CN51" s="216"/>
      <c r="CO51" s="216"/>
      <c r="CP51" s="216"/>
      <c r="CQ51" s="216"/>
      <c r="CR51" s="216"/>
      <c r="CS51" s="216"/>
      <c r="CT51" s="216"/>
      <c r="CU51" s="216"/>
      <c r="CV51" s="216"/>
      <c r="CW51" s="216"/>
      <c r="CX51" s="216"/>
      <c r="CY51" s="216"/>
      <c r="CZ51" s="216"/>
      <c r="DA51" s="216"/>
      <c r="DB51" s="216"/>
      <c r="DC51" s="216"/>
      <c r="DD51" s="216"/>
      <c r="DE51" s="216"/>
      <c r="DF51" s="216"/>
      <c r="DG51" s="216"/>
      <c r="DH51" s="216"/>
      <c r="DI51" s="216"/>
      <c r="DJ51" s="216"/>
      <c r="DK51" s="216"/>
      <c r="DL51" s="216"/>
      <c r="DM51" s="216"/>
      <c r="DN51" s="216"/>
      <c r="DO51" s="216"/>
      <c r="DP51" s="216"/>
      <c r="DQ51" s="216"/>
      <c r="DR51" s="216"/>
      <c r="DS51" s="216"/>
      <c r="DT51" s="216"/>
      <c r="DU51" s="216"/>
      <c r="DV51" s="216"/>
      <c r="DW51" s="216"/>
      <c r="DX51" s="216"/>
      <c r="DY51" s="216"/>
      <c r="DZ51" s="216"/>
      <c r="EA51" s="216"/>
      <c r="EB51" s="216"/>
      <c r="EC51" s="216"/>
      <c r="ED51" s="216"/>
      <c r="EE51" s="216"/>
      <c r="EF51" s="216"/>
      <c r="EG51" s="216"/>
      <c r="EH51" s="216"/>
      <c r="EI51" s="216"/>
      <c r="EJ51" s="216"/>
      <c r="EK51" s="216"/>
      <c r="EL51" s="216"/>
      <c r="EM51" s="216"/>
      <c r="EN51" s="216"/>
      <c r="EO51" s="216"/>
      <c r="EP51" s="216"/>
      <c r="EQ51" s="216"/>
      <c r="ER51" s="216"/>
      <c r="ES51" s="216"/>
      <c r="ET51" s="216"/>
      <c r="EU51" s="216"/>
      <c r="EV51" s="216"/>
      <c r="EW51" s="216"/>
      <c r="EX51" s="216"/>
      <c r="EY51" s="216"/>
      <c r="EZ51" s="216"/>
      <c r="FA51" s="216"/>
      <c r="FB51" s="216"/>
      <c r="FC51" s="216"/>
      <c r="FD51" s="216"/>
      <c r="FE51" s="216"/>
      <c r="FF51" s="216"/>
      <c r="FG51" s="216"/>
      <c r="FH51" s="216"/>
      <c r="FI51" s="216"/>
      <c r="FJ51" s="216"/>
      <c r="FK51" s="216"/>
      <c r="FL51" s="216"/>
      <c r="FM51" s="216"/>
      <c r="FN51" s="216"/>
      <c r="FO51" s="216"/>
      <c r="FP51" s="216"/>
      <c r="FQ51" s="216"/>
      <c r="FR51" s="216"/>
      <c r="FS51" s="216"/>
      <c r="FT51" s="216"/>
      <c r="FU51" s="216"/>
      <c r="FV51" s="216"/>
      <c r="FW51" s="216"/>
      <c r="FX51" s="216"/>
      <c r="FY51" s="216"/>
      <c r="FZ51" s="216"/>
      <c r="GA51" s="216"/>
      <c r="GB51" s="216"/>
      <c r="GC51" s="216"/>
      <c r="GD51" s="216"/>
      <c r="GE51" s="216"/>
      <c r="GF51" s="216"/>
      <c r="GG51" s="216"/>
      <c r="GH51" s="216"/>
      <c r="GI51" s="216"/>
      <c r="GJ51" s="216"/>
      <c r="GK51" s="216"/>
      <c r="GL51" s="216"/>
      <c r="GM51" s="216"/>
      <c r="GN51" s="216"/>
      <c r="GO51" s="216"/>
      <c r="GP51" s="216"/>
      <c r="GQ51" s="216"/>
      <c r="GR51" s="216"/>
      <c r="GS51" s="216"/>
      <c r="GT51" s="216"/>
      <c r="GU51" s="216"/>
      <c r="GV51" s="216"/>
      <c r="GW51" s="216"/>
      <c r="GX51" s="216"/>
      <c r="GY51" s="216"/>
      <c r="GZ51" s="216"/>
      <c r="HA51" s="216"/>
      <c r="HB51" s="216"/>
      <c r="HC51" s="216"/>
      <c r="HD51" s="216"/>
      <c r="HE51" s="216"/>
      <c r="HF51" s="216"/>
      <c r="HG51" s="216"/>
      <c r="HH51" s="216"/>
      <c r="HI51" s="216"/>
      <c r="HJ51" s="216"/>
      <c r="HK51" s="216"/>
      <c r="HL51" s="216"/>
      <c r="HM51" s="216"/>
      <c r="HN51" s="216"/>
      <c r="HO51" s="216"/>
      <c r="HP51" s="216"/>
      <c r="HQ51" s="216"/>
      <c r="HR51" s="216"/>
      <c r="HS51" s="216"/>
      <c r="HT51" s="216"/>
      <c r="HU51" s="216"/>
      <c r="HV51" s="216"/>
      <c r="HW51" s="216"/>
      <c r="HX51" s="216"/>
      <c r="HY51" s="216"/>
      <c r="HZ51" s="216"/>
      <c r="IA51" s="216"/>
      <c r="IB51" s="216"/>
      <c r="IC51" s="216"/>
      <c r="ID51" s="216"/>
      <c r="IE51" s="216"/>
      <c r="IF51" s="216"/>
      <c r="IG51" s="216"/>
      <c r="IH51" s="216"/>
      <c r="II51" s="216"/>
      <c r="IJ51" s="216"/>
      <c r="IK51" s="216"/>
      <c r="IL51" s="216"/>
      <c r="IM51" s="216"/>
      <c r="IN51" s="216"/>
      <c r="IO51" s="216"/>
      <c r="IP51" s="216"/>
      <c r="IQ51" s="216"/>
      <c r="IR51" s="216"/>
      <c r="IS51" s="216"/>
      <c r="IT51" s="216"/>
      <c r="IU51" s="216"/>
    </row>
    <row r="52" spans="1:255" s="213" customFormat="1" ht="12" customHeight="1">
      <c r="A52" s="404" t="s">
        <v>273</v>
      </c>
      <c r="B52" s="404"/>
      <c r="C52" s="404"/>
      <c r="D52" s="404"/>
      <c r="E52" s="404"/>
      <c r="F52" s="404"/>
      <c r="G52" s="404"/>
      <c r="H52" s="404"/>
      <c r="I52" s="404"/>
      <c r="J52" s="404"/>
      <c r="K52" s="404"/>
      <c r="L52" s="404"/>
      <c r="M52" s="404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  <c r="BZ52" s="216"/>
      <c r="CA52" s="216"/>
      <c r="CB52" s="216"/>
      <c r="CC52" s="216"/>
      <c r="CD52" s="216"/>
      <c r="CE52" s="216"/>
      <c r="CF52" s="216"/>
      <c r="CG52" s="216"/>
      <c r="CH52" s="216"/>
      <c r="CI52" s="216"/>
      <c r="CJ52" s="216"/>
      <c r="CK52" s="216"/>
      <c r="CL52" s="216"/>
      <c r="CM52" s="216"/>
      <c r="CN52" s="216"/>
      <c r="CO52" s="216"/>
      <c r="CP52" s="216"/>
      <c r="CQ52" s="216"/>
      <c r="CR52" s="216"/>
      <c r="CS52" s="216"/>
      <c r="CT52" s="216"/>
      <c r="CU52" s="216"/>
      <c r="CV52" s="216"/>
      <c r="CW52" s="216"/>
      <c r="CX52" s="216"/>
      <c r="CY52" s="216"/>
      <c r="CZ52" s="216"/>
      <c r="DA52" s="216"/>
      <c r="DB52" s="216"/>
      <c r="DC52" s="216"/>
      <c r="DD52" s="216"/>
      <c r="DE52" s="216"/>
      <c r="DF52" s="216"/>
      <c r="DG52" s="216"/>
      <c r="DH52" s="216"/>
      <c r="DI52" s="216"/>
      <c r="DJ52" s="216"/>
      <c r="DK52" s="216"/>
      <c r="DL52" s="216"/>
      <c r="DM52" s="216"/>
      <c r="DN52" s="216"/>
      <c r="DO52" s="216"/>
      <c r="DP52" s="216"/>
      <c r="DQ52" s="216"/>
      <c r="DR52" s="216"/>
      <c r="DS52" s="216"/>
      <c r="DT52" s="216"/>
      <c r="DU52" s="216"/>
      <c r="DV52" s="216"/>
      <c r="DW52" s="216"/>
      <c r="DX52" s="216"/>
      <c r="DY52" s="216"/>
      <c r="DZ52" s="216"/>
      <c r="EA52" s="216"/>
      <c r="EB52" s="216"/>
      <c r="EC52" s="216"/>
      <c r="ED52" s="216"/>
      <c r="EE52" s="216"/>
      <c r="EF52" s="216"/>
      <c r="EG52" s="216"/>
      <c r="EH52" s="216"/>
      <c r="EI52" s="216"/>
      <c r="EJ52" s="216"/>
      <c r="EK52" s="216"/>
      <c r="EL52" s="216"/>
      <c r="EM52" s="216"/>
      <c r="EN52" s="216"/>
      <c r="EO52" s="216"/>
      <c r="EP52" s="216"/>
      <c r="EQ52" s="216"/>
      <c r="ER52" s="216"/>
      <c r="ES52" s="216"/>
      <c r="ET52" s="216"/>
      <c r="EU52" s="216"/>
      <c r="EV52" s="216"/>
      <c r="EW52" s="216"/>
      <c r="EX52" s="216"/>
      <c r="EY52" s="216"/>
      <c r="EZ52" s="216"/>
      <c r="FA52" s="216"/>
      <c r="FB52" s="216"/>
      <c r="FC52" s="216"/>
      <c r="FD52" s="216"/>
      <c r="FE52" s="216"/>
      <c r="FF52" s="216"/>
      <c r="FG52" s="216"/>
      <c r="FH52" s="216"/>
      <c r="FI52" s="216"/>
      <c r="FJ52" s="216"/>
      <c r="FK52" s="216"/>
      <c r="FL52" s="216"/>
      <c r="FM52" s="216"/>
      <c r="FN52" s="216"/>
      <c r="FO52" s="216"/>
      <c r="FP52" s="216"/>
      <c r="FQ52" s="216"/>
      <c r="FR52" s="216"/>
      <c r="FS52" s="216"/>
      <c r="FT52" s="216"/>
      <c r="FU52" s="216"/>
      <c r="FV52" s="216"/>
      <c r="FW52" s="216"/>
      <c r="FX52" s="216"/>
      <c r="FY52" s="216"/>
      <c r="FZ52" s="216"/>
      <c r="GA52" s="216"/>
      <c r="GB52" s="216"/>
      <c r="GC52" s="216"/>
      <c r="GD52" s="216"/>
      <c r="GE52" s="216"/>
      <c r="GF52" s="216"/>
      <c r="GG52" s="216"/>
      <c r="GH52" s="216"/>
      <c r="GI52" s="216"/>
      <c r="GJ52" s="216"/>
      <c r="GK52" s="216"/>
      <c r="GL52" s="216"/>
      <c r="GM52" s="216"/>
      <c r="GN52" s="216"/>
      <c r="GO52" s="216"/>
      <c r="GP52" s="216"/>
      <c r="GQ52" s="216"/>
      <c r="GR52" s="216"/>
      <c r="GS52" s="216"/>
      <c r="GT52" s="216"/>
      <c r="GU52" s="216"/>
      <c r="GV52" s="216"/>
      <c r="GW52" s="216"/>
      <c r="GX52" s="216"/>
      <c r="GY52" s="216"/>
      <c r="GZ52" s="216"/>
      <c r="HA52" s="216"/>
      <c r="HB52" s="216"/>
      <c r="HC52" s="216"/>
      <c r="HD52" s="216"/>
      <c r="HE52" s="216"/>
      <c r="HF52" s="216"/>
      <c r="HG52" s="216"/>
      <c r="HH52" s="216"/>
      <c r="HI52" s="216"/>
      <c r="HJ52" s="216"/>
      <c r="HK52" s="216"/>
      <c r="HL52" s="216"/>
      <c r="HM52" s="216"/>
      <c r="HN52" s="216"/>
      <c r="HO52" s="216"/>
      <c r="HP52" s="216"/>
      <c r="HQ52" s="216"/>
      <c r="HR52" s="216"/>
      <c r="HS52" s="216"/>
      <c r="HT52" s="216"/>
      <c r="HU52" s="216"/>
      <c r="HV52" s="216"/>
      <c r="HW52" s="216"/>
      <c r="HX52" s="216"/>
      <c r="HY52" s="216"/>
      <c r="HZ52" s="216"/>
      <c r="IA52" s="216"/>
      <c r="IB52" s="216"/>
      <c r="IC52" s="216"/>
      <c r="ID52" s="216"/>
      <c r="IE52" s="216"/>
      <c r="IF52" s="216"/>
      <c r="IG52" s="216"/>
      <c r="IH52" s="216"/>
      <c r="II52" s="216"/>
      <c r="IJ52" s="216"/>
      <c r="IK52" s="216"/>
      <c r="IL52" s="216"/>
      <c r="IM52" s="216"/>
      <c r="IN52" s="216"/>
      <c r="IO52" s="216"/>
      <c r="IP52" s="216"/>
      <c r="IQ52" s="216"/>
      <c r="IR52" s="216"/>
      <c r="IS52" s="216"/>
      <c r="IT52" s="216"/>
      <c r="IU52" s="216"/>
    </row>
    <row r="53" spans="15:255" s="125" customFormat="1" ht="11.25" customHeight="1"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2"/>
      <c r="FK53" s="132"/>
      <c r="FL53" s="132"/>
      <c r="FM53" s="132"/>
      <c r="FN53" s="132"/>
      <c r="FO53" s="132"/>
      <c r="FP53" s="132"/>
      <c r="FQ53" s="132"/>
      <c r="FR53" s="132"/>
      <c r="FS53" s="132"/>
      <c r="FT53" s="132"/>
      <c r="FU53" s="132"/>
      <c r="FV53" s="132"/>
      <c r="FW53" s="132"/>
      <c r="FX53" s="132"/>
      <c r="FY53" s="132"/>
      <c r="FZ53" s="132"/>
      <c r="GA53" s="132"/>
      <c r="GB53" s="132"/>
      <c r="GC53" s="132"/>
      <c r="GD53" s="132"/>
      <c r="GE53" s="132"/>
      <c r="GF53" s="132"/>
      <c r="GG53" s="132"/>
      <c r="GH53" s="132"/>
      <c r="GI53" s="132"/>
      <c r="GJ53" s="132"/>
      <c r="GK53" s="132"/>
      <c r="GL53" s="132"/>
      <c r="GM53" s="132"/>
      <c r="GN53" s="132"/>
      <c r="GO53" s="132"/>
      <c r="GP53" s="132"/>
      <c r="GQ53" s="132"/>
      <c r="GR53" s="132"/>
      <c r="GS53" s="132"/>
      <c r="GT53" s="132"/>
      <c r="GU53" s="132"/>
      <c r="GV53" s="132"/>
      <c r="GW53" s="132"/>
      <c r="GX53" s="132"/>
      <c r="GY53" s="132"/>
      <c r="GZ53" s="132"/>
      <c r="HA53" s="132"/>
      <c r="HB53" s="132"/>
      <c r="HC53" s="132"/>
      <c r="HD53" s="132"/>
      <c r="HE53" s="132"/>
      <c r="HF53" s="132"/>
      <c r="HG53" s="132"/>
      <c r="HH53" s="132"/>
      <c r="HI53" s="132"/>
      <c r="HJ53" s="132"/>
      <c r="HK53" s="132"/>
      <c r="HL53" s="132"/>
      <c r="HM53" s="132"/>
      <c r="HN53" s="132"/>
      <c r="HO53" s="132"/>
      <c r="HP53" s="132"/>
      <c r="HQ53" s="132"/>
      <c r="HR53" s="132"/>
      <c r="HS53" s="132"/>
      <c r="HT53" s="132"/>
      <c r="HU53" s="132"/>
      <c r="HV53" s="132"/>
      <c r="HW53" s="132"/>
      <c r="HX53" s="132"/>
      <c r="HY53" s="132"/>
      <c r="HZ53" s="132"/>
      <c r="IA53" s="132"/>
      <c r="IB53" s="132"/>
      <c r="IC53" s="132"/>
      <c r="ID53" s="132"/>
      <c r="IE53" s="132"/>
      <c r="IF53" s="132"/>
      <c r="IG53" s="132"/>
      <c r="IH53" s="132"/>
      <c r="II53" s="132"/>
      <c r="IJ53" s="132"/>
      <c r="IK53" s="132"/>
      <c r="IL53" s="132"/>
      <c r="IM53" s="132"/>
      <c r="IN53" s="132"/>
      <c r="IO53" s="132"/>
      <c r="IP53" s="132"/>
      <c r="IQ53" s="132"/>
      <c r="IR53" s="132"/>
      <c r="IS53" s="132"/>
      <c r="IT53" s="132"/>
      <c r="IU53" s="132"/>
    </row>
    <row r="54" spans="15:255" s="125" customFormat="1" ht="11.25" customHeight="1"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2"/>
      <c r="DU54" s="132"/>
      <c r="DV54" s="132"/>
      <c r="DW54" s="132"/>
      <c r="DX54" s="132"/>
      <c r="DY54" s="132"/>
      <c r="DZ54" s="132"/>
      <c r="EA54" s="132"/>
      <c r="EB54" s="132"/>
      <c r="EC54" s="132"/>
      <c r="ED54" s="132"/>
      <c r="EE54" s="132"/>
      <c r="EF54" s="132"/>
      <c r="EG54" s="132"/>
      <c r="EH54" s="132"/>
      <c r="EI54" s="132"/>
      <c r="EJ54" s="132"/>
      <c r="EK54" s="132"/>
      <c r="EL54" s="132"/>
      <c r="EM54" s="132"/>
      <c r="EN54" s="132"/>
      <c r="EO54" s="132"/>
      <c r="EP54" s="132"/>
      <c r="EQ54" s="132"/>
      <c r="ER54" s="132"/>
      <c r="ES54" s="132"/>
      <c r="ET54" s="132"/>
      <c r="EU54" s="132"/>
      <c r="EV54" s="132"/>
      <c r="EW54" s="132"/>
      <c r="EX54" s="132"/>
      <c r="EY54" s="132"/>
      <c r="EZ54" s="132"/>
      <c r="FA54" s="132"/>
      <c r="FB54" s="132"/>
      <c r="FC54" s="132"/>
      <c r="FD54" s="132"/>
      <c r="FE54" s="132"/>
      <c r="FF54" s="132"/>
      <c r="FG54" s="132"/>
      <c r="FH54" s="132"/>
      <c r="FI54" s="132"/>
      <c r="FJ54" s="132"/>
      <c r="FK54" s="132"/>
      <c r="FL54" s="132"/>
      <c r="FM54" s="132"/>
      <c r="FN54" s="132"/>
      <c r="FO54" s="132"/>
      <c r="FP54" s="132"/>
      <c r="FQ54" s="132"/>
      <c r="FR54" s="132"/>
      <c r="FS54" s="132"/>
      <c r="FT54" s="132"/>
      <c r="FU54" s="132"/>
      <c r="FV54" s="132"/>
      <c r="FW54" s="132"/>
      <c r="FX54" s="132"/>
      <c r="FY54" s="132"/>
      <c r="FZ54" s="132"/>
      <c r="GA54" s="132"/>
      <c r="GB54" s="132"/>
      <c r="GC54" s="132"/>
      <c r="GD54" s="132"/>
      <c r="GE54" s="132"/>
      <c r="GF54" s="132"/>
      <c r="GG54" s="132"/>
      <c r="GH54" s="132"/>
      <c r="GI54" s="132"/>
      <c r="GJ54" s="132"/>
      <c r="GK54" s="132"/>
      <c r="GL54" s="132"/>
      <c r="GM54" s="132"/>
      <c r="GN54" s="132"/>
      <c r="GO54" s="132"/>
      <c r="GP54" s="132"/>
      <c r="GQ54" s="132"/>
      <c r="GR54" s="132"/>
      <c r="GS54" s="132"/>
      <c r="GT54" s="132"/>
      <c r="GU54" s="132"/>
      <c r="GV54" s="132"/>
      <c r="GW54" s="132"/>
      <c r="GX54" s="132"/>
      <c r="GY54" s="132"/>
      <c r="GZ54" s="132"/>
      <c r="HA54" s="132"/>
      <c r="HB54" s="132"/>
      <c r="HC54" s="132"/>
      <c r="HD54" s="132"/>
      <c r="HE54" s="132"/>
      <c r="HF54" s="132"/>
      <c r="HG54" s="132"/>
      <c r="HH54" s="132"/>
      <c r="HI54" s="132"/>
      <c r="HJ54" s="132"/>
      <c r="HK54" s="132"/>
      <c r="HL54" s="132"/>
      <c r="HM54" s="132"/>
      <c r="HN54" s="132"/>
      <c r="HO54" s="132"/>
      <c r="HP54" s="132"/>
      <c r="HQ54" s="132"/>
      <c r="HR54" s="132"/>
      <c r="HS54" s="132"/>
      <c r="HT54" s="132"/>
      <c r="HU54" s="132"/>
      <c r="HV54" s="132"/>
      <c r="HW54" s="132"/>
      <c r="HX54" s="132"/>
      <c r="HY54" s="132"/>
      <c r="HZ54" s="132"/>
      <c r="IA54" s="132"/>
      <c r="IB54" s="132"/>
      <c r="IC54" s="132"/>
      <c r="ID54" s="132"/>
      <c r="IE54" s="132"/>
      <c r="IF54" s="132"/>
      <c r="IG54" s="132"/>
      <c r="IH54" s="132"/>
      <c r="II54" s="132"/>
      <c r="IJ54" s="132"/>
      <c r="IK54" s="132"/>
      <c r="IL54" s="132"/>
      <c r="IM54" s="132"/>
      <c r="IN54" s="132"/>
      <c r="IO54" s="132"/>
      <c r="IP54" s="132"/>
      <c r="IQ54" s="132"/>
      <c r="IR54" s="132"/>
      <c r="IS54" s="132"/>
      <c r="IT54" s="132"/>
      <c r="IU54" s="132"/>
    </row>
    <row r="55" spans="1:255" s="125" customFormat="1" ht="11.25" customHeight="1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2"/>
      <c r="DE55" s="132"/>
      <c r="DF55" s="132"/>
      <c r="DG55" s="132"/>
      <c r="DH55" s="132"/>
      <c r="DI55" s="132"/>
      <c r="DJ55" s="132"/>
      <c r="DK55" s="132"/>
      <c r="DL55" s="132"/>
      <c r="DM55" s="132"/>
      <c r="DN55" s="132"/>
      <c r="DO55" s="132"/>
      <c r="DP55" s="132"/>
      <c r="DQ55" s="132"/>
      <c r="DR55" s="132"/>
      <c r="DS55" s="132"/>
      <c r="DT55" s="132"/>
      <c r="DU55" s="132"/>
      <c r="DV55" s="132"/>
      <c r="DW55" s="132"/>
      <c r="DX55" s="132"/>
      <c r="DY55" s="132"/>
      <c r="DZ55" s="132"/>
      <c r="EA55" s="132"/>
      <c r="EB55" s="132"/>
      <c r="EC55" s="132"/>
      <c r="ED55" s="132"/>
      <c r="EE55" s="132"/>
      <c r="EF55" s="132"/>
      <c r="EG55" s="132"/>
      <c r="EH55" s="132"/>
      <c r="EI55" s="132"/>
      <c r="EJ55" s="132"/>
      <c r="EK55" s="132"/>
      <c r="EL55" s="132"/>
      <c r="EM55" s="132"/>
      <c r="EN55" s="132"/>
      <c r="EO55" s="132"/>
      <c r="EP55" s="132"/>
      <c r="EQ55" s="132"/>
      <c r="ER55" s="132"/>
      <c r="ES55" s="132"/>
      <c r="ET55" s="132"/>
      <c r="EU55" s="132"/>
      <c r="EV55" s="132"/>
      <c r="EW55" s="132"/>
      <c r="EX55" s="132"/>
      <c r="EY55" s="132"/>
      <c r="EZ55" s="132"/>
      <c r="FA55" s="132"/>
      <c r="FB55" s="132"/>
      <c r="FC55" s="132"/>
      <c r="FD55" s="132"/>
      <c r="FE55" s="132"/>
      <c r="FF55" s="132"/>
      <c r="FG55" s="132"/>
      <c r="FH55" s="132"/>
      <c r="FI55" s="132"/>
      <c r="FJ55" s="132"/>
      <c r="FK55" s="132"/>
      <c r="FL55" s="132"/>
      <c r="FM55" s="132"/>
      <c r="FN55" s="132"/>
      <c r="FO55" s="132"/>
      <c r="FP55" s="132"/>
      <c r="FQ55" s="132"/>
      <c r="FR55" s="132"/>
      <c r="FS55" s="132"/>
      <c r="FT55" s="132"/>
      <c r="FU55" s="132"/>
      <c r="FV55" s="132"/>
      <c r="FW55" s="132"/>
      <c r="FX55" s="132"/>
      <c r="FY55" s="132"/>
      <c r="FZ55" s="132"/>
      <c r="GA55" s="132"/>
      <c r="GB55" s="132"/>
      <c r="GC55" s="132"/>
      <c r="GD55" s="132"/>
      <c r="GE55" s="132"/>
      <c r="GF55" s="132"/>
      <c r="GG55" s="132"/>
      <c r="GH55" s="132"/>
      <c r="GI55" s="132"/>
      <c r="GJ55" s="132"/>
      <c r="GK55" s="132"/>
      <c r="GL55" s="132"/>
      <c r="GM55" s="132"/>
      <c r="GN55" s="132"/>
      <c r="GO55" s="132"/>
      <c r="GP55" s="132"/>
      <c r="GQ55" s="132"/>
      <c r="GR55" s="132"/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2"/>
      <c r="HG55" s="132"/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32"/>
      <c r="HV55" s="132"/>
      <c r="HW55" s="132"/>
      <c r="HX55" s="132"/>
      <c r="HY55" s="132"/>
      <c r="HZ55" s="132"/>
      <c r="IA55" s="132"/>
      <c r="IB55" s="132"/>
      <c r="IC55" s="132"/>
      <c r="ID55" s="132"/>
      <c r="IE55" s="132"/>
      <c r="IF55" s="132"/>
      <c r="IG55" s="132"/>
      <c r="IH55" s="132"/>
      <c r="II55" s="132"/>
      <c r="IJ55" s="132"/>
      <c r="IK55" s="132"/>
      <c r="IL55" s="132"/>
      <c r="IM55" s="132"/>
      <c r="IN55" s="132"/>
      <c r="IO55" s="132"/>
      <c r="IP55" s="132"/>
      <c r="IQ55" s="132"/>
      <c r="IR55" s="132"/>
      <c r="IS55" s="132"/>
      <c r="IT55" s="132"/>
      <c r="IU55" s="132"/>
    </row>
    <row r="56" spans="1:255" s="125" customFormat="1" ht="11.25" customHeight="1">
      <c r="A56" s="223"/>
      <c r="B56" s="223"/>
      <c r="C56" s="26" t="s">
        <v>247</v>
      </c>
      <c r="D56" s="26"/>
      <c r="E56" s="26"/>
      <c r="F56" s="223"/>
      <c r="G56" s="223"/>
      <c r="H56" s="26"/>
      <c r="I56" s="203" t="s">
        <v>215</v>
      </c>
      <c r="J56" s="203"/>
      <c r="K56" s="223"/>
      <c r="L56" s="223"/>
      <c r="M56" s="203"/>
      <c r="N56" s="26" t="s">
        <v>265</v>
      </c>
      <c r="O56" s="26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2"/>
      <c r="CO56" s="132"/>
      <c r="CP56" s="132"/>
      <c r="CQ56" s="132"/>
      <c r="CR56" s="132"/>
      <c r="CS56" s="132"/>
      <c r="CT56" s="132"/>
      <c r="CU56" s="132"/>
      <c r="CV56" s="132"/>
      <c r="CW56" s="132"/>
      <c r="CX56" s="132"/>
      <c r="CY56" s="132"/>
      <c r="CZ56" s="132"/>
      <c r="DA56" s="132"/>
      <c r="DB56" s="132"/>
      <c r="DC56" s="132"/>
      <c r="DD56" s="132"/>
      <c r="DE56" s="132"/>
      <c r="DF56" s="132"/>
      <c r="DG56" s="132"/>
      <c r="DH56" s="132"/>
      <c r="DI56" s="132"/>
      <c r="DJ56" s="132"/>
      <c r="DK56" s="132"/>
      <c r="DL56" s="132"/>
      <c r="DM56" s="132"/>
      <c r="DN56" s="132"/>
      <c r="DO56" s="132"/>
      <c r="DP56" s="132"/>
      <c r="DQ56" s="132"/>
      <c r="DR56" s="132"/>
      <c r="DS56" s="132"/>
      <c r="DT56" s="132"/>
      <c r="DU56" s="132"/>
      <c r="DV56" s="132"/>
      <c r="DW56" s="132"/>
      <c r="DX56" s="132"/>
      <c r="DY56" s="132"/>
      <c r="DZ56" s="132"/>
      <c r="EA56" s="132"/>
      <c r="EB56" s="132"/>
      <c r="EC56" s="132"/>
      <c r="ED56" s="132"/>
      <c r="EE56" s="132"/>
      <c r="EF56" s="132"/>
      <c r="EG56" s="132"/>
      <c r="EH56" s="132"/>
      <c r="EI56" s="132"/>
      <c r="EJ56" s="132"/>
      <c r="EK56" s="132"/>
      <c r="EL56" s="132"/>
      <c r="EM56" s="132"/>
      <c r="EN56" s="132"/>
      <c r="EO56" s="132"/>
      <c r="EP56" s="132"/>
      <c r="EQ56" s="132"/>
      <c r="ER56" s="132"/>
      <c r="ES56" s="132"/>
      <c r="ET56" s="132"/>
      <c r="EU56" s="132"/>
      <c r="EV56" s="132"/>
      <c r="EW56" s="132"/>
      <c r="EX56" s="132"/>
      <c r="EY56" s="132"/>
      <c r="EZ56" s="132"/>
      <c r="FA56" s="132"/>
      <c r="FB56" s="132"/>
      <c r="FC56" s="132"/>
      <c r="FD56" s="132"/>
      <c r="FE56" s="132"/>
      <c r="FF56" s="132"/>
      <c r="FG56" s="132"/>
      <c r="FH56" s="132"/>
      <c r="FI56" s="132"/>
      <c r="FJ56" s="132"/>
      <c r="FK56" s="132"/>
      <c r="FL56" s="132"/>
      <c r="FM56" s="132"/>
      <c r="FN56" s="132"/>
      <c r="FO56" s="132"/>
      <c r="FP56" s="132"/>
      <c r="FQ56" s="132"/>
      <c r="FR56" s="132"/>
      <c r="FS56" s="132"/>
      <c r="FT56" s="132"/>
      <c r="FU56" s="132"/>
      <c r="FV56" s="132"/>
      <c r="FW56" s="132"/>
      <c r="FX56" s="132"/>
      <c r="FY56" s="132"/>
      <c r="FZ56" s="132"/>
      <c r="GA56" s="132"/>
      <c r="GB56" s="132"/>
      <c r="GC56" s="132"/>
      <c r="GD56" s="132"/>
      <c r="GE56" s="132"/>
      <c r="GF56" s="132"/>
      <c r="GG56" s="132"/>
      <c r="GH56" s="132"/>
      <c r="GI56" s="132"/>
      <c r="GJ56" s="132"/>
      <c r="GK56" s="132"/>
      <c r="GL56" s="132"/>
      <c r="GM56" s="132"/>
      <c r="GN56" s="132"/>
      <c r="GO56" s="132"/>
      <c r="GP56" s="132"/>
      <c r="GQ56" s="132"/>
      <c r="GR56" s="132"/>
      <c r="GS56" s="132"/>
      <c r="GT56" s="132"/>
      <c r="GU56" s="132"/>
      <c r="GV56" s="132"/>
      <c r="GW56" s="132"/>
      <c r="GX56" s="132"/>
      <c r="GY56" s="132"/>
      <c r="GZ56" s="132"/>
      <c r="HA56" s="132"/>
      <c r="HB56" s="132"/>
      <c r="HC56" s="132"/>
      <c r="HD56" s="132"/>
      <c r="HE56" s="132"/>
      <c r="HF56" s="132"/>
      <c r="HG56" s="132"/>
      <c r="HH56" s="132"/>
      <c r="HI56" s="132"/>
      <c r="HJ56" s="132"/>
      <c r="HK56" s="132"/>
      <c r="HL56" s="132"/>
      <c r="HM56" s="132"/>
      <c r="HN56" s="132"/>
      <c r="HO56" s="132"/>
      <c r="HP56" s="132"/>
      <c r="HQ56" s="132"/>
      <c r="HR56" s="132"/>
      <c r="HS56" s="132"/>
      <c r="HT56" s="132"/>
      <c r="HU56" s="132"/>
      <c r="HV56" s="132"/>
      <c r="HW56" s="132"/>
      <c r="HX56" s="132"/>
      <c r="HY56" s="132"/>
      <c r="HZ56" s="132"/>
      <c r="IA56" s="132"/>
      <c r="IB56" s="132"/>
      <c r="IC56" s="132"/>
      <c r="ID56" s="132"/>
      <c r="IE56" s="132"/>
      <c r="IF56" s="132"/>
      <c r="IG56" s="132"/>
      <c r="IH56" s="132"/>
      <c r="II56" s="132"/>
      <c r="IJ56" s="132"/>
      <c r="IK56" s="132"/>
      <c r="IL56" s="132"/>
      <c r="IM56" s="132"/>
      <c r="IN56" s="132"/>
      <c r="IO56" s="132"/>
      <c r="IP56" s="132"/>
      <c r="IQ56" s="132"/>
      <c r="IR56" s="132"/>
      <c r="IS56" s="132"/>
      <c r="IT56" s="132"/>
      <c r="IU56" s="132"/>
    </row>
    <row r="57" spans="1:15" s="18" customFormat="1" ht="13.5" customHeight="1">
      <c r="A57" s="224"/>
      <c r="B57" s="224"/>
      <c r="C57" s="28" t="s">
        <v>49</v>
      </c>
      <c r="D57" s="28"/>
      <c r="E57" s="28"/>
      <c r="F57" s="224"/>
      <c r="G57" s="224"/>
      <c r="H57" s="28"/>
      <c r="I57" s="28" t="s">
        <v>203</v>
      </c>
      <c r="J57" s="28"/>
      <c r="K57" s="224"/>
      <c r="L57" s="224"/>
      <c r="M57" s="28"/>
      <c r="N57" s="201" t="s">
        <v>253</v>
      </c>
      <c r="O57" s="201"/>
    </row>
    <row r="58" spans="1:15" ht="13.5" customHeight="1">
      <c r="A58" s="84"/>
      <c r="B58" s="84"/>
      <c r="C58" s="30" t="s">
        <v>248</v>
      </c>
      <c r="D58" s="30"/>
      <c r="E58" s="30"/>
      <c r="F58" s="84"/>
      <c r="G58" s="84"/>
      <c r="H58" s="30"/>
      <c r="I58" s="30" t="s">
        <v>207</v>
      </c>
      <c r="J58" s="30"/>
      <c r="K58" s="84"/>
      <c r="L58" s="84"/>
      <c r="M58" s="30"/>
      <c r="N58" s="200" t="s">
        <v>274</v>
      </c>
      <c r="O58" s="200"/>
    </row>
    <row r="59" spans="1:15" ht="13.5" customHeight="1">
      <c r="A59" s="84"/>
      <c r="B59" s="84"/>
      <c r="C59" s="32" t="s">
        <v>51</v>
      </c>
      <c r="D59" s="32"/>
      <c r="E59" s="32"/>
      <c r="F59" s="84"/>
      <c r="G59" s="84"/>
      <c r="H59" s="32"/>
      <c r="I59" s="30" t="s">
        <v>51</v>
      </c>
      <c r="J59" s="30"/>
      <c r="K59" s="84"/>
      <c r="L59" s="84"/>
      <c r="M59" s="30"/>
      <c r="N59" s="30" t="s">
        <v>51</v>
      </c>
      <c r="O59" s="30"/>
    </row>
    <row r="60" spans="1:15" ht="13.5" customHeigh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30"/>
    </row>
    <row r="61" ht="13.5" customHeight="1">
      <c r="N61" s="1"/>
    </row>
    <row r="63" spans="5:11" ht="13.5" customHeight="1">
      <c r="E63" s="225"/>
      <c r="F63" s="18"/>
      <c r="G63" s="18"/>
      <c r="H63" s="18"/>
      <c r="I63" s="18"/>
      <c r="J63" s="18"/>
      <c r="K63" s="18"/>
    </row>
    <row r="65" ht="13.5" customHeight="1">
      <c r="B65" s="2"/>
    </row>
    <row r="66" ht="11.25" customHeight="1">
      <c r="B66" s="33"/>
    </row>
    <row r="67" spans="1:14" ht="24" customHeight="1">
      <c r="A67" s="403"/>
      <c r="B67" s="403"/>
      <c r="C67" s="403"/>
      <c r="D67" s="403"/>
      <c r="E67" s="403"/>
      <c r="F67" s="403"/>
      <c r="G67" s="403"/>
      <c r="H67" s="403"/>
      <c r="I67" s="403"/>
      <c r="J67" s="403"/>
      <c r="K67" s="403"/>
      <c r="L67" s="403"/>
      <c r="M67" s="403"/>
      <c r="N67" s="403"/>
    </row>
    <row r="68" spans="1:14" ht="34.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</row>
  </sheetData>
  <sheetProtection/>
  <mergeCells count="80">
    <mergeCell ref="A40:L40"/>
    <mergeCell ref="A41:M41"/>
    <mergeCell ref="A1:O1"/>
    <mergeCell ref="A2:O2"/>
    <mergeCell ref="A3:O3"/>
    <mergeCell ref="I29:M29"/>
    <mergeCell ref="A29:F29"/>
    <mergeCell ref="A30:F30"/>
    <mergeCell ref="I27:M27"/>
    <mergeCell ref="I26:M26"/>
    <mergeCell ref="A68:N68"/>
    <mergeCell ref="A67:N67"/>
    <mergeCell ref="A43:M43"/>
    <mergeCell ref="A44:M44"/>
    <mergeCell ref="A45:M45"/>
    <mergeCell ref="A49:M49"/>
    <mergeCell ref="A50:M50"/>
    <mergeCell ref="A47:L47"/>
    <mergeCell ref="A52:M52"/>
    <mergeCell ref="A46:M46"/>
    <mergeCell ref="A19:F19"/>
    <mergeCell ref="A24:F24"/>
    <mergeCell ref="I19:M19"/>
    <mergeCell ref="A20:F20"/>
    <mergeCell ref="A23:F23"/>
    <mergeCell ref="I30:M30"/>
    <mergeCell ref="A21:F21"/>
    <mergeCell ref="I21:M21"/>
    <mergeCell ref="I24:M24"/>
    <mergeCell ref="I23:M23"/>
    <mergeCell ref="I12:M12"/>
    <mergeCell ref="A18:F18"/>
    <mergeCell ref="I16:M16"/>
    <mergeCell ref="A16:F16"/>
    <mergeCell ref="I18:M18"/>
    <mergeCell ref="I15:M15"/>
    <mergeCell ref="I17:M17"/>
    <mergeCell ref="A17:F17"/>
    <mergeCell ref="A15:F15"/>
    <mergeCell ref="I14:M14"/>
    <mergeCell ref="I11:M11"/>
    <mergeCell ref="I10:M10"/>
    <mergeCell ref="I8:M8"/>
    <mergeCell ref="A10:F10"/>
    <mergeCell ref="A11:F11"/>
    <mergeCell ref="I22:M22"/>
    <mergeCell ref="A22:F22"/>
    <mergeCell ref="I13:M13"/>
    <mergeCell ref="I20:M20"/>
    <mergeCell ref="A12:F12"/>
    <mergeCell ref="A14:F14"/>
    <mergeCell ref="A13:F13"/>
    <mergeCell ref="A5:G5"/>
    <mergeCell ref="I5:N5"/>
    <mergeCell ref="A9:F9"/>
    <mergeCell ref="I7:M7"/>
    <mergeCell ref="I6:M6"/>
    <mergeCell ref="A6:F6"/>
    <mergeCell ref="I9:M9"/>
    <mergeCell ref="A7:F7"/>
    <mergeCell ref="A8:F8"/>
    <mergeCell ref="I25:M25"/>
    <mergeCell ref="A28:F28"/>
    <mergeCell ref="A33:F33"/>
    <mergeCell ref="A32:F32"/>
    <mergeCell ref="I28:M28"/>
    <mergeCell ref="A25:F25"/>
    <mergeCell ref="A27:F27"/>
    <mergeCell ref="I33:M33"/>
    <mergeCell ref="A31:F31"/>
    <mergeCell ref="A26:F26"/>
    <mergeCell ref="A51:M51"/>
    <mergeCell ref="A36:M36"/>
    <mergeCell ref="A37:M37"/>
    <mergeCell ref="A38:M38"/>
    <mergeCell ref="I32:M32"/>
    <mergeCell ref="I31:M31"/>
    <mergeCell ref="A42:M42"/>
    <mergeCell ref="A48:L48"/>
    <mergeCell ref="A39:M39"/>
  </mergeCells>
  <conditionalFormatting sqref="A3">
    <cfRule type="cellIs" priority="1" dxfId="0" operator="equal" stopIfTrue="1">
      <formula>"DEZEMBRO 2017"</formula>
    </cfRule>
  </conditionalFormatting>
  <printOptions horizontalCentered="1"/>
  <pageMargins left="0.3937007874015748" right="0.3937007874015748" top="0.11811023622047245" bottom="0" header="0" footer="0"/>
  <pageSetup fitToHeight="0" fitToWidth="0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>
    <tabColor indexed="42"/>
    <pageSetUpPr fitToPage="1"/>
  </sheetPr>
  <dimension ref="A1:P78"/>
  <sheetViews>
    <sheetView zoomScale="120" zoomScaleNormal="120" zoomScalePageLayoutView="0" workbookViewId="0" topLeftCell="A1">
      <pane ySplit="8" topLeftCell="A9" activePane="bottomLeft" state="frozen"/>
      <selection pane="topLeft" activeCell="A6" sqref="A6:D6"/>
      <selection pane="bottomLeft" activeCell="A65" sqref="A65:G65"/>
    </sheetView>
  </sheetViews>
  <sheetFormatPr defaultColWidth="9.140625" defaultRowHeight="12.75"/>
  <cols>
    <col min="1" max="1" width="49.140625" style="35" bestFit="1" customWidth="1"/>
    <col min="2" max="5" width="18.00390625" style="35" customWidth="1"/>
    <col min="6" max="6" width="22.140625" style="35" bestFit="1" customWidth="1"/>
    <col min="7" max="7" width="24.00390625" style="35" bestFit="1" customWidth="1"/>
    <col min="8" max="8" width="9.140625" style="35" customWidth="1"/>
    <col min="9" max="9" width="15.00390625" style="157" bestFit="1" customWidth="1"/>
    <col min="10" max="16384" width="9.140625" style="35" customWidth="1"/>
  </cols>
  <sheetData>
    <row r="1" spans="1:4" ht="15">
      <c r="A1" s="118">
        <f>'B.F. 05'!A5:K5</f>
        <v>43344</v>
      </c>
      <c r="D1" s="93"/>
    </row>
    <row r="2" spans="1:7" ht="15.75">
      <c r="A2" s="434" t="s">
        <v>208</v>
      </c>
      <c r="B2" s="434"/>
      <c r="C2" s="434"/>
      <c r="D2" s="434"/>
      <c r="E2" s="434"/>
      <c r="F2" s="434"/>
      <c r="G2" s="434"/>
    </row>
    <row r="3" spans="1:7" ht="15.75">
      <c r="A3" s="434" t="s">
        <v>162</v>
      </c>
      <c r="B3" s="434"/>
      <c r="C3" s="434"/>
      <c r="D3" s="434"/>
      <c r="E3" s="434"/>
      <c r="F3" s="434"/>
      <c r="G3" s="434"/>
    </row>
    <row r="4" spans="1:7" ht="15.75">
      <c r="A4" s="434" t="s">
        <v>163</v>
      </c>
      <c r="B4" s="434"/>
      <c r="C4" s="434"/>
      <c r="D4" s="434"/>
      <c r="E4" s="434"/>
      <c r="F4" s="434"/>
      <c r="G4" s="434"/>
    </row>
    <row r="5" spans="1:7" ht="15.75">
      <c r="A5" s="434" t="s">
        <v>284</v>
      </c>
      <c r="B5" s="434"/>
      <c r="C5" s="434"/>
      <c r="D5" s="434"/>
      <c r="E5" s="434"/>
      <c r="F5" s="434"/>
      <c r="G5" s="434"/>
    </row>
    <row r="6" spans="1:5" ht="15">
      <c r="A6" s="34"/>
      <c r="B6" s="34"/>
      <c r="C6" s="34"/>
      <c r="D6" s="34"/>
      <c r="E6" s="34"/>
    </row>
    <row r="7" spans="1:7" ht="15">
      <c r="A7" s="160" t="s">
        <v>52</v>
      </c>
      <c r="B7" s="422" t="s">
        <v>164</v>
      </c>
      <c r="C7" s="422"/>
      <c r="D7" s="422" t="s">
        <v>165</v>
      </c>
      <c r="E7" s="422"/>
      <c r="F7" s="161" t="s">
        <v>166</v>
      </c>
      <c r="G7" s="161" t="s">
        <v>167</v>
      </c>
    </row>
    <row r="8" spans="1:7" ht="15.75">
      <c r="A8" s="268" t="s">
        <v>53</v>
      </c>
      <c r="B8" s="423">
        <f>SUM(B9:B16)</f>
        <v>166677120</v>
      </c>
      <c r="C8" s="423"/>
      <c r="D8" s="423">
        <f>SUM(D9:D16)</f>
        <v>166677120</v>
      </c>
      <c r="E8" s="423"/>
      <c r="F8" s="238">
        <f>SUM(F9:F16)</f>
        <v>21612429.61</v>
      </c>
      <c r="G8" s="238">
        <f>F8-D8</f>
        <v>-145064690.39</v>
      </c>
    </row>
    <row r="9" spans="1:7" ht="15.75">
      <c r="A9" s="245" t="s">
        <v>54</v>
      </c>
      <c r="B9" s="420"/>
      <c r="C9" s="421"/>
      <c r="D9" s="420"/>
      <c r="E9" s="421"/>
      <c r="F9" s="239"/>
      <c r="G9" s="239">
        <f aca="true" t="shared" si="0" ref="G9:G22">F9-D9</f>
        <v>0</v>
      </c>
    </row>
    <row r="10" spans="1:7" ht="15.75">
      <c r="A10" s="245" t="s">
        <v>55</v>
      </c>
      <c r="B10" s="418"/>
      <c r="C10" s="419"/>
      <c r="D10" s="420"/>
      <c r="E10" s="421"/>
      <c r="F10" s="239"/>
      <c r="G10" s="239">
        <f t="shared" si="0"/>
        <v>0</v>
      </c>
    </row>
    <row r="11" spans="1:7" ht="15.75">
      <c r="A11" s="245" t="s">
        <v>168</v>
      </c>
      <c r="B11" s="418">
        <f>HLOOKUP($A$1,DADOS!1:156,4,0)</f>
        <v>20456624</v>
      </c>
      <c r="C11" s="419"/>
      <c r="D11" s="420">
        <f>$B$11</f>
        <v>20456624</v>
      </c>
      <c r="E11" s="421"/>
      <c r="F11" s="240">
        <f>HLOOKUP($A$1,DADOS!1:156,8,0)</f>
        <v>11577933.4</v>
      </c>
      <c r="G11" s="239">
        <f>F11-D11</f>
        <v>-8878690.6</v>
      </c>
    </row>
    <row r="12" spans="1:7" ht="15.75">
      <c r="A12" s="245" t="s">
        <v>56</v>
      </c>
      <c r="B12" s="418"/>
      <c r="C12" s="419"/>
      <c r="D12" s="420">
        <f>B12</f>
        <v>0</v>
      </c>
      <c r="E12" s="421"/>
      <c r="F12" s="239"/>
      <c r="G12" s="239">
        <f t="shared" si="0"/>
        <v>0</v>
      </c>
    </row>
    <row r="13" spans="1:7" ht="15.75">
      <c r="A13" s="245" t="s">
        <v>169</v>
      </c>
      <c r="B13" s="420"/>
      <c r="C13" s="421"/>
      <c r="D13" s="420">
        <f>B13</f>
        <v>0</v>
      </c>
      <c r="E13" s="421"/>
      <c r="F13" s="239"/>
      <c r="G13" s="239">
        <f t="shared" si="0"/>
        <v>0</v>
      </c>
    </row>
    <row r="14" spans="1:7" ht="15.75">
      <c r="A14" s="245" t="s">
        <v>57</v>
      </c>
      <c r="B14" s="420"/>
      <c r="C14" s="421"/>
      <c r="D14" s="420">
        <f>B14</f>
        <v>0</v>
      </c>
      <c r="E14" s="421"/>
      <c r="F14" s="239"/>
      <c r="G14" s="239">
        <f t="shared" si="0"/>
        <v>0</v>
      </c>
    </row>
    <row r="15" spans="1:7" ht="15.75">
      <c r="A15" s="245" t="s">
        <v>58</v>
      </c>
      <c r="B15" s="420"/>
      <c r="C15" s="421"/>
      <c r="D15" s="420">
        <f>B15</f>
        <v>0</v>
      </c>
      <c r="E15" s="421"/>
      <c r="F15" s="239"/>
      <c r="G15" s="239">
        <f t="shared" si="0"/>
        <v>0</v>
      </c>
    </row>
    <row r="16" spans="1:7" ht="15.75">
      <c r="A16" s="245" t="s">
        <v>59</v>
      </c>
      <c r="B16" s="418">
        <f>HLOOKUP($A$1,DADOS!1:156,12,0)</f>
        <v>146220496</v>
      </c>
      <c r="C16" s="419"/>
      <c r="D16" s="420">
        <f>$B$16</f>
        <v>146220496</v>
      </c>
      <c r="E16" s="421"/>
      <c r="F16" s="240">
        <f>HLOOKUP($A$1,DADOS!1:156,16,0)+HLOOKUP($A$1,DADOS!1:156,26,0)+HLOOKUP($A$1,DADOS!1:156,34,0)+HLOOKUP($A$1,DADOS!1:156,44,0)</f>
        <v>10034496.21</v>
      </c>
      <c r="G16" s="239">
        <f>F16-D16</f>
        <v>-136185999.79</v>
      </c>
    </row>
    <row r="17" spans="1:7" ht="15.75">
      <c r="A17" s="266" t="s">
        <v>170</v>
      </c>
      <c r="B17" s="424">
        <f>SUM(B18:B22)</f>
        <v>0</v>
      </c>
      <c r="C17" s="424"/>
      <c r="D17" s="424">
        <f>SUM(D18:D22)</f>
        <v>0</v>
      </c>
      <c r="E17" s="424"/>
      <c r="F17" s="37">
        <f>SUM(F18:F22)</f>
        <v>0</v>
      </c>
      <c r="G17" s="37">
        <f t="shared" si="0"/>
        <v>0</v>
      </c>
    </row>
    <row r="18" spans="1:7" ht="15.75">
      <c r="A18" s="245" t="s">
        <v>60</v>
      </c>
      <c r="B18" s="414"/>
      <c r="C18" s="415"/>
      <c r="D18" s="414"/>
      <c r="E18" s="415"/>
      <c r="F18" s="38"/>
      <c r="G18" s="36">
        <f t="shared" si="0"/>
        <v>0</v>
      </c>
    </row>
    <row r="19" spans="1:7" ht="15.75">
      <c r="A19" s="245" t="s">
        <v>171</v>
      </c>
      <c r="B19" s="414"/>
      <c r="C19" s="415"/>
      <c r="D19" s="414"/>
      <c r="E19" s="415"/>
      <c r="F19" s="38"/>
      <c r="G19" s="36">
        <f t="shared" si="0"/>
        <v>0</v>
      </c>
    </row>
    <row r="20" spans="1:7" ht="15.75">
      <c r="A20" s="245" t="s">
        <v>61</v>
      </c>
      <c r="B20" s="414"/>
      <c r="C20" s="415"/>
      <c r="D20" s="414"/>
      <c r="E20" s="415"/>
      <c r="F20" s="38"/>
      <c r="G20" s="36">
        <f t="shared" si="0"/>
        <v>0</v>
      </c>
    </row>
    <row r="21" spans="1:7" ht="15.75">
      <c r="A21" s="245" t="s">
        <v>172</v>
      </c>
      <c r="B21" s="414"/>
      <c r="C21" s="415"/>
      <c r="D21" s="414"/>
      <c r="E21" s="415"/>
      <c r="F21" s="38"/>
      <c r="G21" s="36">
        <f t="shared" si="0"/>
        <v>0</v>
      </c>
    </row>
    <row r="22" spans="1:7" ht="15.75">
      <c r="A22" s="245" t="s">
        <v>173</v>
      </c>
      <c r="B22" s="414"/>
      <c r="C22" s="415"/>
      <c r="D22" s="414"/>
      <c r="E22" s="415"/>
      <c r="F22" s="38"/>
      <c r="G22" s="36">
        <f t="shared" si="0"/>
        <v>0</v>
      </c>
    </row>
    <row r="23" spans="1:7" ht="15.75">
      <c r="A23" s="267" t="s">
        <v>62</v>
      </c>
      <c r="B23" s="413"/>
      <c r="C23" s="413"/>
      <c r="D23" s="413"/>
      <c r="E23" s="413"/>
      <c r="F23" s="39"/>
      <c r="G23" s="39"/>
    </row>
    <row r="24" spans="1:9" s="40" customFormat="1" ht="15.75">
      <c r="A24" s="266" t="s">
        <v>174</v>
      </c>
      <c r="B24" s="427">
        <f>B8+B17+B23</f>
        <v>166677120</v>
      </c>
      <c r="C24" s="427"/>
      <c r="D24" s="427">
        <f>D8+D17+D23</f>
        <v>166677120</v>
      </c>
      <c r="E24" s="427"/>
      <c r="F24" s="241">
        <f>F8+F17+F23</f>
        <v>21612429.61</v>
      </c>
      <c r="G24" s="241">
        <f>F24-D24</f>
        <v>-145064690.39</v>
      </c>
      <c r="I24" s="164"/>
    </row>
    <row r="25" spans="1:7" ht="15.75">
      <c r="A25" s="268" t="s">
        <v>63</v>
      </c>
      <c r="B25" s="428">
        <f>SUM(B26:B31)</f>
        <v>0</v>
      </c>
      <c r="C25" s="428"/>
      <c r="D25" s="428">
        <f>SUM(D26:D31)</f>
        <v>0</v>
      </c>
      <c r="E25" s="428"/>
      <c r="F25" s="41">
        <f>SUM(F26:F31)</f>
        <v>0</v>
      </c>
      <c r="G25" s="41">
        <f>F25-D25</f>
        <v>0</v>
      </c>
    </row>
    <row r="26" spans="1:7" ht="15.75">
      <c r="A26" s="245" t="s">
        <v>64</v>
      </c>
      <c r="B26" s="416"/>
      <c r="C26" s="417"/>
      <c r="D26" s="414"/>
      <c r="E26" s="415"/>
      <c r="F26" s="38"/>
      <c r="G26" s="38"/>
    </row>
    <row r="27" spans="1:7" ht="15.75">
      <c r="A27" s="245" t="s">
        <v>175</v>
      </c>
      <c r="B27" s="414"/>
      <c r="C27" s="415"/>
      <c r="D27" s="414"/>
      <c r="E27" s="415"/>
      <c r="F27" s="38"/>
      <c r="G27" s="38"/>
    </row>
    <row r="28" spans="1:7" ht="15.75">
      <c r="A28" s="245" t="s">
        <v>176</v>
      </c>
      <c r="B28" s="414"/>
      <c r="C28" s="415"/>
      <c r="D28" s="414"/>
      <c r="E28" s="415"/>
      <c r="F28" s="38"/>
      <c r="G28" s="38"/>
    </row>
    <row r="29" spans="1:7" ht="15.75">
      <c r="A29" s="245" t="s">
        <v>65</v>
      </c>
      <c r="B29" s="414"/>
      <c r="C29" s="415"/>
      <c r="D29" s="414"/>
      <c r="E29" s="415"/>
      <c r="F29" s="38"/>
      <c r="G29" s="38"/>
    </row>
    <row r="30" spans="1:7" ht="15.75">
      <c r="A30" s="245" t="s">
        <v>175</v>
      </c>
      <c r="B30" s="414"/>
      <c r="C30" s="415"/>
      <c r="D30" s="414"/>
      <c r="E30" s="415"/>
      <c r="F30" s="38"/>
      <c r="G30" s="38"/>
    </row>
    <row r="31" spans="1:7" ht="15.75">
      <c r="A31" s="245" t="s">
        <v>176</v>
      </c>
      <c r="B31" s="414"/>
      <c r="C31" s="415"/>
      <c r="D31" s="414"/>
      <c r="E31" s="415"/>
      <c r="F31" s="38"/>
      <c r="G31" s="38"/>
    </row>
    <row r="32" spans="1:7" ht="15.75">
      <c r="A32" s="266" t="s">
        <v>177</v>
      </c>
      <c r="B32" s="427">
        <f>B25+B24</f>
        <v>166677120</v>
      </c>
      <c r="C32" s="427"/>
      <c r="D32" s="427">
        <f>D25+D24</f>
        <v>166677120</v>
      </c>
      <c r="E32" s="427"/>
      <c r="F32" s="241">
        <f>F25+F24</f>
        <v>21612429.61</v>
      </c>
      <c r="G32" s="241">
        <f>F32-D32</f>
        <v>-145064690.39</v>
      </c>
    </row>
    <row r="33" spans="1:8" ht="15.75">
      <c r="A33" s="267" t="s">
        <v>66</v>
      </c>
      <c r="B33" s="429">
        <f>IF(B32&gt;B59,0,B59-B32)</f>
        <v>0</v>
      </c>
      <c r="C33" s="429"/>
      <c r="D33" s="429">
        <f>IF(D32&gt;C59,0,C59-D32)</f>
        <v>0</v>
      </c>
      <c r="E33" s="429"/>
      <c r="F33" s="242">
        <f>IF(F32&gt;D59,0,D59-F32)</f>
        <v>32107386.46</v>
      </c>
      <c r="G33" s="242">
        <f>+F33-D33</f>
        <v>32107386.46</v>
      </c>
      <c r="H33" s="159"/>
    </row>
    <row r="34" spans="1:9" s="40" customFormat="1" ht="15.75">
      <c r="A34" s="266" t="s">
        <v>178</v>
      </c>
      <c r="B34" s="427">
        <f>B32+B33</f>
        <v>166677120</v>
      </c>
      <c r="C34" s="427"/>
      <c r="D34" s="427">
        <f>D32+D33</f>
        <v>166677120</v>
      </c>
      <c r="E34" s="427"/>
      <c r="F34" s="241">
        <f>F32+F33</f>
        <v>53719816.07</v>
      </c>
      <c r="G34" s="241">
        <f>F34-D34</f>
        <v>-112957303.93</v>
      </c>
      <c r="I34" s="164"/>
    </row>
    <row r="35" spans="1:7" ht="15.75">
      <c r="A35" s="269" t="s">
        <v>179</v>
      </c>
      <c r="B35" s="425">
        <f>SUM(B36:C37)</f>
        <v>0</v>
      </c>
      <c r="C35" s="426"/>
      <c r="D35" s="425">
        <f>SUM(D36:E37)</f>
        <v>0</v>
      </c>
      <c r="E35" s="426"/>
      <c r="F35" s="243">
        <f>SUM(F36:F37)</f>
        <v>0</v>
      </c>
      <c r="G35" s="243">
        <f>SUM(G36:G37)</f>
        <v>0</v>
      </c>
    </row>
    <row r="36" spans="1:7" ht="15.75">
      <c r="A36" s="270" t="s">
        <v>214</v>
      </c>
      <c r="B36" s="433"/>
      <c r="C36" s="433"/>
      <c r="D36" s="433"/>
      <c r="E36" s="433"/>
      <c r="F36" s="42"/>
      <c r="G36" s="42"/>
    </row>
    <row r="37" spans="1:7" ht="15.75">
      <c r="A37" s="271" t="s">
        <v>67</v>
      </c>
      <c r="B37" s="432"/>
      <c r="C37" s="432"/>
      <c r="D37" s="432"/>
      <c r="E37" s="432"/>
      <c r="F37" s="162"/>
      <c r="G37" s="162"/>
    </row>
    <row r="38" spans="1:5" ht="15">
      <c r="A38" s="43"/>
      <c r="B38" s="44"/>
      <c r="C38" s="44"/>
      <c r="D38" s="44"/>
      <c r="E38" s="44"/>
    </row>
    <row r="40" spans="1:9" s="45" customFormat="1" ht="30">
      <c r="A40" s="272" t="s">
        <v>68</v>
      </c>
      <c r="B40" s="163" t="s">
        <v>180</v>
      </c>
      <c r="C40" s="163" t="s">
        <v>181</v>
      </c>
      <c r="D40" s="163" t="s">
        <v>69</v>
      </c>
      <c r="E40" s="163" t="s">
        <v>182</v>
      </c>
      <c r="F40" s="163" t="s">
        <v>70</v>
      </c>
      <c r="G40" s="163" t="s">
        <v>183</v>
      </c>
      <c r="I40" s="165"/>
    </row>
    <row r="41" spans="1:7" ht="15.75">
      <c r="A41" s="268" t="s">
        <v>71</v>
      </c>
      <c r="B41" s="244">
        <f>SUM(B42:B44)</f>
        <v>16355000</v>
      </c>
      <c r="C41" s="244">
        <f>SUM(C42:C44)</f>
        <v>86280125.77</v>
      </c>
      <c r="D41" s="244">
        <f>SUM(D42:D44)</f>
        <v>50566170.3</v>
      </c>
      <c r="E41" s="244">
        <f>SUM(E42:E44)</f>
        <v>36644802.68</v>
      </c>
      <c r="F41" s="244">
        <f>SUM(F42:F44)</f>
        <v>35376763.02</v>
      </c>
      <c r="G41" s="244">
        <f>C41-D41</f>
        <v>35713955.47</v>
      </c>
    </row>
    <row r="42" spans="1:7" ht="15.75">
      <c r="A42" s="245" t="s">
        <v>72</v>
      </c>
      <c r="B42" s="245"/>
      <c r="C42" s="245"/>
      <c r="D42" s="245"/>
      <c r="E42" s="245"/>
      <c r="F42" s="245"/>
      <c r="G42" s="245"/>
    </row>
    <row r="43" spans="1:7" ht="15.75">
      <c r="A43" s="245" t="s">
        <v>73</v>
      </c>
      <c r="B43" s="245"/>
      <c r="C43" s="245"/>
      <c r="D43" s="245"/>
      <c r="E43" s="245"/>
      <c r="F43" s="245"/>
      <c r="G43" s="245"/>
    </row>
    <row r="44" spans="1:7" ht="15.75">
      <c r="A44" s="245" t="s">
        <v>74</v>
      </c>
      <c r="B44" s="246">
        <f>HLOOKUP($A$1,DADOS!1:156,82,0)</f>
        <v>16355000</v>
      </c>
      <c r="C44" s="247">
        <f>HLOOKUP($A$1,DADOS!1:156,83,0)</f>
        <v>86280125.77</v>
      </c>
      <c r="D44" s="246">
        <f>HLOOKUP($A$1,DADOS!1:156,84,0)</f>
        <v>50566170.3</v>
      </c>
      <c r="E44" s="246">
        <f>HLOOKUP($A$1,DADOS!1:156,85,0)</f>
        <v>36644802.68</v>
      </c>
      <c r="F44" s="246">
        <f>HLOOKUP($A$1,DADOS!1:156,86,0)</f>
        <v>35376763.02</v>
      </c>
      <c r="G44" s="248">
        <f>C44-D44</f>
        <v>35713955.47</v>
      </c>
    </row>
    <row r="45" spans="1:7" ht="15.75">
      <c r="A45" s="266" t="s">
        <v>184</v>
      </c>
      <c r="B45" s="249">
        <f>SUM(B46:B48)</f>
        <v>104856584</v>
      </c>
      <c r="C45" s="249">
        <f>SUM(C46:C48)</f>
        <v>17568344.92</v>
      </c>
      <c r="D45" s="249">
        <f>SUM(D46:D48)</f>
        <v>3153645.77</v>
      </c>
      <c r="E45" s="249">
        <f>SUM(E46:E48)</f>
        <v>3115875.75</v>
      </c>
      <c r="F45" s="249">
        <f>SUM(F46:F48)</f>
        <v>3115875.75</v>
      </c>
      <c r="G45" s="250">
        <f>C45-D45</f>
        <v>14414699.150000002</v>
      </c>
    </row>
    <row r="46" spans="1:7" ht="15.75">
      <c r="A46" s="245" t="s">
        <v>75</v>
      </c>
      <c r="B46" s="246">
        <f>HLOOKUP($A$1,DADOS!1:156,88,0)</f>
        <v>104856584</v>
      </c>
      <c r="C46" s="247">
        <f>HLOOKUP($A$1,DADOS!1:156,89,0)</f>
        <v>17568344.92</v>
      </c>
      <c r="D46" s="246">
        <f>HLOOKUP($A$1,DADOS!1:156,90,0)</f>
        <v>3153645.77</v>
      </c>
      <c r="E46" s="246">
        <f>HLOOKUP($A$1,DADOS!1:156,91,0)</f>
        <v>3115875.75</v>
      </c>
      <c r="F46" s="246">
        <f>HLOOKUP($A$1,DADOS!1:156,92,0)</f>
        <v>3115875.75</v>
      </c>
      <c r="G46" s="248">
        <f>C46-D46</f>
        <v>14414699.150000002</v>
      </c>
    </row>
    <row r="47" spans="1:7" ht="15.75">
      <c r="A47" s="245" t="s">
        <v>76</v>
      </c>
      <c r="B47" s="245"/>
      <c r="C47" s="245"/>
      <c r="D47" s="245"/>
      <c r="E47" s="245"/>
      <c r="F47" s="245"/>
      <c r="G47" s="245"/>
    </row>
    <row r="48" spans="1:7" ht="15.75">
      <c r="A48" s="245" t="s">
        <v>77</v>
      </c>
      <c r="B48" s="245"/>
      <c r="C48" s="245"/>
      <c r="D48" s="245"/>
      <c r="E48" s="245"/>
      <c r="F48" s="245"/>
      <c r="G48" s="245"/>
    </row>
    <row r="49" spans="1:7" ht="15.75">
      <c r="A49" s="251" t="s">
        <v>78</v>
      </c>
      <c r="B49" s="251"/>
      <c r="C49" s="251"/>
      <c r="D49" s="251"/>
      <c r="E49" s="251"/>
      <c r="F49" s="251"/>
      <c r="G49" s="251"/>
    </row>
    <row r="50" spans="1:7" ht="15.75">
      <c r="A50" s="251" t="s">
        <v>79</v>
      </c>
      <c r="B50" s="251"/>
      <c r="C50" s="251"/>
      <c r="D50" s="251"/>
      <c r="E50" s="251"/>
      <c r="F50" s="251"/>
      <c r="G50" s="251"/>
    </row>
    <row r="51" spans="1:7" ht="15.75">
      <c r="A51" s="266" t="s">
        <v>185</v>
      </c>
      <c r="B51" s="250">
        <f>B41+B45+B49+B50</f>
        <v>121211584</v>
      </c>
      <c r="C51" s="250">
        <f>C41+C45+C49+C50</f>
        <v>103848470.69</v>
      </c>
      <c r="D51" s="250">
        <f>D41+D45+D49+D50</f>
        <v>53719816.07</v>
      </c>
      <c r="E51" s="250">
        <f>E41+E45+E49+E50</f>
        <v>39760678.43</v>
      </c>
      <c r="F51" s="250">
        <f>F41+F45+F49+F50</f>
        <v>38492638.77</v>
      </c>
      <c r="G51" s="250">
        <f>C51-D51</f>
        <v>50128654.62</v>
      </c>
    </row>
    <row r="52" spans="1:7" ht="15.75">
      <c r="A52" s="268" t="s">
        <v>80</v>
      </c>
      <c r="B52" s="243">
        <f>SUM(B53:B58)</f>
        <v>0</v>
      </c>
      <c r="C52" s="243">
        <f>SUM(C53:C58)</f>
        <v>0</v>
      </c>
      <c r="D52" s="243">
        <f>SUM(D53:D58)</f>
        <v>0</v>
      </c>
      <c r="E52" s="243">
        <f>SUM(E53:E58)</f>
        <v>0</v>
      </c>
      <c r="F52" s="243">
        <f>SUM(F53:F58)</f>
        <v>0</v>
      </c>
      <c r="G52" s="243">
        <f>(C52-D52)</f>
        <v>0</v>
      </c>
    </row>
    <row r="53" spans="1:7" ht="15.75">
      <c r="A53" s="245" t="s">
        <v>81</v>
      </c>
      <c r="B53" s="245"/>
      <c r="C53" s="245"/>
      <c r="D53" s="245"/>
      <c r="E53" s="245"/>
      <c r="F53" s="245"/>
      <c r="G53" s="245"/>
    </row>
    <row r="54" spans="1:7" ht="15.75">
      <c r="A54" s="245" t="s">
        <v>186</v>
      </c>
      <c r="B54" s="245"/>
      <c r="C54" s="245"/>
      <c r="D54" s="245"/>
      <c r="E54" s="245"/>
      <c r="F54" s="245"/>
      <c r="G54" s="245"/>
    </row>
    <row r="55" spans="1:7" ht="15.75">
      <c r="A55" s="245" t="s">
        <v>82</v>
      </c>
      <c r="B55" s="245"/>
      <c r="C55" s="245"/>
      <c r="D55" s="245"/>
      <c r="E55" s="245"/>
      <c r="F55" s="245"/>
      <c r="G55" s="245"/>
    </row>
    <row r="56" spans="1:7" ht="15.75">
      <c r="A56" s="245" t="s">
        <v>83</v>
      </c>
      <c r="B56" s="245"/>
      <c r="C56" s="245"/>
      <c r="D56" s="245"/>
      <c r="E56" s="245"/>
      <c r="F56" s="245"/>
      <c r="G56" s="245"/>
    </row>
    <row r="57" spans="1:7" ht="15.75">
      <c r="A57" s="245" t="s">
        <v>187</v>
      </c>
      <c r="B57" s="245"/>
      <c r="C57" s="245"/>
      <c r="D57" s="245"/>
      <c r="E57" s="245"/>
      <c r="F57" s="245"/>
      <c r="G57" s="245"/>
    </row>
    <row r="58" spans="1:7" ht="15.75">
      <c r="A58" s="245" t="s">
        <v>82</v>
      </c>
      <c r="B58" s="245"/>
      <c r="C58" s="245"/>
      <c r="D58" s="245"/>
      <c r="E58" s="245"/>
      <c r="F58" s="245"/>
      <c r="G58" s="245"/>
    </row>
    <row r="59" spans="1:7" ht="15.75">
      <c r="A59" s="266" t="s">
        <v>188</v>
      </c>
      <c r="B59" s="250">
        <f>(B51+B52)</f>
        <v>121211584</v>
      </c>
      <c r="C59" s="250">
        <f>(C51+C52)</f>
        <v>103848470.69</v>
      </c>
      <c r="D59" s="250">
        <f>(D51+D52)</f>
        <v>53719816.07</v>
      </c>
      <c r="E59" s="250">
        <f>(E51+E52)</f>
        <v>39760678.43</v>
      </c>
      <c r="F59" s="250">
        <f>(F51+F52)</f>
        <v>38492638.77</v>
      </c>
      <c r="G59" s="249">
        <f>(C59-D59)</f>
        <v>50128654.62</v>
      </c>
    </row>
    <row r="60" spans="1:7" ht="15.75">
      <c r="A60" s="266" t="s">
        <v>84</v>
      </c>
      <c r="B60" s="249">
        <f>IF(B32&gt;B59,B32-B59,0)</f>
        <v>45465536</v>
      </c>
      <c r="C60" s="249">
        <f>IF(D32&gt;C59,D32-C59,0)</f>
        <v>62828649.31</v>
      </c>
      <c r="D60" s="249">
        <f>IF(F32&gt;D59,F32-D59,0)</f>
        <v>0</v>
      </c>
      <c r="E60" s="249">
        <f>IF(E32&gt;E59,E32-E59,0)</f>
        <v>0</v>
      </c>
      <c r="F60" s="249">
        <v>0</v>
      </c>
      <c r="G60" s="241">
        <f>+C60-D60</f>
        <v>62828649.31</v>
      </c>
    </row>
    <row r="61" spans="1:7" ht="15.75">
      <c r="A61" s="266" t="s">
        <v>189</v>
      </c>
      <c r="B61" s="250">
        <f>B59+B60</f>
        <v>166677120</v>
      </c>
      <c r="C61" s="250">
        <f>C59+C60</f>
        <v>166677120</v>
      </c>
      <c r="D61" s="250">
        <f>D59+D60</f>
        <v>53719816.07</v>
      </c>
      <c r="E61" s="250">
        <f>E59+E60</f>
        <v>39760678.43</v>
      </c>
      <c r="F61" s="250">
        <f>F59+F60</f>
        <v>38492638.77</v>
      </c>
      <c r="G61" s="249">
        <f>(C61-D61)</f>
        <v>112957303.93</v>
      </c>
    </row>
    <row r="62" spans="1:14" s="125" customFormat="1" ht="13.5" customHeight="1">
      <c r="A62" s="208" t="s">
        <v>46</v>
      </c>
      <c r="B62" s="122"/>
      <c r="C62" s="122"/>
      <c r="D62" s="122"/>
      <c r="E62" s="123"/>
      <c r="F62" s="123"/>
      <c r="G62" s="123"/>
      <c r="H62" s="122"/>
      <c r="I62" s="166"/>
      <c r="J62" s="122"/>
      <c r="K62" s="123"/>
      <c r="L62" s="123"/>
      <c r="M62" s="123"/>
      <c r="N62" s="124"/>
    </row>
    <row r="63" spans="1:16" s="125" customFormat="1" ht="9">
      <c r="A63" s="126"/>
      <c r="B63" s="126"/>
      <c r="C63" s="126"/>
      <c r="D63" s="126"/>
      <c r="E63" s="126"/>
      <c r="F63" s="126"/>
      <c r="G63" s="126"/>
      <c r="H63" s="126"/>
      <c r="I63" s="167"/>
      <c r="J63" s="126"/>
      <c r="K63" s="126"/>
      <c r="L63" s="126"/>
      <c r="M63" s="126"/>
      <c r="N63" s="129"/>
      <c r="P63" s="128"/>
    </row>
    <row r="64" spans="1:14" s="125" customFormat="1" ht="9">
      <c r="A64" s="208" t="s">
        <v>47</v>
      </c>
      <c r="B64" s="126"/>
      <c r="C64" s="126"/>
      <c r="D64" s="126"/>
      <c r="E64" s="126"/>
      <c r="F64" s="126"/>
      <c r="G64" s="126"/>
      <c r="H64" s="126"/>
      <c r="I64" s="167"/>
      <c r="J64" s="126"/>
      <c r="K64" s="126"/>
      <c r="L64" s="126"/>
      <c r="M64" s="126"/>
      <c r="N64" s="127"/>
    </row>
    <row r="65" spans="1:14" s="125" customFormat="1" ht="11.25">
      <c r="A65" s="412" t="s">
        <v>48</v>
      </c>
      <c r="B65" s="412"/>
      <c r="C65" s="412"/>
      <c r="D65" s="412"/>
      <c r="E65" s="412"/>
      <c r="F65" s="412"/>
      <c r="G65" s="412"/>
      <c r="H65" s="169"/>
      <c r="I65" s="169"/>
      <c r="J65" s="169"/>
      <c r="K65" s="169"/>
      <c r="L65" s="169"/>
      <c r="M65" s="169"/>
      <c r="N65" s="169"/>
    </row>
    <row r="66" spans="1:14" s="125" customFormat="1" ht="11.25">
      <c r="A66" s="412" t="s">
        <v>236</v>
      </c>
      <c r="B66" s="412"/>
      <c r="C66" s="412"/>
      <c r="D66" s="412"/>
      <c r="E66" s="412"/>
      <c r="F66" s="412"/>
      <c r="G66" s="412"/>
      <c r="H66" s="169"/>
      <c r="I66" s="169"/>
      <c r="J66" s="169"/>
      <c r="K66" s="169"/>
      <c r="L66" s="169"/>
      <c r="M66" s="169"/>
      <c r="N66" s="169"/>
    </row>
    <row r="67" spans="1:14" s="125" customFormat="1" ht="11.25">
      <c r="A67" s="412" t="s">
        <v>211</v>
      </c>
      <c r="B67" s="412"/>
      <c r="C67" s="412"/>
      <c r="D67" s="412"/>
      <c r="E67" s="412"/>
      <c r="F67" s="412"/>
      <c r="G67" s="412"/>
      <c r="H67" s="169"/>
      <c r="I67" s="169"/>
      <c r="J67" s="169"/>
      <c r="K67" s="169"/>
      <c r="L67" s="169"/>
      <c r="M67" s="169"/>
      <c r="N67" s="169"/>
    </row>
    <row r="68" spans="1:14" s="125" customFormat="1" ht="11.25">
      <c r="A68" s="412" t="s">
        <v>238</v>
      </c>
      <c r="B68" s="412"/>
      <c r="C68" s="412"/>
      <c r="D68" s="412"/>
      <c r="E68" s="412"/>
      <c r="F68" s="412"/>
      <c r="G68" s="412"/>
      <c r="H68" s="169"/>
      <c r="I68" s="169"/>
      <c r="J68" s="169"/>
      <c r="K68" s="169"/>
      <c r="L68" s="169"/>
      <c r="M68" s="169"/>
      <c r="N68" s="169"/>
    </row>
    <row r="75" spans="1:9" s="18" customFormat="1" ht="13.5" customHeight="1">
      <c r="A75" s="26" t="s">
        <v>247</v>
      </c>
      <c r="B75" s="431" t="s">
        <v>215</v>
      </c>
      <c r="C75" s="431"/>
      <c r="D75" s="431"/>
      <c r="E75" s="408" t="s">
        <v>267</v>
      </c>
      <c r="F75" s="408"/>
      <c r="G75" s="408"/>
      <c r="H75" s="408"/>
      <c r="I75" s="168"/>
    </row>
    <row r="76" spans="1:9" s="1" customFormat="1" ht="13.5" customHeight="1">
      <c r="A76" s="28" t="s">
        <v>49</v>
      </c>
      <c r="B76" s="430" t="s">
        <v>203</v>
      </c>
      <c r="C76" s="430"/>
      <c r="D76" s="430"/>
      <c r="E76" s="409" t="s">
        <v>253</v>
      </c>
      <c r="F76" s="409"/>
      <c r="G76" s="409"/>
      <c r="H76" s="409"/>
      <c r="I76" s="2"/>
    </row>
    <row r="77" spans="1:9" s="1" customFormat="1" ht="13.5" customHeight="1">
      <c r="A77" s="30" t="s">
        <v>248</v>
      </c>
      <c r="B77" s="411" t="s">
        <v>207</v>
      </c>
      <c r="C77" s="411"/>
      <c r="D77" s="411"/>
      <c r="E77" s="410" t="s">
        <v>274</v>
      </c>
      <c r="F77" s="410"/>
      <c r="G77" s="410"/>
      <c r="H77" s="410"/>
      <c r="I77" s="2"/>
    </row>
    <row r="78" spans="1:9" s="1" customFormat="1" ht="13.5" customHeight="1">
      <c r="A78" s="32" t="s">
        <v>51</v>
      </c>
      <c r="B78" s="411" t="s">
        <v>51</v>
      </c>
      <c r="C78" s="411"/>
      <c r="D78" s="411"/>
      <c r="E78" s="411" t="s">
        <v>51</v>
      </c>
      <c r="F78" s="411"/>
      <c r="G78" s="411"/>
      <c r="H78" s="411"/>
      <c r="I78" s="2"/>
    </row>
  </sheetData>
  <sheetProtection/>
  <mergeCells count="78">
    <mergeCell ref="D29:E29"/>
    <mergeCell ref="D30:E30"/>
    <mergeCell ref="B78:D78"/>
    <mergeCell ref="D33:E33"/>
    <mergeCell ref="D34:E34"/>
    <mergeCell ref="B77:D77"/>
    <mergeCell ref="B36:C36"/>
    <mergeCell ref="A66:G66"/>
    <mergeCell ref="A65:G65"/>
    <mergeCell ref="A67:G67"/>
    <mergeCell ref="A2:G2"/>
    <mergeCell ref="A3:G3"/>
    <mergeCell ref="A4:G4"/>
    <mergeCell ref="A5:G5"/>
    <mergeCell ref="D31:E31"/>
    <mergeCell ref="D32:E32"/>
    <mergeCell ref="D27:E27"/>
    <mergeCell ref="D28:E28"/>
    <mergeCell ref="D19:E19"/>
    <mergeCell ref="D20:E20"/>
    <mergeCell ref="B33:C33"/>
    <mergeCell ref="B30:C30"/>
    <mergeCell ref="B76:D76"/>
    <mergeCell ref="B75:D75"/>
    <mergeCell ref="B34:C34"/>
    <mergeCell ref="B37:C37"/>
    <mergeCell ref="B31:C31"/>
    <mergeCell ref="B32:C32"/>
    <mergeCell ref="D36:E36"/>
    <mergeCell ref="D37:E37"/>
    <mergeCell ref="D21:E21"/>
    <mergeCell ref="D22:E22"/>
    <mergeCell ref="B35:C35"/>
    <mergeCell ref="D35:E35"/>
    <mergeCell ref="D23:E23"/>
    <mergeCell ref="D24:E24"/>
    <mergeCell ref="D25:E25"/>
    <mergeCell ref="D26:E26"/>
    <mergeCell ref="B24:C24"/>
    <mergeCell ref="B25:C25"/>
    <mergeCell ref="D9:E9"/>
    <mergeCell ref="D16:E16"/>
    <mergeCell ref="B19:C19"/>
    <mergeCell ref="B20:C20"/>
    <mergeCell ref="D17:E17"/>
    <mergeCell ref="D18:E18"/>
    <mergeCell ref="B17:C17"/>
    <mergeCell ref="B18:C18"/>
    <mergeCell ref="D15:E15"/>
    <mergeCell ref="B10:C10"/>
    <mergeCell ref="B7:C7"/>
    <mergeCell ref="B8:C8"/>
    <mergeCell ref="D13:E13"/>
    <mergeCell ref="D14:E14"/>
    <mergeCell ref="D7:E7"/>
    <mergeCell ref="D8:E8"/>
    <mergeCell ref="D11:E11"/>
    <mergeCell ref="D12:E12"/>
    <mergeCell ref="D10:E10"/>
    <mergeCell ref="B9:C9"/>
    <mergeCell ref="B11:C11"/>
    <mergeCell ref="B12:C12"/>
    <mergeCell ref="B21:C21"/>
    <mergeCell ref="B22:C22"/>
    <mergeCell ref="B13:C13"/>
    <mergeCell ref="B14:C14"/>
    <mergeCell ref="B15:C15"/>
    <mergeCell ref="B16:C16"/>
    <mergeCell ref="E75:H75"/>
    <mergeCell ref="E76:H76"/>
    <mergeCell ref="E77:H77"/>
    <mergeCell ref="E78:H78"/>
    <mergeCell ref="A68:G68"/>
    <mergeCell ref="B23:C23"/>
    <mergeCell ref="B27:C27"/>
    <mergeCell ref="B26:C26"/>
    <mergeCell ref="B29:C29"/>
    <mergeCell ref="B28:C28"/>
  </mergeCells>
  <printOptions/>
  <pageMargins left="0.13" right="0.13" top="0.74" bottom="0.787401575" header="0.31496062" footer="0.31496062"/>
  <pageSetup fitToHeight="1" fitToWidth="1" horizontalDpi="600" verticalDpi="600" orientation="portrait" paperSize="9" scale="61" r:id="rId2"/>
  <ignoredErrors>
    <ignoredError sqref="G33 G60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>
    <tabColor indexed="42"/>
    <pageSetUpPr fitToPage="1"/>
  </sheetPr>
  <dimension ref="A1:O43"/>
  <sheetViews>
    <sheetView zoomScalePageLayoutView="0" workbookViewId="0" topLeftCell="A19">
      <selection activeCell="E25" sqref="E25"/>
    </sheetView>
  </sheetViews>
  <sheetFormatPr defaultColWidth="9.140625" defaultRowHeight="12.75"/>
  <cols>
    <col min="1" max="1" width="47.7109375" style="35" bestFit="1" customWidth="1"/>
    <col min="2" max="2" width="21.421875" style="35" customWidth="1"/>
    <col min="3" max="3" width="22.8515625" style="35" customWidth="1"/>
    <col min="4" max="4" width="16.421875" style="35" bestFit="1" customWidth="1"/>
    <col min="5" max="5" width="14.28125" style="35" customWidth="1"/>
    <col min="6" max="6" width="16.8515625" style="35" bestFit="1" customWidth="1"/>
    <col min="7" max="7" width="19.140625" style="35" bestFit="1" customWidth="1"/>
    <col min="8" max="16384" width="9.140625" style="35" customWidth="1"/>
  </cols>
  <sheetData>
    <row r="1" ht="15">
      <c r="A1" s="118">
        <f>'Balanço Orçamentário MCASP'!A1</f>
        <v>43344</v>
      </c>
    </row>
    <row r="2" spans="1:7" ht="15">
      <c r="A2" s="437" t="s">
        <v>208</v>
      </c>
      <c r="B2" s="437"/>
      <c r="C2" s="437"/>
      <c r="D2" s="437"/>
      <c r="E2" s="437"/>
      <c r="F2" s="437"/>
      <c r="G2" s="437"/>
    </row>
    <row r="3" spans="1:7" ht="15">
      <c r="A3" s="437" t="s">
        <v>161</v>
      </c>
      <c r="B3" s="437"/>
      <c r="C3" s="437"/>
      <c r="D3" s="437"/>
      <c r="E3" s="437"/>
      <c r="F3" s="437"/>
      <c r="G3" s="437"/>
    </row>
    <row r="4" spans="1:7" ht="15">
      <c r="A4" s="437" t="s">
        <v>284</v>
      </c>
      <c r="B4" s="437"/>
      <c r="C4" s="437"/>
      <c r="D4" s="437"/>
      <c r="E4" s="437"/>
      <c r="F4" s="437"/>
      <c r="G4" s="437"/>
    </row>
    <row r="5" spans="1:7" ht="15">
      <c r="A5" s="34"/>
      <c r="B5" s="34"/>
      <c r="C5" s="34"/>
      <c r="D5" s="34"/>
      <c r="E5" s="34"/>
      <c r="F5" s="34"/>
      <c r="G5" s="46"/>
    </row>
    <row r="6" spans="1:7" ht="15.75" thickBot="1">
      <c r="A6" s="34"/>
      <c r="B6" s="34"/>
      <c r="C6" s="34"/>
      <c r="D6" s="34"/>
      <c r="E6" s="34"/>
      <c r="F6" s="34"/>
      <c r="G6" s="34"/>
    </row>
    <row r="7" spans="1:7" ht="15.75" thickBot="1">
      <c r="A7" s="444" t="s">
        <v>242</v>
      </c>
      <c r="B7" s="446" t="s">
        <v>85</v>
      </c>
      <c r="C7" s="447"/>
      <c r="D7" s="438" t="s">
        <v>86</v>
      </c>
      <c r="E7" s="440" t="s">
        <v>87</v>
      </c>
      <c r="F7" s="438" t="s">
        <v>88</v>
      </c>
      <c r="G7" s="442" t="s">
        <v>89</v>
      </c>
    </row>
    <row r="8" spans="1:7" ht="42" customHeight="1" thickBot="1">
      <c r="A8" s="448"/>
      <c r="B8" s="47" t="s">
        <v>90</v>
      </c>
      <c r="C8" s="48" t="s">
        <v>91</v>
      </c>
      <c r="D8" s="439"/>
      <c r="E8" s="441"/>
      <c r="F8" s="439"/>
      <c r="G8" s="443"/>
    </row>
    <row r="9" spans="1:7" ht="16.5" thickBot="1">
      <c r="A9" s="49" t="s">
        <v>92</v>
      </c>
      <c r="B9" s="252">
        <f>SUM(B10:B12)</f>
        <v>1990.57</v>
      </c>
      <c r="C9" s="253">
        <f>SUM(C10:C12)</f>
        <v>11304553.16</v>
      </c>
      <c r="D9" s="253">
        <f>SUM(D10:D12)</f>
        <v>2944213.02</v>
      </c>
      <c r="E9" s="252">
        <f>SUM(E10:E12)</f>
        <v>2944213.02</v>
      </c>
      <c r="F9" s="253">
        <f>SUM(F10:F12)</f>
        <v>8293178.14</v>
      </c>
      <c r="G9" s="254">
        <f aca="true" t="shared" si="0" ref="G9:G16">B9+C9-E9-F9</f>
        <v>69152.57000000123</v>
      </c>
    </row>
    <row r="10" spans="1:7" ht="15.75">
      <c r="A10" s="264" t="s">
        <v>72</v>
      </c>
      <c r="B10" s="53"/>
      <c r="C10" s="54"/>
      <c r="D10" s="54"/>
      <c r="E10" s="53"/>
      <c r="F10" s="54"/>
      <c r="G10" s="55">
        <f t="shared" si="0"/>
        <v>0</v>
      </c>
    </row>
    <row r="11" spans="1:7" ht="15.75">
      <c r="A11" s="264" t="s">
        <v>73</v>
      </c>
      <c r="B11" s="53"/>
      <c r="C11" s="54"/>
      <c r="D11" s="56"/>
      <c r="E11" s="57"/>
      <c r="F11" s="54"/>
      <c r="G11" s="55">
        <f t="shared" si="0"/>
        <v>0</v>
      </c>
    </row>
    <row r="12" spans="1:7" ht="16.5" thickBot="1">
      <c r="A12" s="264" t="s">
        <v>74</v>
      </c>
      <c r="B12" s="255">
        <f>HLOOKUP($A$1,DADOS!1:156,122,0)</f>
        <v>1990.57</v>
      </c>
      <c r="C12" s="256">
        <f>HLOOKUP($A$1,DADOS!1:156,106,0)</f>
        <v>11304553.16</v>
      </c>
      <c r="D12" s="257">
        <f>$E$12</f>
        <v>2944213.02</v>
      </c>
      <c r="E12" s="258">
        <f>HLOOKUP($A$1,DADOS!1:156,108,0)+HLOOKUP($A$1,DADOS!1:156,124,0)</f>
        <v>2944213.02</v>
      </c>
      <c r="F12" s="259">
        <f>HLOOKUP($A$1,DADOS!1:156,110,0)+HLOOKUP($A$1,DADOS!1:156,126,0)</f>
        <v>8293178.14</v>
      </c>
      <c r="G12" s="260">
        <f>B12+C12-E12-F12</f>
        <v>69152.57000000123</v>
      </c>
    </row>
    <row r="13" spans="1:7" ht="16.5" thickBot="1">
      <c r="A13" s="49" t="s">
        <v>93</v>
      </c>
      <c r="B13" s="50">
        <f>SUM(B14:B16)</f>
        <v>0</v>
      </c>
      <c r="C13" s="253">
        <f>SUM(C14:C16)</f>
        <v>140878.38</v>
      </c>
      <c r="D13" s="253">
        <f>SUM(D14:D16)</f>
        <v>19652.97</v>
      </c>
      <c r="E13" s="252">
        <f>SUM(E14:E16)</f>
        <v>19652.97</v>
      </c>
      <c r="F13" s="253">
        <f>SUM(F14:F16)</f>
        <v>121225.41</v>
      </c>
      <c r="G13" s="52">
        <f t="shared" si="0"/>
        <v>0</v>
      </c>
    </row>
    <row r="14" spans="1:7" ht="15.75">
      <c r="A14" s="264" t="s">
        <v>75</v>
      </c>
      <c r="B14" s="119">
        <f>HLOOKUP($A$1,DADOS!1:156,129,0)</f>
        <v>0</v>
      </c>
      <c r="C14" s="256">
        <f>HLOOKUP($A$1,DADOS!1:156,113,0)</f>
        <v>140878.38</v>
      </c>
      <c r="D14" s="261">
        <f>$E$14</f>
        <v>19652.97</v>
      </c>
      <c r="E14" s="255">
        <f>HLOOKUP($A$1,DADOS!1:156,115,0)+HLOOKUP($A$1,DADOS!1:156,131,0)</f>
        <v>19652.97</v>
      </c>
      <c r="F14" s="259">
        <f>HLOOKUP($A$1,DADOS!1:156,117,0)+HLOOKUP($A$1,DADOS!1:156,133,0)</f>
        <v>121225.41</v>
      </c>
      <c r="G14" s="55">
        <f t="shared" si="0"/>
        <v>0</v>
      </c>
    </row>
    <row r="15" spans="1:7" ht="15.75">
      <c r="A15" s="264" t="s">
        <v>76</v>
      </c>
      <c r="B15" s="53"/>
      <c r="C15" s="54"/>
      <c r="D15" s="54"/>
      <c r="E15" s="53"/>
      <c r="F15" s="54"/>
      <c r="G15" s="55">
        <f t="shared" si="0"/>
        <v>0</v>
      </c>
    </row>
    <row r="16" spans="1:7" ht="16.5" thickBot="1">
      <c r="A16" s="265" t="s">
        <v>77</v>
      </c>
      <c r="B16" s="53"/>
      <c r="C16" s="54"/>
      <c r="D16" s="54"/>
      <c r="E16" s="58"/>
      <c r="F16" s="54"/>
      <c r="G16" s="55">
        <f t="shared" si="0"/>
        <v>0</v>
      </c>
    </row>
    <row r="17" spans="1:7" s="40" customFormat="1" ht="16.5" thickBot="1">
      <c r="A17" s="59" t="s">
        <v>94</v>
      </c>
      <c r="B17" s="262">
        <f aca="true" t="shared" si="1" ref="B17:G17">B9+B13</f>
        <v>1990.57</v>
      </c>
      <c r="C17" s="262">
        <f t="shared" si="1"/>
        <v>11445431.540000001</v>
      </c>
      <c r="D17" s="262">
        <f t="shared" si="1"/>
        <v>2963865.99</v>
      </c>
      <c r="E17" s="262">
        <f t="shared" si="1"/>
        <v>2963865.99</v>
      </c>
      <c r="F17" s="262">
        <f t="shared" si="1"/>
        <v>8414403.549999999</v>
      </c>
      <c r="G17" s="262">
        <f t="shared" si="1"/>
        <v>69152.57000000123</v>
      </c>
    </row>
    <row r="19" spans="1:7" ht="15.75" thickBot="1">
      <c r="A19" s="34"/>
      <c r="B19" s="34"/>
      <c r="C19" s="34"/>
      <c r="D19" s="34"/>
      <c r="E19" s="34"/>
      <c r="F19" s="34"/>
      <c r="G19" s="34"/>
    </row>
    <row r="20" spans="1:7" ht="15.75" thickBot="1">
      <c r="A20" s="444" t="s">
        <v>241</v>
      </c>
      <c r="B20" s="446" t="s">
        <v>85</v>
      </c>
      <c r="C20" s="447"/>
      <c r="D20" s="435" t="s">
        <v>86</v>
      </c>
      <c r="E20" s="435" t="s">
        <v>87</v>
      </c>
      <c r="F20" s="435" t="s">
        <v>88</v>
      </c>
      <c r="G20" s="435" t="s">
        <v>89</v>
      </c>
    </row>
    <row r="21" spans="1:7" ht="30.75" thickBot="1">
      <c r="A21" s="445"/>
      <c r="B21" s="47" t="s">
        <v>90</v>
      </c>
      <c r="C21" s="48" t="s">
        <v>91</v>
      </c>
      <c r="D21" s="436"/>
      <c r="E21" s="436"/>
      <c r="F21" s="436"/>
      <c r="G21" s="436"/>
    </row>
    <row r="22" spans="1:7" ht="16.5" thickBot="1">
      <c r="A22" s="59" t="s">
        <v>92</v>
      </c>
      <c r="B22" s="252">
        <f>SUM(B23:B25)</f>
        <v>1786.76</v>
      </c>
      <c r="C22" s="253">
        <f>SUM(C23:C25)</f>
        <v>366795.42</v>
      </c>
      <c r="D22" s="253">
        <f>SUM(D23:D25)</f>
        <v>334917.27</v>
      </c>
      <c r="E22" s="253">
        <f>SUM(E23:E25)</f>
        <v>334917.27</v>
      </c>
      <c r="F22" s="253">
        <f>SUM(F23:F25)</f>
        <v>0</v>
      </c>
      <c r="G22" s="253">
        <f aca="true" t="shared" si="2" ref="G22:G27">B22+C22-E22-F22</f>
        <v>33664.909999999974</v>
      </c>
    </row>
    <row r="23" spans="1:7" ht="15.75">
      <c r="A23" s="263" t="s">
        <v>72</v>
      </c>
      <c r="B23" s="53"/>
      <c r="C23" s="53"/>
      <c r="D23" s="56"/>
      <c r="E23" s="56"/>
      <c r="F23" s="56"/>
      <c r="G23" s="54">
        <f t="shared" si="2"/>
        <v>0</v>
      </c>
    </row>
    <row r="24" spans="1:7" ht="15.75">
      <c r="A24" s="263" t="s">
        <v>73</v>
      </c>
      <c r="B24" s="53"/>
      <c r="C24" s="54"/>
      <c r="D24" s="54"/>
      <c r="E24" s="54"/>
      <c r="F24" s="54"/>
      <c r="G24" s="54">
        <f t="shared" si="2"/>
        <v>0</v>
      </c>
    </row>
    <row r="25" spans="1:7" ht="16.5" thickBot="1">
      <c r="A25" s="263" t="s">
        <v>74</v>
      </c>
      <c r="B25" s="258">
        <f>HLOOKUP($A$1,DADOS!1:156,123,0)</f>
        <v>1786.76</v>
      </c>
      <c r="C25" s="258">
        <f>HLOOKUP($A$1,DADOS!1:156,107,0)</f>
        <v>366795.42</v>
      </c>
      <c r="D25" s="257">
        <f>$E$25</f>
        <v>334917.27</v>
      </c>
      <c r="E25" s="259">
        <f>HLOOKUP($A$1,DADOS!1:156,109,0)+HLOOKUP($A$1,DADOS!1:156,125,0)</f>
        <v>334917.27</v>
      </c>
      <c r="F25" s="259">
        <f>HLOOKUP($A$1,DADOS!1:156,111,0)+HLOOKUP($A$1,DADOS!1:156,127,0)</f>
        <v>0</v>
      </c>
      <c r="G25" s="256">
        <f t="shared" si="2"/>
        <v>33664.909999999974</v>
      </c>
    </row>
    <row r="26" spans="1:7" ht="15.75" thickBot="1">
      <c r="A26" s="59" t="s">
        <v>93</v>
      </c>
      <c r="B26" s="50">
        <f>SUM(B27:B29)</f>
        <v>0</v>
      </c>
      <c r="C26" s="51">
        <f>SUM(C27:C29)</f>
        <v>0</v>
      </c>
      <c r="D26" s="51">
        <f>SUM(D27:D29)</f>
        <v>0</v>
      </c>
      <c r="E26" s="51">
        <f>SUM(E27:E29)</f>
        <v>0</v>
      </c>
      <c r="F26" s="51">
        <f>SUM(F27:F29)</f>
        <v>0</v>
      </c>
      <c r="G26" s="51">
        <f t="shared" si="2"/>
        <v>0</v>
      </c>
    </row>
    <row r="27" spans="1:7" ht="15.75">
      <c r="A27" s="263" t="s">
        <v>75</v>
      </c>
      <c r="B27" s="119">
        <f>HLOOKUP($A$1,DADOS!1:156,130,0)</f>
        <v>0</v>
      </c>
      <c r="C27" s="60">
        <f>HLOOKUP($A$1,DADOS!1:156,114,0)</f>
        <v>0</v>
      </c>
      <c r="D27" s="60">
        <f>$E$27</f>
        <v>0</v>
      </c>
      <c r="E27" s="120">
        <f>HLOOKUP($A$1,DADOS!1:156,116,0)+HLOOKUP($A$1,DADOS!1:156,132,0)</f>
        <v>0</v>
      </c>
      <c r="F27" s="120">
        <f>HLOOKUP($A$1,DADOS!1:156,118,0)+HLOOKUP($A$1,DADOS!1:156,134,0)</f>
        <v>0</v>
      </c>
      <c r="G27" s="60">
        <f t="shared" si="2"/>
        <v>0</v>
      </c>
    </row>
    <row r="28" spans="1:7" ht="15.75">
      <c r="A28" s="263" t="s">
        <v>76</v>
      </c>
      <c r="B28" s="53"/>
      <c r="C28" s="54"/>
      <c r="D28" s="54"/>
      <c r="E28" s="54"/>
      <c r="F28" s="54"/>
      <c r="G28" s="54"/>
    </row>
    <row r="29" spans="1:7" ht="16.5" thickBot="1">
      <c r="A29" s="263" t="s">
        <v>77</v>
      </c>
      <c r="B29" s="58"/>
      <c r="C29" s="54"/>
      <c r="D29" s="61"/>
      <c r="E29" s="54"/>
      <c r="F29" s="54"/>
      <c r="G29" s="54"/>
    </row>
    <row r="30" spans="1:7" s="40" customFormat="1" ht="16.5" thickBot="1">
      <c r="A30" s="59" t="s">
        <v>94</v>
      </c>
      <c r="B30" s="262">
        <f aca="true" t="shared" si="3" ref="B30:G30">B22+B26</f>
        <v>1786.76</v>
      </c>
      <c r="C30" s="262">
        <f t="shared" si="3"/>
        <v>366795.42</v>
      </c>
      <c r="D30" s="262">
        <f t="shared" si="3"/>
        <v>334917.27</v>
      </c>
      <c r="E30" s="262">
        <f t="shared" si="3"/>
        <v>334917.27</v>
      </c>
      <c r="F30" s="262">
        <f t="shared" si="3"/>
        <v>0</v>
      </c>
      <c r="G30" s="262">
        <f t="shared" si="3"/>
        <v>33664.909999999974</v>
      </c>
    </row>
    <row r="31" spans="1:13" s="125" customFormat="1" ht="13.5" customHeight="1">
      <c r="A31" s="207" t="s">
        <v>46</v>
      </c>
      <c r="B31" s="122"/>
      <c r="C31" s="122"/>
      <c r="D31" s="122"/>
      <c r="E31" s="123"/>
      <c r="F31" s="123"/>
      <c r="G31" s="123"/>
      <c r="H31" s="122"/>
      <c r="I31" s="122"/>
      <c r="J31" s="123"/>
      <c r="K31" s="123"/>
      <c r="L31" s="123"/>
      <c r="M31" s="124"/>
    </row>
    <row r="32" spans="1:15" s="125" customFormat="1" ht="9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9"/>
      <c r="O32" s="128"/>
    </row>
    <row r="33" spans="1:13" s="125" customFormat="1" ht="9">
      <c r="A33" s="207" t="s">
        <v>47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7"/>
    </row>
    <row r="34" spans="1:13" s="125" customFormat="1" ht="11.25">
      <c r="A34" s="412" t="s">
        <v>48</v>
      </c>
      <c r="B34" s="412"/>
      <c r="C34" s="412"/>
      <c r="D34" s="412"/>
      <c r="E34" s="412"/>
      <c r="F34" s="412"/>
      <c r="G34" s="412"/>
      <c r="H34" s="169"/>
      <c r="I34" s="169"/>
      <c r="J34" s="169"/>
      <c r="K34" s="169"/>
      <c r="L34" s="169"/>
      <c r="M34" s="169"/>
    </row>
    <row r="35" spans="1:13" s="125" customFormat="1" ht="11.25">
      <c r="A35" s="412" t="s">
        <v>236</v>
      </c>
      <c r="B35" s="412"/>
      <c r="C35" s="412"/>
      <c r="D35" s="412"/>
      <c r="E35" s="412"/>
      <c r="F35" s="412"/>
      <c r="G35" s="412"/>
      <c r="H35" s="169"/>
      <c r="I35" s="169"/>
      <c r="J35" s="169"/>
      <c r="K35" s="169"/>
      <c r="L35" s="169"/>
      <c r="M35" s="169"/>
    </row>
    <row r="40" spans="1:8" s="18" customFormat="1" ht="13.5" customHeight="1">
      <c r="A40" s="26" t="s">
        <v>247</v>
      </c>
      <c r="B40" s="431" t="s">
        <v>215</v>
      </c>
      <c r="C40" s="431"/>
      <c r="D40" s="431"/>
      <c r="E40" s="408" t="s">
        <v>265</v>
      </c>
      <c r="F40" s="408"/>
      <c r="G40" s="408"/>
      <c r="H40" s="408"/>
    </row>
    <row r="41" spans="1:8" s="1" customFormat="1" ht="13.5" customHeight="1">
      <c r="A41" s="28" t="s">
        <v>49</v>
      </c>
      <c r="B41" s="430" t="s">
        <v>203</v>
      </c>
      <c r="C41" s="430"/>
      <c r="D41" s="430"/>
      <c r="E41" s="409" t="s">
        <v>253</v>
      </c>
      <c r="F41" s="409"/>
      <c r="G41" s="409"/>
      <c r="H41" s="409"/>
    </row>
    <row r="42" spans="1:8" s="1" customFormat="1" ht="13.5" customHeight="1">
      <c r="A42" s="30" t="s">
        <v>248</v>
      </c>
      <c r="B42" s="411" t="s">
        <v>207</v>
      </c>
      <c r="C42" s="411"/>
      <c r="D42" s="411"/>
      <c r="E42" s="410" t="s">
        <v>274</v>
      </c>
      <c r="F42" s="410"/>
      <c r="G42" s="410"/>
      <c r="H42" s="410"/>
    </row>
    <row r="43" spans="1:8" s="1" customFormat="1" ht="13.5" customHeight="1">
      <c r="A43" s="32" t="s">
        <v>51</v>
      </c>
      <c r="B43" s="411" t="s">
        <v>51</v>
      </c>
      <c r="C43" s="411"/>
      <c r="D43" s="411"/>
      <c r="E43" s="411" t="s">
        <v>51</v>
      </c>
      <c r="F43" s="411"/>
      <c r="G43" s="411"/>
      <c r="H43" s="411"/>
    </row>
  </sheetData>
  <sheetProtection/>
  <mergeCells count="25">
    <mergeCell ref="B40:D40"/>
    <mergeCell ref="B43:D43"/>
    <mergeCell ref="B41:D41"/>
    <mergeCell ref="B42:D42"/>
    <mergeCell ref="E40:H40"/>
    <mergeCell ref="E41:H41"/>
    <mergeCell ref="E42:H42"/>
    <mergeCell ref="E43:H43"/>
    <mergeCell ref="A20:A21"/>
    <mergeCell ref="B20:C20"/>
    <mergeCell ref="B7:C7"/>
    <mergeCell ref="D20:D21"/>
    <mergeCell ref="E20:E21"/>
    <mergeCell ref="F20:F21"/>
    <mergeCell ref="A7:A8"/>
    <mergeCell ref="A35:G35"/>
    <mergeCell ref="G20:G21"/>
    <mergeCell ref="A34:G34"/>
    <mergeCell ref="A2:G2"/>
    <mergeCell ref="A3:G3"/>
    <mergeCell ref="A4:G4"/>
    <mergeCell ref="D7:D8"/>
    <mergeCell ref="E7:E8"/>
    <mergeCell ref="F7:F8"/>
    <mergeCell ref="G7:G8"/>
  </mergeCells>
  <printOptions/>
  <pageMargins left="0.511811024" right="0.511811024" top="0.36" bottom="0.33" header="0.31496062" footer="0.31496062"/>
  <pageSetup fitToHeight="1" fitToWidth="1" horizontalDpi="600" verticalDpi="600" orientation="landscape" paperSize="9" scale="83" r:id="rId2"/>
  <colBreaks count="1" manualBreakCount="1">
    <brk id="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</sheetPr>
  <dimension ref="A1:IU66"/>
  <sheetViews>
    <sheetView showGridLines="0" showOutlineSymbols="0" zoomScale="110" zoomScaleNormal="110" zoomScalePageLayoutView="0" workbookViewId="0" topLeftCell="A4">
      <selection activeCell="K4" sqref="K4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4" width="7.28125" style="1" customWidth="1"/>
    <col min="5" max="5" width="8.421875" style="1" customWidth="1"/>
    <col min="6" max="6" width="7.28125" style="1" customWidth="1"/>
    <col min="7" max="8" width="15.140625" style="1" customWidth="1"/>
    <col min="9" max="13" width="9.8515625" style="1" customWidth="1"/>
    <col min="14" max="14" width="7.28125" style="1" customWidth="1"/>
    <col min="15" max="15" width="15.7109375" style="1" bestFit="1" customWidth="1"/>
    <col min="16" max="16" width="15.57421875" style="25" customWidth="1"/>
    <col min="17" max="17" width="14.421875" style="1" bestFit="1" customWidth="1"/>
    <col min="18" max="18" width="12.00390625" style="1" bestFit="1" customWidth="1"/>
    <col min="19" max="19" width="9.00390625" style="1" bestFit="1" customWidth="1"/>
    <col min="20" max="16384" width="6.8515625" style="1" customWidth="1"/>
  </cols>
  <sheetData>
    <row r="1" spans="1:16" ht="13.5" customHeight="1">
      <c r="A1" s="460" t="s">
        <v>208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</row>
    <row r="2" spans="1:16" ht="15" customHeight="1">
      <c r="A2" s="409" t="s">
        <v>1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</row>
    <row r="3" spans="1:16" ht="15" customHeight="1">
      <c r="A3" s="461" t="s">
        <v>227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</row>
    <row r="4" spans="1:16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P4" s="1"/>
    </row>
    <row r="5" spans="1:16" ht="10.5" customHeight="1">
      <c r="A5" s="3"/>
      <c r="B5" s="3"/>
      <c r="C5" s="3"/>
      <c r="D5" s="3"/>
      <c r="E5" s="3"/>
      <c r="F5" s="3"/>
      <c r="G5" s="228"/>
      <c r="H5" s="229">
        <v>43070</v>
      </c>
      <c r="I5" s="3"/>
      <c r="J5" s="3"/>
      <c r="K5" s="3"/>
      <c r="L5" s="3"/>
      <c r="M5" s="3"/>
      <c r="N5" s="3"/>
      <c r="O5" s="3"/>
      <c r="P5" s="4" t="s">
        <v>2</v>
      </c>
    </row>
    <row r="6" spans="1:16" ht="19.5" customHeight="1">
      <c r="A6" s="356" t="s">
        <v>3</v>
      </c>
      <c r="B6" s="357"/>
      <c r="C6" s="357"/>
      <c r="D6" s="357"/>
      <c r="E6" s="357"/>
      <c r="F6" s="357"/>
      <c r="G6" s="357"/>
      <c r="H6" s="134"/>
      <c r="I6" s="462" t="s">
        <v>4</v>
      </c>
      <c r="J6" s="463"/>
      <c r="K6" s="463"/>
      <c r="L6" s="463"/>
      <c r="M6" s="463"/>
      <c r="N6" s="463"/>
      <c r="O6" s="463"/>
      <c r="P6" s="358"/>
    </row>
    <row r="7" spans="1:16" ht="19.5" customHeight="1">
      <c r="A7" s="359" t="s">
        <v>5</v>
      </c>
      <c r="B7" s="336"/>
      <c r="C7" s="336"/>
      <c r="D7" s="336"/>
      <c r="E7" s="336"/>
      <c r="F7" s="337"/>
      <c r="G7" s="5" t="s">
        <v>6</v>
      </c>
      <c r="H7" s="133" t="s">
        <v>192</v>
      </c>
      <c r="I7" s="464" t="s">
        <v>5</v>
      </c>
      <c r="J7" s="341"/>
      <c r="K7" s="341"/>
      <c r="L7" s="341"/>
      <c r="M7" s="341"/>
      <c r="N7" s="341"/>
      <c r="O7" s="5" t="s">
        <v>6</v>
      </c>
      <c r="P7" s="135" t="s">
        <v>192</v>
      </c>
    </row>
    <row r="8" spans="1:18" ht="13.5" customHeight="1">
      <c r="A8" s="335" t="s">
        <v>7</v>
      </c>
      <c r="B8" s="339"/>
      <c r="C8" s="339"/>
      <c r="D8" s="339"/>
      <c r="E8" s="339"/>
      <c r="F8" s="337"/>
      <c r="G8" s="14">
        <f>G9+G14</f>
        <v>21612429.61</v>
      </c>
      <c r="H8" s="14">
        <f>H9+H14</f>
        <v>102475301.34</v>
      </c>
      <c r="I8" s="458" t="s">
        <v>8</v>
      </c>
      <c r="J8" s="458"/>
      <c r="K8" s="458"/>
      <c r="L8" s="458"/>
      <c r="M8" s="458"/>
      <c r="N8" s="459"/>
      <c r="O8" s="14">
        <f>O9+O14</f>
        <v>53719816.07</v>
      </c>
      <c r="P8" s="14">
        <f>P9+P14</f>
        <v>63937969.74</v>
      </c>
      <c r="Q8" s="7"/>
      <c r="R8" s="8"/>
    </row>
    <row r="9" spans="1:17" ht="13.5" customHeight="1">
      <c r="A9" s="340" t="s">
        <v>9</v>
      </c>
      <c r="B9" s="348"/>
      <c r="C9" s="348"/>
      <c r="D9" s="348"/>
      <c r="E9" s="348"/>
      <c r="F9" s="341"/>
      <c r="G9" s="6">
        <f>SUM(G10:G12)</f>
        <v>2951853.74</v>
      </c>
      <c r="H9" s="190">
        <f>SUM(H10:H12)</f>
        <v>30742590.369999997</v>
      </c>
      <c r="I9" s="343" t="s">
        <v>9</v>
      </c>
      <c r="J9" s="343"/>
      <c r="K9" s="343"/>
      <c r="L9" s="343"/>
      <c r="M9" s="343"/>
      <c r="N9" s="330"/>
      <c r="O9" s="6">
        <f>SUM(O10:O12)</f>
        <v>86589.4</v>
      </c>
      <c r="P9" s="12">
        <f>P10</f>
        <v>1332368.43</v>
      </c>
      <c r="Q9" s="10"/>
    </row>
    <row r="10" spans="1:17" ht="13.5" customHeight="1">
      <c r="A10" s="349" t="s">
        <v>10</v>
      </c>
      <c r="B10" s="352"/>
      <c r="C10" s="352"/>
      <c r="D10" s="352"/>
      <c r="E10" s="352"/>
      <c r="F10" s="456"/>
      <c r="G10" s="11">
        <f>'Balanço Financeiro'!G8</f>
        <v>2951853.74</v>
      </c>
      <c r="H10" s="11">
        <v>30742590.369999997</v>
      </c>
      <c r="I10" s="350" t="s">
        <v>10</v>
      </c>
      <c r="J10" s="352"/>
      <c r="K10" s="352"/>
      <c r="L10" s="352"/>
      <c r="M10" s="352"/>
      <c r="N10" s="456"/>
      <c r="O10" s="11">
        <f>'Balanço Financeiro'!N9</f>
        <v>86589.4</v>
      </c>
      <c r="P10" s="11">
        <v>1332368.43</v>
      </c>
      <c r="Q10" s="7"/>
    </row>
    <row r="11" spans="1:16" ht="13.5" customHeight="1">
      <c r="A11" s="349" t="s">
        <v>11</v>
      </c>
      <c r="B11" s="350"/>
      <c r="C11" s="350"/>
      <c r="D11" s="350"/>
      <c r="E11" s="350"/>
      <c r="F11" s="456"/>
      <c r="G11" s="11">
        <v>0</v>
      </c>
      <c r="H11" s="11">
        <v>0</v>
      </c>
      <c r="I11" s="350" t="s">
        <v>11</v>
      </c>
      <c r="J11" s="350"/>
      <c r="K11" s="350"/>
      <c r="L11" s="350"/>
      <c r="M11" s="350"/>
      <c r="N11" s="456"/>
      <c r="O11" s="11">
        <v>0</v>
      </c>
      <c r="P11" s="11">
        <v>0</v>
      </c>
    </row>
    <row r="12" spans="1:16" ht="13.5" customHeight="1">
      <c r="A12" s="349" t="s">
        <v>12</v>
      </c>
      <c r="B12" s="350"/>
      <c r="C12" s="350"/>
      <c r="D12" s="350"/>
      <c r="E12" s="350"/>
      <c r="F12" s="456"/>
      <c r="G12" s="11">
        <v>0</v>
      </c>
      <c r="H12" s="11">
        <v>0</v>
      </c>
      <c r="I12" s="350" t="s">
        <v>12</v>
      </c>
      <c r="J12" s="350"/>
      <c r="K12" s="350"/>
      <c r="L12" s="350"/>
      <c r="M12" s="350"/>
      <c r="N12" s="456"/>
      <c r="O12" s="11">
        <v>0</v>
      </c>
      <c r="P12" s="11">
        <v>0</v>
      </c>
    </row>
    <row r="13" spans="1:16" ht="13.5" customHeight="1">
      <c r="A13" s="187"/>
      <c r="B13" s="188"/>
      <c r="C13" s="188"/>
      <c r="D13" s="188"/>
      <c r="E13" s="188"/>
      <c r="F13" s="189"/>
      <c r="G13" s="11"/>
      <c r="H13" s="137"/>
      <c r="I13" s="188"/>
      <c r="J13" s="188"/>
      <c r="K13" s="188"/>
      <c r="L13" s="188"/>
      <c r="M13" s="188"/>
      <c r="N13" s="189"/>
      <c r="O13" s="11"/>
      <c r="P13" s="11">
        <f>SUM(P10:P11)</f>
        <v>1332368.43</v>
      </c>
    </row>
    <row r="14" spans="1:18" ht="13.5" customHeight="1">
      <c r="A14" s="329" t="s">
        <v>13</v>
      </c>
      <c r="B14" s="343"/>
      <c r="C14" s="343"/>
      <c r="D14" s="343"/>
      <c r="E14" s="343"/>
      <c r="F14" s="330"/>
      <c r="G14" s="12">
        <f>SUM(G15:G21)</f>
        <v>18660575.869999997</v>
      </c>
      <c r="H14" s="190">
        <f>SUM(H15:H21)</f>
        <v>71732710.97</v>
      </c>
      <c r="I14" s="343" t="s">
        <v>13</v>
      </c>
      <c r="J14" s="343"/>
      <c r="K14" s="343"/>
      <c r="L14" s="343"/>
      <c r="M14" s="343"/>
      <c r="N14" s="330"/>
      <c r="O14" s="12">
        <f>SUM(O15:O21)</f>
        <v>53633226.67</v>
      </c>
      <c r="P14" s="12">
        <f>SUM(P15:P21)</f>
        <v>62605601.31</v>
      </c>
      <c r="R14" s="2"/>
    </row>
    <row r="15" spans="1:16" ht="13.5" customHeight="1">
      <c r="A15" s="349" t="s">
        <v>14</v>
      </c>
      <c r="B15" s="352"/>
      <c r="C15" s="352"/>
      <c r="D15" s="352"/>
      <c r="E15" s="352"/>
      <c r="F15" s="456"/>
      <c r="G15" s="11">
        <v>0</v>
      </c>
      <c r="H15" s="11">
        <v>0</v>
      </c>
      <c r="I15" s="350" t="s">
        <v>14</v>
      </c>
      <c r="J15" s="352"/>
      <c r="K15" s="352"/>
      <c r="L15" s="352"/>
      <c r="M15" s="352"/>
      <c r="N15" s="456"/>
      <c r="O15" s="11">
        <v>0</v>
      </c>
      <c r="P15" s="11">
        <v>0</v>
      </c>
    </row>
    <row r="16" spans="1:16" ht="13.5" customHeight="1">
      <c r="A16" s="349" t="s">
        <v>15</v>
      </c>
      <c r="B16" s="350"/>
      <c r="C16" s="350"/>
      <c r="D16" s="350"/>
      <c r="E16" s="350"/>
      <c r="F16" s="456"/>
      <c r="G16" s="11">
        <v>0</v>
      </c>
      <c r="H16" s="11">
        <v>0</v>
      </c>
      <c r="I16" s="350" t="s">
        <v>15</v>
      </c>
      <c r="J16" s="350"/>
      <c r="K16" s="350"/>
      <c r="L16" s="350"/>
      <c r="M16" s="350"/>
      <c r="N16" s="456"/>
      <c r="O16" s="11">
        <v>0</v>
      </c>
      <c r="P16" s="11">
        <v>0</v>
      </c>
    </row>
    <row r="17" spans="1:16" ht="13.5" customHeight="1">
      <c r="A17" s="349" t="s">
        <v>16</v>
      </c>
      <c r="B17" s="350"/>
      <c r="C17" s="350"/>
      <c r="D17" s="350"/>
      <c r="E17" s="350"/>
      <c r="F17" s="456"/>
      <c r="G17" s="11">
        <v>0</v>
      </c>
      <c r="H17" s="11">
        <v>0</v>
      </c>
      <c r="I17" s="350" t="s">
        <v>16</v>
      </c>
      <c r="J17" s="350"/>
      <c r="K17" s="350"/>
      <c r="L17" s="350"/>
      <c r="M17" s="350"/>
      <c r="N17" s="456"/>
      <c r="O17" s="11">
        <v>0</v>
      </c>
      <c r="P17" s="11">
        <v>0</v>
      </c>
    </row>
    <row r="18" spans="1:16" ht="13.5" customHeight="1">
      <c r="A18" s="349" t="s">
        <v>17</v>
      </c>
      <c r="B18" s="350"/>
      <c r="C18" s="350"/>
      <c r="D18" s="350"/>
      <c r="E18" s="350"/>
      <c r="F18" s="456"/>
      <c r="G18" s="11">
        <v>0</v>
      </c>
      <c r="H18" s="11">
        <v>0</v>
      </c>
      <c r="I18" s="350" t="s">
        <v>17</v>
      </c>
      <c r="J18" s="350"/>
      <c r="K18" s="350"/>
      <c r="L18" s="350"/>
      <c r="M18" s="350"/>
      <c r="N18" s="456"/>
      <c r="O18" s="11">
        <v>0</v>
      </c>
      <c r="P18" s="11">
        <v>0</v>
      </c>
    </row>
    <row r="19" spans="1:16" ht="13.5" customHeight="1">
      <c r="A19" s="349" t="s">
        <v>18</v>
      </c>
      <c r="B19" s="350"/>
      <c r="C19" s="350"/>
      <c r="D19" s="350"/>
      <c r="E19" s="350"/>
      <c r="F19" s="456"/>
      <c r="G19" s="11">
        <f>'Balanço Financeiro'!G17</f>
        <v>18659676.109999996</v>
      </c>
      <c r="H19" s="11">
        <v>71727264.4</v>
      </c>
      <c r="I19" s="350" t="s">
        <v>18</v>
      </c>
      <c r="J19" s="350"/>
      <c r="K19" s="350"/>
      <c r="L19" s="350"/>
      <c r="M19" s="350"/>
      <c r="N19" s="456"/>
      <c r="O19" s="11">
        <f>'Balanço Financeiro'!N17</f>
        <v>53633226.67</v>
      </c>
      <c r="P19" s="11">
        <v>62605601.31</v>
      </c>
    </row>
    <row r="20" spans="1:16" ht="13.5" customHeight="1">
      <c r="A20" s="349" t="s">
        <v>19</v>
      </c>
      <c r="B20" s="350"/>
      <c r="C20" s="350"/>
      <c r="D20" s="350"/>
      <c r="E20" s="350"/>
      <c r="F20" s="456"/>
      <c r="G20" s="11">
        <v>0</v>
      </c>
      <c r="H20" s="11">
        <v>0</v>
      </c>
      <c r="I20" s="350" t="s">
        <v>19</v>
      </c>
      <c r="J20" s="350"/>
      <c r="K20" s="350"/>
      <c r="L20" s="350"/>
      <c r="M20" s="350"/>
      <c r="N20" s="456"/>
      <c r="O20" s="11">
        <v>0</v>
      </c>
      <c r="P20" s="11">
        <v>0</v>
      </c>
    </row>
    <row r="21" spans="1:16" ht="13.5" customHeight="1">
      <c r="A21" s="345" t="s">
        <v>20</v>
      </c>
      <c r="B21" s="346"/>
      <c r="C21" s="346"/>
      <c r="D21" s="346"/>
      <c r="E21" s="346"/>
      <c r="F21" s="457"/>
      <c r="G21" s="13">
        <f>'Balanço Financeiro'!G19</f>
        <v>899.76</v>
      </c>
      <c r="H21" s="13">
        <v>5446.57</v>
      </c>
      <c r="I21" s="346" t="s">
        <v>20</v>
      </c>
      <c r="J21" s="346"/>
      <c r="K21" s="346"/>
      <c r="L21" s="346"/>
      <c r="M21" s="346"/>
      <c r="N21" s="457"/>
      <c r="O21" s="13"/>
      <c r="P21" s="13">
        <v>0</v>
      </c>
    </row>
    <row r="22" spans="1:18" ht="13.5" customHeight="1">
      <c r="A22" s="335" t="s">
        <v>21</v>
      </c>
      <c r="B22" s="339"/>
      <c r="C22" s="339"/>
      <c r="D22" s="339"/>
      <c r="E22" s="339"/>
      <c r="F22" s="337"/>
      <c r="G22" s="190">
        <f>SUM(G23:G26)</f>
        <v>188099.71999999997</v>
      </c>
      <c r="H22" s="190">
        <f>SUM(H23:H26)</f>
        <v>1080991.44</v>
      </c>
      <c r="I22" s="339" t="s">
        <v>22</v>
      </c>
      <c r="J22" s="339"/>
      <c r="K22" s="339"/>
      <c r="L22" s="339"/>
      <c r="M22" s="339"/>
      <c r="N22" s="336"/>
      <c r="O22" s="14">
        <f>SUM(O23:O26)</f>
        <v>21184481.470000003</v>
      </c>
      <c r="P22" s="12">
        <f>SUM(P23:P26)</f>
        <v>33401737.650000002</v>
      </c>
      <c r="R22" s="2"/>
    </row>
    <row r="23" spans="1:16" ht="13.5" customHeight="1">
      <c r="A23" s="340" t="s">
        <v>23</v>
      </c>
      <c r="B23" s="341"/>
      <c r="C23" s="341"/>
      <c r="D23" s="341"/>
      <c r="E23" s="341"/>
      <c r="F23" s="342"/>
      <c r="G23" s="9">
        <f>'Balanço Financeiro'!G21</f>
        <v>188099.71999999997</v>
      </c>
      <c r="H23" s="9">
        <v>1080991.44</v>
      </c>
      <c r="I23" s="348" t="s">
        <v>23</v>
      </c>
      <c r="J23" s="348"/>
      <c r="K23" s="348"/>
      <c r="L23" s="348"/>
      <c r="M23" s="348"/>
      <c r="N23" s="342"/>
      <c r="O23" s="9">
        <f>'Balanço Financeiro'!N21</f>
        <v>21184481.470000003</v>
      </c>
      <c r="P23" s="9">
        <v>33401737.650000002</v>
      </c>
    </row>
    <row r="24" spans="1:16" ht="13.5" customHeight="1">
      <c r="A24" s="329" t="s">
        <v>24</v>
      </c>
      <c r="B24" s="343"/>
      <c r="C24" s="343"/>
      <c r="D24" s="343"/>
      <c r="E24" s="343"/>
      <c r="F24" s="331"/>
      <c r="G24" s="11">
        <v>0</v>
      </c>
      <c r="H24" s="11">
        <v>0</v>
      </c>
      <c r="I24" s="343" t="s">
        <v>24</v>
      </c>
      <c r="J24" s="343"/>
      <c r="K24" s="343"/>
      <c r="L24" s="343"/>
      <c r="M24" s="343"/>
      <c r="N24" s="331"/>
      <c r="O24" s="11">
        <v>0</v>
      </c>
      <c r="P24" s="11">
        <v>0</v>
      </c>
    </row>
    <row r="25" spans="1:16" ht="13.5" customHeight="1">
      <c r="A25" s="329" t="s">
        <v>25</v>
      </c>
      <c r="B25" s="343"/>
      <c r="C25" s="343"/>
      <c r="D25" s="343"/>
      <c r="E25" s="343"/>
      <c r="F25" s="331"/>
      <c r="G25" s="11">
        <v>0</v>
      </c>
      <c r="H25" s="11">
        <v>0</v>
      </c>
      <c r="I25" s="343" t="s">
        <v>25</v>
      </c>
      <c r="J25" s="343"/>
      <c r="K25" s="343"/>
      <c r="L25" s="343"/>
      <c r="M25" s="343"/>
      <c r="N25" s="331"/>
      <c r="O25" s="11">
        <v>0</v>
      </c>
      <c r="P25" s="11">
        <v>0</v>
      </c>
    </row>
    <row r="26" spans="1:16" ht="13.5" customHeight="1">
      <c r="A26" s="332" t="s">
        <v>26</v>
      </c>
      <c r="B26" s="344"/>
      <c r="C26" s="344"/>
      <c r="D26" s="344"/>
      <c r="E26" s="344"/>
      <c r="F26" s="338"/>
      <c r="G26" s="11">
        <v>0</v>
      </c>
      <c r="H26" s="11">
        <v>0</v>
      </c>
      <c r="I26" s="333" t="s">
        <v>26</v>
      </c>
      <c r="J26" s="333"/>
      <c r="K26" s="333"/>
      <c r="L26" s="333"/>
      <c r="M26" s="333"/>
      <c r="N26" s="338"/>
      <c r="O26" s="11">
        <v>0</v>
      </c>
      <c r="P26" s="11">
        <v>0</v>
      </c>
    </row>
    <row r="27" spans="1:17" ht="13.5" customHeight="1">
      <c r="A27" s="454" t="s">
        <v>27</v>
      </c>
      <c r="B27" s="455"/>
      <c r="C27" s="455"/>
      <c r="D27" s="455"/>
      <c r="E27" s="455"/>
      <c r="F27" s="342"/>
      <c r="G27" s="14">
        <f>SUM(G28:G31)</f>
        <v>22307909.28</v>
      </c>
      <c r="H27" s="14">
        <f>SUM(H28:H31)</f>
        <v>22623131.35</v>
      </c>
      <c r="I27" s="339" t="s">
        <v>28</v>
      </c>
      <c r="J27" s="339"/>
      <c r="K27" s="339"/>
      <c r="L27" s="339"/>
      <c r="M27" s="339"/>
      <c r="N27" s="337"/>
      <c r="O27" s="14">
        <f>SUM(O28:O31)</f>
        <v>6207303.200000001</v>
      </c>
      <c r="P27" s="14">
        <f>SUM(P28:P31)</f>
        <v>36193008.17999999</v>
      </c>
      <c r="Q27" s="8"/>
    </row>
    <row r="28" spans="1:16" ht="13.5" customHeight="1">
      <c r="A28" s="340" t="s">
        <v>256</v>
      </c>
      <c r="B28" s="341"/>
      <c r="C28" s="341"/>
      <c r="D28" s="341"/>
      <c r="E28" s="341"/>
      <c r="F28" s="342"/>
      <c r="G28" s="136">
        <f>'Balanço Financeiro'!G26</f>
        <v>13959137.64</v>
      </c>
      <c r="H28" s="136">
        <f>366611.23+11078820.31</f>
        <v>11445431.540000001</v>
      </c>
      <c r="I28" s="348" t="s">
        <v>254</v>
      </c>
      <c r="J28" s="341"/>
      <c r="K28" s="341"/>
      <c r="L28" s="341"/>
      <c r="M28" s="341"/>
      <c r="N28" s="342"/>
      <c r="O28" s="11">
        <f>'Balanço Financeiro'!N26</f>
        <v>2963865.99</v>
      </c>
      <c r="P28" s="136">
        <f>32649.34+844095.9</f>
        <v>876745.24</v>
      </c>
    </row>
    <row r="29" spans="1:16" ht="13.5" customHeight="1">
      <c r="A29" s="329" t="s">
        <v>257</v>
      </c>
      <c r="B29" s="343"/>
      <c r="C29" s="343"/>
      <c r="D29" s="343"/>
      <c r="E29" s="343"/>
      <c r="F29" s="453"/>
      <c r="G29" s="11">
        <f>'Balanço Financeiro'!G27</f>
        <v>1268039.66</v>
      </c>
      <c r="H29" s="137">
        <f>17477.76+349038</f>
        <v>366515.76</v>
      </c>
      <c r="I29" s="343" t="s">
        <v>255</v>
      </c>
      <c r="J29" s="343"/>
      <c r="K29" s="343"/>
      <c r="L29" s="343"/>
      <c r="M29" s="343"/>
      <c r="N29" s="331"/>
      <c r="O29" s="137">
        <f>'Balanço Financeiro'!N27</f>
        <v>334917.26999999996</v>
      </c>
      <c r="P29" s="137">
        <f>100342.32+30415.85</f>
        <v>130758.17000000001</v>
      </c>
    </row>
    <row r="30" spans="1:16" ht="13.5" customHeight="1">
      <c r="A30" s="329" t="s">
        <v>37</v>
      </c>
      <c r="B30" s="343"/>
      <c r="C30" s="343"/>
      <c r="D30" s="343"/>
      <c r="E30" s="343"/>
      <c r="F30" s="331"/>
      <c r="G30" s="137">
        <v>0</v>
      </c>
      <c r="H30" s="137">
        <v>0</v>
      </c>
      <c r="I30" s="343" t="s">
        <v>37</v>
      </c>
      <c r="J30" s="343"/>
      <c r="K30" s="343"/>
      <c r="L30" s="343"/>
      <c r="M30" s="343"/>
      <c r="N30" s="331"/>
      <c r="O30" s="137"/>
      <c r="P30" s="137">
        <v>0</v>
      </c>
    </row>
    <row r="31" spans="1:16" ht="13.5" customHeight="1">
      <c r="A31" s="332" t="s">
        <v>38</v>
      </c>
      <c r="B31" s="333"/>
      <c r="C31" s="333"/>
      <c r="D31" s="333"/>
      <c r="E31" s="333"/>
      <c r="F31" s="338"/>
      <c r="G31" s="138">
        <f>'Balanço Financeiro'!G29</f>
        <v>7080731.98</v>
      </c>
      <c r="H31" s="138">
        <v>10811184.050000003</v>
      </c>
      <c r="I31" s="333" t="s">
        <v>39</v>
      </c>
      <c r="J31" s="333"/>
      <c r="K31" s="333"/>
      <c r="L31" s="333"/>
      <c r="M31" s="333"/>
      <c r="N31" s="338"/>
      <c r="O31" s="138">
        <f>'Balanço Financeiro'!N29</f>
        <v>2908519.9400000004</v>
      </c>
      <c r="P31" s="138">
        <v>35185504.769999996</v>
      </c>
    </row>
    <row r="32" spans="1:19" ht="13.5" customHeight="1">
      <c r="A32" s="451" t="s">
        <v>40</v>
      </c>
      <c r="B32" s="452"/>
      <c r="C32" s="452"/>
      <c r="D32" s="452"/>
      <c r="E32" s="452"/>
      <c r="F32" s="338"/>
      <c r="G32" s="14">
        <f>SUM(G33:G34)</f>
        <v>250461958.19</v>
      </c>
      <c r="H32" s="14">
        <f>SUM(H33:H34)</f>
        <v>257815249.62999997</v>
      </c>
      <c r="I32" s="339" t="s">
        <v>41</v>
      </c>
      <c r="J32" s="339"/>
      <c r="K32" s="339"/>
      <c r="L32" s="339"/>
      <c r="M32" s="339"/>
      <c r="N32" s="337"/>
      <c r="O32" s="14">
        <f>SUM(O33:O34)</f>
        <v>213458796.06</v>
      </c>
      <c r="P32" s="14">
        <f>SUM(P33:P34)</f>
        <v>250461958.19</v>
      </c>
      <c r="Q32" s="2"/>
      <c r="S32" s="15"/>
    </row>
    <row r="33" spans="1:18" ht="13.5" customHeight="1">
      <c r="A33" s="340" t="s">
        <v>246</v>
      </c>
      <c r="B33" s="341"/>
      <c r="C33" s="341"/>
      <c r="D33" s="341"/>
      <c r="E33" s="341"/>
      <c r="F33" s="342"/>
      <c r="G33" s="11">
        <f>'Balanço Financeiro'!G31</f>
        <v>250461958.19</v>
      </c>
      <c r="H33" s="11">
        <v>257815249.62999997</v>
      </c>
      <c r="I33" s="348" t="s">
        <v>246</v>
      </c>
      <c r="J33" s="341"/>
      <c r="K33" s="341"/>
      <c r="L33" s="341"/>
      <c r="M33" s="341"/>
      <c r="N33" s="342"/>
      <c r="O33" s="11">
        <f>'Balanço Financeiro'!N31</f>
        <v>213458796.06</v>
      </c>
      <c r="P33" s="11">
        <v>250461958.19</v>
      </c>
      <c r="Q33" s="24" t="s">
        <v>258</v>
      </c>
      <c r="R33" s="25" t="s">
        <v>259</v>
      </c>
    </row>
    <row r="34" spans="1:16" ht="13.5" customHeight="1">
      <c r="A34" s="332" t="s">
        <v>37</v>
      </c>
      <c r="B34" s="333"/>
      <c r="C34" s="333"/>
      <c r="D34" s="333"/>
      <c r="E34" s="333"/>
      <c r="F34" s="338"/>
      <c r="G34" s="84" t="s">
        <v>260</v>
      </c>
      <c r="H34" s="194" t="s">
        <v>260</v>
      </c>
      <c r="I34" s="332" t="s">
        <v>37</v>
      </c>
      <c r="J34" s="333"/>
      <c r="K34" s="333"/>
      <c r="L34" s="333"/>
      <c r="M34" s="333"/>
      <c r="N34" s="334"/>
      <c r="O34" s="84"/>
      <c r="P34" s="195" t="s">
        <v>260</v>
      </c>
    </row>
    <row r="35" spans="1:18" ht="13.5" customHeight="1">
      <c r="A35" s="335" t="s">
        <v>44</v>
      </c>
      <c r="B35" s="336"/>
      <c r="C35" s="336"/>
      <c r="D35" s="336"/>
      <c r="E35" s="336"/>
      <c r="F35" s="337"/>
      <c r="G35" s="193">
        <f>G8+G22+G27+G32</f>
        <v>294570396.8</v>
      </c>
      <c r="H35" s="193">
        <f>H8+H22+H27+H32</f>
        <v>383994673.76</v>
      </c>
      <c r="I35" s="339" t="s">
        <v>45</v>
      </c>
      <c r="J35" s="336"/>
      <c r="K35" s="336"/>
      <c r="L35" s="336"/>
      <c r="M35" s="336"/>
      <c r="N35" s="337"/>
      <c r="O35" s="193">
        <f>O8+O22+O27+O32</f>
        <v>294570396.8</v>
      </c>
      <c r="P35" s="192">
        <f>P8+P22++P27+P32</f>
        <v>383994673.76</v>
      </c>
      <c r="Q35" s="7">
        <f>H35-P35</f>
        <v>0</v>
      </c>
      <c r="R35" s="153">
        <f>G35-O35</f>
        <v>0</v>
      </c>
    </row>
    <row r="36" spans="1:14" s="125" customFormat="1" ht="12" customHeight="1">
      <c r="A36" s="207" t="s">
        <v>46</v>
      </c>
      <c r="B36" s="207"/>
      <c r="C36" s="207"/>
      <c r="D36" s="207"/>
      <c r="E36" s="230"/>
      <c r="F36" s="123"/>
      <c r="G36" s="123"/>
      <c r="I36" s="122"/>
      <c r="J36" s="122"/>
      <c r="K36" s="123"/>
      <c r="L36" s="123"/>
      <c r="M36" s="123"/>
      <c r="N36" s="124"/>
    </row>
    <row r="37" spans="1:16" s="125" customFormat="1" ht="0.75" customHeight="1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7"/>
      <c r="P37" s="128"/>
    </row>
    <row r="38" spans="1:16" s="125" customFormat="1" ht="9" customHeight="1">
      <c r="A38" s="207" t="s">
        <v>47</v>
      </c>
      <c r="B38" s="126"/>
      <c r="C38" s="126"/>
      <c r="D38" s="126"/>
      <c r="E38" s="126"/>
      <c r="F38" s="126"/>
      <c r="G38" s="126"/>
      <c r="I38" s="126"/>
      <c r="J38" s="126"/>
      <c r="K38" s="126"/>
      <c r="L38" s="126"/>
      <c r="M38" s="126"/>
      <c r="N38" s="127"/>
      <c r="P38" s="191"/>
    </row>
    <row r="39" spans="1:14" s="213" customFormat="1" ht="14.25" customHeight="1">
      <c r="A39" s="369" t="s">
        <v>48</v>
      </c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212"/>
    </row>
    <row r="40" spans="1:14" s="213" customFormat="1" ht="12.75" customHeight="1">
      <c r="A40" s="369" t="s">
        <v>236</v>
      </c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212"/>
    </row>
    <row r="41" spans="1:14" s="213" customFormat="1" ht="12" customHeight="1">
      <c r="A41" s="369" t="s">
        <v>269</v>
      </c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212"/>
    </row>
    <row r="42" spans="1:14" s="213" customFormat="1" ht="12" customHeight="1">
      <c r="A42" s="374" t="s">
        <v>250</v>
      </c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232"/>
    </row>
    <row r="43" spans="1:16" s="213" customFormat="1" ht="12" customHeight="1">
      <c r="A43" s="373" t="s">
        <v>264</v>
      </c>
      <c r="B43" s="373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232"/>
      <c r="N43" s="216"/>
      <c r="P43" s="217"/>
    </row>
    <row r="44" spans="1:255" s="213" customFormat="1" ht="12" customHeight="1">
      <c r="A44" s="404" t="s">
        <v>270</v>
      </c>
      <c r="B44" s="404"/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215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  <c r="BZ44" s="216"/>
      <c r="CA44" s="216"/>
      <c r="CB44" s="216"/>
      <c r="CC44" s="216"/>
      <c r="CD44" s="216"/>
      <c r="CE44" s="216"/>
      <c r="CF44" s="216"/>
      <c r="CG44" s="216"/>
      <c r="CH44" s="216"/>
      <c r="CI44" s="216"/>
      <c r="CJ44" s="216"/>
      <c r="CK44" s="216"/>
      <c r="CL44" s="216"/>
      <c r="CM44" s="216"/>
      <c r="CN44" s="216"/>
      <c r="CO44" s="216"/>
      <c r="CP44" s="216"/>
      <c r="CQ44" s="216"/>
      <c r="CR44" s="216"/>
      <c r="CS44" s="216"/>
      <c r="CT44" s="216"/>
      <c r="CU44" s="216"/>
      <c r="CV44" s="216"/>
      <c r="CW44" s="216"/>
      <c r="CX44" s="216"/>
      <c r="CY44" s="216"/>
      <c r="CZ44" s="216"/>
      <c r="DA44" s="216"/>
      <c r="DB44" s="216"/>
      <c r="DC44" s="216"/>
      <c r="DD44" s="216"/>
      <c r="DE44" s="216"/>
      <c r="DF44" s="216"/>
      <c r="DG44" s="216"/>
      <c r="DH44" s="216"/>
      <c r="DI44" s="216"/>
      <c r="DJ44" s="216"/>
      <c r="DK44" s="216"/>
      <c r="DL44" s="216"/>
      <c r="DM44" s="216"/>
      <c r="DN44" s="216"/>
      <c r="DO44" s="216"/>
      <c r="DP44" s="216"/>
      <c r="DQ44" s="216"/>
      <c r="DR44" s="216"/>
      <c r="DS44" s="216"/>
      <c r="DT44" s="216"/>
      <c r="DU44" s="216"/>
      <c r="DV44" s="216"/>
      <c r="DW44" s="216"/>
      <c r="DX44" s="216"/>
      <c r="DY44" s="216"/>
      <c r="DZ44" s="216"/>
      <c r="EA44" s="216"/>
      <c r="EB44" s="216"/>
      <c r="EC44" s="216"/>
      <c r="ED44" s="216"/>
      <c r="EE44" s="216"/>
      <c r="EF44" s="216"/>
      <c r="EG44" s="216"/>
      <c r="EH44" s="216"/>
      <c r="EI44" s="216"/>
      <c r="EJ44" s="216"/>
      <c r="EK44" s="216"/>
      <c r="EL44" s="216"/>
      <c r="EM44" s="216"/>
      <c r="EN44" s="216"/>
      <c r="EO44" s="216"/>
      <c r="EP44" s="216"/>
      <c r="EQ44" s="216"/>
      <c r="ER44" s="216"/>
      <c r="ES44" s="216"/>
      <c r="ET44" s="216"/>
      <c r="EU44" s="216"/>
      <c r="EV44" s="216"/>
      <c r="EW44" s="216"/>
      <c r="EX44" s="216"/>
      <c r="EY44" s="216"/>
      <c r="EZ44" s="216"/>
      <c r="FA44" s="216"/>
      <c r="FB44" s="216"/>
      <c r="FC44" s="216"/>
      <c r="FD44" s="216"/>
      <c r="FE44" s="216"/>
      <c r="FF44" s="216"/>
      <c r="FG44" s="216"/>
      <c r="FH44" s="216"/>
      <c r="FI44" s="216"/>
      <c r="FJ44" s="216"/>
      <c r="FK44" s="216"/>
      <c r="FL44" s="216"/>
      <c r="FM44" s="216"/>
      <c r="FN44" s="216"/>
      <c r="FO44" s="216"/>
      <c r="FP44" s="216"/>
      <c r="FQ44" s="216"/>
      <c r="FR44" s="216"/>
      <c r="FS44" s="216"/>
      <c r="FT44" s="216"/>
      <c r="FU44" s="216"/>
      <c r="FV44" s="216"/>
      <c r="FW44" s="216"/>
      <c r="FX44" s="216"/>
      <c r="FY44" s="216"/>
      <c r="FZ44" s="216"/>
      <c r="GA44" s="216"/>
      <c r="GB44" s="216"/>
      <c r="GC44" s="216"/>
      <c r="GD44" s="216"/>
      <c r="GE44" s="216"/>
      <c r="GF44" s="216"/>
      <c r="GG44" s="216"/>
      <c r="GH44" s="216"/>
      <c r="GI44" s="216"/>
      <c r="GJ44" s="216"/>
      <c r="GK44" s="216"/>
      <c r="GL44" s="216"/>
      <c r="GM44" s="216"/>
      <c r="GN44" s="216"/>
      <c r="GO44" s="216"/>
      <c r="GP44" s="216"/>
      <c r="GQ44" s="216"/>
      <c r="GR44" s="216"/>
      <c r="GS44" s="216"/>
      <c r="GT44" s="216"/>
      <c r="GU44" s="216"/>
      <c r="GV44" s="216"/>
      <c r="GW44" s="216"/>
      <c r="GX44" s="216"/>
      <c r="GY44" s="216"/>
      <c r="GZ44" s="216"/>
      <c r="HA44" s="216"/>
      <c r="HB44" s="216"/>
      <c r="HC44" s="216"/>
      <c r="HD44" s="216"/>
      <c r="HE44" s="216"/>
      <c r="HF44" s="216"/>
      <c r="HG44" s="216"/>
      <c r="HH44" s="216"/>
      <c r="HI44" s="216"/>
      <c r="HJ44" s="216"/>
      <c r="HK44" s="216"/>
      <c r="HL44" s="216"/>
      <c r="HM44" s="216"/>
      <c r="HN44" s="216"/>
      <c r="HO44" s="216"/>
      <c r="HP44" s="216"/>
      <c r="HQ44" s="216"/>
      <c r="HR44" s="216"/>
      <c r="HS44" s="216"/>
      <c r="HT44" s="216"/>
      <c r="HU44" s="216"/>
      <c r="HV44" s="216"/>
      <c r="HW44" s="216"/>
      <c r="HX44" s="216"/>
      <c r="HY44" s="216"/>
      <c r="HZ44" s="216"/>
      <c r="IA44" s="216"/>
      <c r="IB44" s="216"/>
      <c r="IC44" s="216"/>
      <c r="ID44" s="216"/>
      <c r="IE44" s="216"/>
      <c r="IF44" s="216"/>
      <c r="IG44" s="216"/>
      <c r="IH44" s="216"/>
      <c r="II44" s="216"/>
      <c r="IJ44" s="216"/>
      <c r="IK44" s="216"/>
      <c r="IL44" s="216"/>
      <c r="IM44" s="216"/>
      <c r="IN44" s="216"/>
      <c r="IO44" s="216"/>
      <c r="IP44" s="216"/>
      <c r="IQ44" s="216"/>
      <c r="IR44" s="216"/>
      <c r="IS44" s="216"/>
      <c r="IT44" s="216"/>
      <c r="IU44" s="216"/>
    </row>
    <row r="45" spans="1:255" s="213" customFormat="1" ht="12" customHeight="1">
      <c r="A45" s="373" t="s">
        <v>234</v>
      </c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218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  <c r="BZ45" s="216"/>
      <c r="CA45" s="216"/>
      <c r="CB45" s="216"/>
      <c r="CC45" s="216"/>
      <c r="CD45" s="216"/>
      <c r="CE45" s="216"/>
      <c r="CF45" s="216"/>
      <c r="CG45" s="216"/>
      <c r="CH45" s="216"/>
      <c r="CI45" s="216"/>
      <c r="CJ45" s="216"/>
      <c r="CK45" s="216"/>
      <c r="CL45" s="216"/>
      <c r="CM45" s="216"/>
      <c r="CN45" s="216"/>
      <c r="CO45" s="216"/>
      <c r="CP45" s="216"/>
      <c r="CQ45" s="216"/>
      <c r="CR45" s="216"/>
      <c r="CS45" s="216"/>
      <c r="CT45" s="216"/>
      <c r="CU45" s="216"/>
      <c r="CV45" s="216"/>
      <c r="CW45" s="216"/>
      <c r="CX45" s="216"/>
      <c r="CY45" s="216"/>
      <c r="CZ45" s="216"/>
      <c r="DA45" s="216"/>
      <c r="DB45" s="216"/>
      <c r="DC45" s="216"/>
      <c r="DD45" s="216"/>
      <c r="DE45" s="216"/>
      <c r="DF45" s="216"/>
      <c r="DG45" s="216"/>
      <c r="DH45" s="216"/>
      <c r="DI45" s="216"/>
      <c r="DJ45" s="216"/>
      <c r="DK45" s="216"/>
      <c r="DL45" s="216"/>
      <c r="DM45" s="216"/>
      <c r="DN45" s="216"/>
      <c r="DO45" s="216"/>
      <c r="DP45" s="216"/>
      <c r="DQ45" s="216"/>
      <c r="DR45" s="216"/>
      <c r="DS45" s="216"/>
      <c r="DT45" s="216"/>
      <c r="DU45" s="216"/>
      <c r="DV45" s="216"/>
      <c r="DW45" s="216"/>
      <c r="DX45" s="216"/>
      <c r="DY45" s="216"/>
      <c r="DZ45" s="216"/>
      <c r="EA45" s="216"/>
      <c r="EB45" s="216"/>
      <c r="EC45" s="216"/>
      <c r="ED45" s="216"/>
      <c r="EE45" s="216"/>
      <c r="EF45" s="216"/>
      <c r="EG45" s="216"/>
      <c r="EH45" s="216"/>
      <c r="EI45" s="216"/>
      <c r="EJ45" s="216"/>
      <c r="EK45" s="216"/>
      <c r="EL45" s="216"/>
      <c r="EM45" s="216"/>
      <c r="EN45" s="216"/>
      <c r="EO45" s="216"/>
      <c r="EP45" s="216"/>
      <c r="EQ45" s="216"/>
      <c r="ER45" s="216"/>
      <c r="ES45" s="216"/>
      <c r="ET45" s="216"/>
      <c r="EU45" s="216"/>
      <c r="EV45" s="216"/>
      <c r="EW45" s="216"/>
      <c r="EX45" s="216"/>
      <c r="EY45" s="216"/>
      <c r="EZ45" s="216"/>
      <c r="FA45" s="216"/>
      <c r="FB45" s="216"/>
      <c r="FC45" s="216"/>
      <c r="FD45" s="216"/>
      <c r="FE45" s="216"/>
      <c r="FF45" s="216"/>
      <c r="FG45" s="216"/>
      <c r="FH45" s="216"/>
      <c r="FI45" s="216"/>
      <c r="FJ45" s="216"/>
      <c r="FK45" s="216"/>
      <c r="FL45" s="216"/>
      <c r="FM45" s="216"/>
      <c r="FN45" s="216"/>
      <c r="FO45" s="216"/>
      <c r="FP45" s="216"/>
      <c r="FQ45" s="216"/>
      <c r="FR45" s="216"/>
      <c r="FS45" s="216"/>
      <c r="FT45" s="216"/>
      <c r="FU45" s="216"/>
      <c r="FV45" s="216"/>
      <c r="FW45" s="216"/>
      <c r="FX45" s="216"/>
      <c r="FY45" s="216"/>
      <c r="FZ45" s="216"/>
      <c r="GA45" s="216"/>
      <c r="GB45" s="216"/>
      <c r="GC45" s="216"/>
      <c r="GD45" s="216"/>
      <c r="GE45" s="216"/>
      <c r="GF45" s="216"/>
      <c r="GG45" s="216"/>
      <c r="GH45" s="216"/>
      <c r="GI45" s="216"/>
      <c r="GJ45" s="216"/>
      <c r="GK45" s="216"/>
      <c r="GL45" s="216"/>
      <c r="GM45" s="216"/>
      <c r="GN45" s="216"/>
      <c r="GO45" s="216"/>
      <c r="GP45" s="216"/>
      <c r="GQ45" s="216"/>
      <c r="GR45" s="216"/>
      <c r="GS45" s="216"/>
      <c r="GT45" s="216"/>
      <c r="GU45" s="216"/>
      <c r="GV45" s="216"/>
      <c r="GW45" s="216"/>
      <c r="GX45" s="216"/>
      <c r="GY45" s="216"/>
      <c r="GZ45" s="216"/>
      <c r="HA45" s="216"/>
      <c r="HB45" s="216"/>
      <c r="HC45" s="216"/>
      <c r="HD45" s="216"/>
      <c r="HE45" s="216"/>
      <c r="HF45" s="216"/>
      <c r="HG45" s="216"/>
      <c r="HH45" s="216"/>
      <c r="HI45" s="216"/>
      <c r="HJ45" s="216"/>
      <c r="HK45" s="216"/>
      <c r="HL45" s="216"/>
      <c r="HM45" s="216"/>
      <c r="HN45" s="216"/>
      <c r="HO45" s="216"/>
      <c r="HP45" s="216"/>
      <c r="HQ45" s="216"/>
      <c r="HR45" s="216"/>
      <c r="HS45" s="216"/>
      <c r="HT45" s="216"/>
      <c r="HU45" s="216"/>
      <c r="HV45" s="216"/>
      <c r="HW45" s="216"/>
      <c r="HX45" s="216"/>
      <c r="HY45" s="216"/>
      <c r="HZ45" s="216"/>
      <c r="IA45" s="216"/>
      <c r="IB45" s="216"/>
      <c r="IC45" s="216"/>
      <c r="ID45" s="216"/>
      <c r="IE45" s="216"/>
      <c r="IF45" s="216"/>
      <c r="IG45" s="216"/>
      <c r="IH45" s="216"/>
      <c r="II45" s="216"/>
      <c r="IJ45" s="216"/>
      <c r="IK45" s="216"/>
      <c r="IL45" s="216"/>
      <c r="IM45" s="216"/>
      <c r="IN45" s="216"/>
      <c r="IO45" s="216"/>
      <c r="IP45" s="216"/>
      <c r="IQ45" s="216"/>
      <c r="IR45" s="216"/>
      <c r="IS45" s="216"/>
      <c r="IT45" s="216"/>
      <c r="IU45" s="216"/>
    </row>
    <row r="46" spans="1:255" s="213" customFormat="1" ht="12" customHeight="1">
      <c r="A46" s="450" t="s">
        <v>279</v>
      </c>
      <c r="B46" s="450"/>
      <c r="C46" s="450"/>
      <c r="D46" s="450"/>
      <c r="E46" s="450"/>
      <c r="F46" s="450"/>
      <c r="G46" s="450"/>
      <c r="H46" s="450"/>
      <c r="I46" s="450"/>
      <c r="J46" s="450"/>
      <c r="K46" s="450"/>
      <c r="L46" s="450"/>
      <c r="M46" s="450"/>
      <c r="N46" s="449" t="s">
        <v>280</v>
      </c>
      <c r="O46" s="449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216"/>
      <c r="DF46" s="216"/>
      <c r="DG46" s="216"/>
      <c r="DH46" s="216"/>
      <c r="DI46" s="216"/>
      <c r="DJ46" s="216"/>
      <c r="DK46" s="216"/>
      <c r="DL46" s="216"/>
      <c r="DM46" s="216"/>
      <c r="DN46" s="216"/>
      <c r="DO46" s="216"/>
      <c r="DP46" s="216"/>
      <c r="DQ46" s="216"/>
      <c r="DR46" s="216"/>
      <c r="DS46" s="216"/>
      <c r="DT46" s="216"/>
      <c r="DU46" s="216"/>
      <c r="DV46" s="216"/>
      <c r="DW46" s="216"/>
      <c r="DX46" s="216"/>
      <c r="DY46" s="216"/>
      <c r="DZ46" s="216"/>
      <c r="EA46" s="216"/>
      <c r="EB46" s="216"/>
      <c r="EC46" s="216"/>
      <c r="ED46" s="216"/>
      <c r="EE46" s="216"/>
      <c r="EF46" s="216"/>
      <c r="EG46" s="216"/>
      <c r="EH46" s="216"/>
      <c r="EI46" s="216"/>
      <c r="EJ46" s="216"/>
      <c r="EK46" s="216"/>
      <c r="EL46" s="216"/>
      <c r="EM46" s="216"/>
      <c r="EN46" s="216"/>
      <c r="EO46" s="216"/>
      <c r="EP46" s="216"/>
      <c r="EQ46" s="216"/>
      <c r="ER46" s="216"/>
      <c r="ES46" s="216"/>
      <c r="ET46" s="216"/>
      <c r="EU46" s="216"/>
      <c r="EV46" s="216"/>
      <c r="EW46" s="216"/>
      <c r="EX46" s="216"/>
      <c r="EY46" s="216"/>
      <c r="EZ46" s="216"/>
      <c r="FA46" s="216"/>
      <c r="FB46" s="216"/>
      <c r="FC46" s="216"/>
      <c r="FD46" s="216"/>
      <c r="FE46" s="216"/>
      <c r="FF46" s="216"/>
      <c r="FG46" s="216"/>
      <c r="FH46" s="216"/>
      <c r="FI46" s="216"/>
      <c r="FJ46" s="216"/>
      <c r="FK46" s="216"/>
      <c r="FL46" s="216"/>
      <c r="FM46" s="216"/>
      <c r="FN46" s="216"/>
      <c r="FO46" s="216"/>
      <c r="FP46" s="216"/>
      <c r="FQ46" s="216"/>
      <c r="FR46" s="216"/>
      <c r="FS46" s="216"/>
      <c r="FT46" s="216"/>
      <c r="FU46" s="216"/>
      <c r="FV46" s="216"/>
      <c r="FW46" s="216"/>
      <c r="FX46" s="216"/>
      <c r="FY46" s="216"/>
      <c r="FZ46" s="216"/>
      <c r="GA46" s="216"/>
      <c r="GB46" s="216"/>
      <c r="GC46" s="216"/>
      <c r="GD46" s="216"/>
      <c r="GE46" s="216"/>
      <c r="GF46" s="216"/>
      <c r="GG46" s="216"/>
      <c r="GH46" s="216"/>
      <c r="GI46" s="216"/>
      <c r="GJ46" s="216"/>
      <c r="GK46" s="216"/>
      <c r="GL46" s="216"/>
      <c r="GM46" s="216"/>
      <c r="GN46" s="216"/>
      <c r="GO46" s="216"/>
      <c r="GP46" s="216"/>
      <c r="GQ46" s="216"/>
      <c r="GR46" s="216"/>
      <c r="GS46" s="216"/>
      <c r="GT46" s="216"/>
      <c r="GU46" s="216"/>
      <c r="GV46" s="216"/>
      <c r="GW46" s="216"/>
      <c r="GX46" s="216"/>
      <c r="GY46" s="216"/>
      <c r="GZ46" s="216"/>
      <c r="HA46" s="216"/>
      <c r="HB46" s="216"/>
      <c r="HC46" s="216"/>
      <c r="HD46" s="216"/>
      <c r="HE46" s="216"/>
      <c r="HF46" s="216"/>
      <c r="HG46" s="216"/>
      <c r="HH46" s="216"/>
      <c r="HI46" s="216"/>
      <c r="HJ46" s="216"/>
      <c r="HK46" s="216"/>
      <c r="HL46" s="216"/>
      <c r="HM46" s="216"/>
      <c r="HN46" s="216"/>
      <c r="HO46" s="216"/>
      <c r="HP46" s="216"/>
      <c r="HQ46" s="216"/>
      <c r="HR46" s="216"/>
      <c r="HS46" s="216"/>
      <c r="HT46" s="216"/>
      <c r="HU46" s="216"/>
      <c r="HV46" s="216"/>
      <c r="HW46" s="216"/>
      <c r="HX46" s="216"/>
      <c r="HY46" s="216"/>
      <c r="HZ46" s="216"/>
      <c r="IA46" s="216"/>
      <c r="IB46" s="216"/>
      <c r="IC46" s="216"/>
      <c r="ID46" s="216"/>
      <c r="IE46" s="216"/>
      <c r="IF46" s="216"/>
      <c r="IG46" s="216"/>
      <c r="IH46" s="216"/>
      <c r="II46" s="216"/>
      <c r="IJ46" s="216"/>
      <c r="IK46" s="216"/>
      <c r="IL46" s="216"/>
      <c r="IM46" s="216"/>
      <c r="IN46" s="216"/>
      <c r="IO46" s="216"/>
      <c r="IP46" s="216"/>
      <c r="IQ46" s="216"/>
      <c r="IR46" s="216"/>
      <c r="IS46" s="216"/>
      <c r="IT46" s="216"/>
      <c r="IU46" s="216"/>
    </row>
    <row r="47" spans="1:16" s="213" customFormat="1" ht="12" customHeight="1">
      <c r="A47" s="404" t="s">
        <v>271</v>
      </c>
      <c r="B47" s="404"/>
      <c r="C47" s="404"/>
      <c r="D47" s="404"/>
      <c r="E47" s="404"/>
      <c r="F47" s="404"/>
      <c r="G47" s="404"/>
      <c r="H47" s="404"/>
      <c r="I47" s="404"/>
      <c r="J47" s="404"/>
      <c r="K47" s="404"/>
      <c r="L47" s="404"/>
      <c r="M47" s="404"/>
      <c r="N47" s="216"/>
      <c r="P47" s="217"/>
    </row>
    <row r="48" spans="1:16" s="213" customFormat="1" ht="12" customHeight="1">
      <c r="A48" s="368" t="s">
        <v>235</v>
      </c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219"/>
      <c r="P48" s="217"/>
    </row>
    <row r="49" spans="1:16" s="220" customFormat="1" ht="12" customHeight="1">
      <c r="A49" s="374" t="s">
        <v>243</v>
      </c>
      <c r="B49" s="374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232"/>
      <c r="P49" s="221"/>
    </row>
    <row r="50" spans="1:16" s="220" customFormat="1" ht="12" customHeight="1">
      <c r="A50" s="374" t="s">
        <v>252</v>
      </c>
      <c r="B50" s="374"/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N50" s="232"/>
      <c r="P50" s="221"/>
    </row>
    <row r="51" spans="1:14" s="213" customFormat="1" ht="12" customHeight="1">
      <c r="A51" s="374" t="s">
        <v>262</v>
      </c>
      <c r="B51" s="374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232"/>
      <c r="N51" s="216"/>
    </row>
    <row r="52" spans="1:16" s="213" customFormat="1" ht="12" customHeight="1">
      <c r="A52" s="374" t="s">
        <v>268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232"/>
      <c r="N52" s="219"/>
      <c r="P52" s="222"/>
    </row>
    <row r="53" spans="1:16" s="213" customFormat="1" ht="12" customHeight="1">
      <c r="A53" s="404" t="s">
        <v>272</v>
      </c>
      <c r="B53" s="404"/>
      <c r="C53" s="404"/>
      <c r="D53" s="404"/>
      <c r="E53" s="404"/>
      <c r="F53" s="404"/>
      <c r="G53" s="404"/>
      <c r="H53" s="404"/>
      <c r="I53" s="404"/>
      <c r="J53" s="404"/>
      <c r="K53" s="404"/>
      <c r="L53" s="404"/>
      <c r="M53" s="404"/>
      <c r="P53" s="222"/>
    </row>
    <row r="54" spans="1:255" s="213" customFormat="1" ht="12" customHeight="1">
      <c r="A54" s="368" t="s">
        <v>206</v>
      </c>
      <c r="B54" s="368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219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  <c r="BZ54" s="216"/>
      <c r="CA54" s="216"/>
      <c r="CB54" s="216"/>
      <c r="CC54" s="216"/>
      <c r="CD54" s="216"/>
      <c r="CE54" s="216"/>
      <c r="CF54" s="216"/>
      <c r="CG54" s="216"/>
      <c r="CH54" s="216"/>
      <c r="CI54" s="216"/>
      <c r="CJ54" s="216"/>
      <c r="CK54" s="216"/>
      <c r="CL54" s="216"/>
      <c r="CM54" s="216"/>
      <c r="CN54" s="216"/>
      <c r="CO54" s="216"/>
      <c r="CP54" s="216"/>
      <c r="CQ54" s="216"/>
      <c r="CR54" s="216"/>
      <c r="CS54" s="216"/>
      <c r="CT54" s="216"/>
      <c r="CU54" s="216"/>
      <c r="CV54" s="216"/>
      <c r="CW54" s="216"/>
      <c r="CX54" s="216"/>
      <c r="CY54" s="216"/>
      <c r="CZ54" s="216"/>
      <c r="DA54" s="216"/>
      <c r="DB54" s="216"/>
      <c r="DC54" s="216"/>
      <c r="DD54" s="216"/>
      <c r="DE54" s="216"/>
      <c r="DF54" s="216"/>
      <c r="DG54" s="216"/>
      <c r="DH54" s="216"/>
      <c r="DI54" s="216"/>
      <c r="DJ54" s="216"/>
      <c r="DK54" s="216"/>
      <c r="DL54" s="216"/>
      <c r="DM54" s="216"/>
      <c r="DN54" s="216"/>
      <c r="DO54" s="216"/>
      <c r="DP54" s="216"/>
      <c r="DQ54" s="216"/>
      <c r="DR54" s="216"/>
      <c r="DS54" s="216"/>
      <c r="DT54" s="216"/>
      <c r="DU54" s="216"/>
      <c r="DV54" s="216"/>
      <c r="DW54" s="216"/>
      <c r="DX54" s="216"/>
      <c r="DY54" s="216"/>
      <c r="DZ54" s="216"/>
      <c r="EA54" s="216"/>
      <c r="EB54" s="216"/>
      <c r="EC54" s="216"/>
      <c r="ED54" s="216"/>
      <c r="EE54" s="216"/>
      <c r="EF54" s="216"/>
      <c r="EG54" s="216"/>
      <c r="EH54" s="216"/>
      <c r="EI54" s="216"/>
      <c r="EJ54" s="216"/>
      <c r="EK54" s="216"/>
      <c r="EL54" s="216"/>
      <c r="EM54" s="216"/>
      <c r="EN54" s="216"/>
      <c r="EO54" s="216"/>
      <c r="EP54" s="216"/>
      <c r="EQ54" s="216"/>
      <c r="ER54" s="216"/>
      <c r="ES54" s="216"/>
      <c r="ET54" s="216"/>
      <c r="EU54" s="216"/>
      <c r="EV54" s="216"/>
      <c r="EW54" s="216"/>
      <c r="EX54" s="216"/>
      <c r="EY54" s="216"/>
      <c r="EZ54" s="216"/>
      <c r="FA54" s="216"/>
      <c r="FB54" s="216"/>
      <c r="FC54" s="216"/>
      <c r="FD54" s="216"/>
      <c r="FE54" s="216"/>
      <c r="FF54" s="216"/>
      <c r="FG54" s="216"/>
      <c r="FH54" s="216"/>
      <c r="FI54" s="216"/>
      <c r="FJ54" s="216"/>
      <c r="FK54" s="216"/>
      <c r="FL54" s="216"/>
      <c r="FM54" s="216"/>
      <c r="FN54" s="216"/>
      <c r="FO54" s="216"/>
      <c r="FP54" s="216"/>
      <c r="FQ54" s="216"/>
      <c r="FR54" s="216"/>
      <c r="FS54" s="216"/>
      <c r="FT54" s="216"/>
      <c r="FU54" s="216"/>
      <c r="FV54" s="216"/>
      <c r="FW54" s="216"/>
      <c r="FX54" s="216"/>
      <c r="FY54" s="216"/>
      <c r="FZ54" s="216"/>
      <c r="GA54" s="216"/>
      <c r="GB54" s="216"/>
      <c r="GC54" s="216"/>
      <c r="GD54" s="216"/>
      <c r="GE54" s="216"/>
      <c r="GF54" s="216"/>
      <c r="GG54" s="216"/>
      <c r="GH54" s="216"/>
      <c r="GI54" s="216"/>
      <c r="GJ54" s="216"/>
      <c r="GK54" s="216"/>
      <c r="GL54" s="216"/>
      <c r="GM54" s="216"/>
      <c r="GN54" s="216"/>
      <c r="GO54" s="216"/>
      <c r="GP54" s="216"/>
      <c r="GQ54" s="216"/>
      <c r="GR54" s="216"/>
      <c r="GS54" s="216"/>
      <c r="GT54" s="216"/>
      <c r="GU54" s="216"/>
      <c r="GV54" s="216"/>
      <c r="GW54" s="216"/>
      <c r="GX54" s="216"/>
      <c r="GY54" s="216"/>
      <c r="GZ54" s="216"/>
      <c r="HA54" s="216"/>
      <c r="HB54" s="216"/>
      <c r="HC54" s="216"/>
      <c r="HD54" s="216"/>
      <c r="HE54" s="216"/>
      <c r="HF54" s="216"/>
      <c r="HG54" s="216"/>
      <c r="HH54" s="216"/>
      <c r="HI54" s="216"/>
      <c r="HJ54" s="216"/>
      <c r="HK54" s="216"/>
      <c r="HL54" s="216"/>
      <c r="HM54" s="216"/>
      <c r="HN54" s="216"/>
      <c r="HO54" s="216"/>
      <c r="HP54" s="216"/>
      <c r="HQ54" s="216"/>
      <c r="HR54" s="216"/>
      <c r="HS54" s="216"/>
      <c r="HT54" s="216"/>
      <c r="HU54" s="216"/>
      <c r="HV54" s="216"/>
      <c r="HW54" s="216"/>
      <c r="HX54" s="216"/>
      <c r="HY54" s="216"/>
      <c r="HZ54" s="216"/>
      <c r="IA54" s="216"/>
      <c r="IB54" s="216"/>
      <c r="IC54" s="216"/>
      <c r="ID54" s="216"/>
      <c r="IE54" s="216"/>
      <c r="IF54" s="216"/>
      <c r="IG54" s="216"/>
      <c r="IH54" s="216"/>
      <c r="II54" s="216"/>
      <c r="IJ54" s="216"/>
      <c r="IK54" s="216"/>
      <c r="IL54" s="216"/>
      <c r="IM54" s="216"/>
      <c r="IN54" s="216"/>
      <c r="IO54" s="216"/>
      <c r="IP54" s="216"/>
      <c r="IQ54" s="216"/>
      <c r="IR54" s="216"/>
      <c r="IS54" s="216"/>
      <c r="IT54" s="216"/>
      <c r="IU54" s="216"/>
    </row>
    <row r="55" spans="1:255" s="213" customFormat="1" ht="12" customHeight="1">
      <c r="A55" s="213" t="s">
        <v>281</v>
      </c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6"/>
      <c r="AU55" s="216"/>
      <c r="AV55" s="216"/>
      <c r="AW55" s="216"/>
      <c r="AX55" s="216"/>
      <c r="AY55" s="216"/>
      <c r="AZ55" s="216"/>
      <c r="BA55" s="216"/>
      <c r="BB55" s="216"/>
      <c r="BC55" s="216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  <c r="BZ55" s="216"/>
      <c r="CA55" s="216"/>
      <c r="CB55" s="216"/>
      <c r="CC55" s="216"/>
      <c r="CD55" s="216"/>
      <c r="CE55" s="216"/>
      <c r="CF55" s="216"/>
      <c r="CG55" s="216"/>
      <c r="CH55" s="216"/>
      <c r="CI55" s="216"/>
      <c r="CJ55" s="216"/>
      <c r="CK55" s="216"/>
      <c r="CL55" s="216"/>
      <c r="CM55" s="216"/>
      <c r="CN55" s="216"/>
      <c r="CO55" s="216"/>
      <c r="CP55" s="216"/>
      <c r="CQ55" s="216"/>
      <c r="CR55" s="216"/>
      <c r="CS55" s="216"/>
      <c r="CT55" s="216"/>
      <c r="CU55" s="216"/>
      <c r="CV55" s="216"/>
      <c r="CW55" s="216"/>
      <c r="CX55" s="216"/>
      <c r="CY55" s="216"/>
      <c r="CZ55" s="216"/>
      <c r="DA55" s="216"/>
      <c r="DB55" s="216"/>
      <c r="DC55" s="216"/>
      <c r="DD55" s="216"/>
      <c r="DE55" s="216"/>
      <c r="DF55" s="216"/>
      <c r="DG55" s="216"/>
      <c r="DH55" s="216"/>
      <c r="DI55" s="216"/>
      <c r="DJ55" s="216"/>
      <c r="DK55" s="216"/>
      <c r="DL55" s="216"/>
      <c r="DM55" s="216"/>
      <c r="DN55" s="216"/>
      <c r="DO55" s="216"/>
      <c r="DP55" s="216"/>
      <c r="DQ55" s="216"/>
      <c r="DR55" s="216"/>
      <c r="DS55" s="216"/>
      <c r="DT55" s="216"/>
      <c r="DU55" s="216"/>
      <c r="DV55" s="216"/>
      <c r="DW55" s="216"/>
      <c r="DX55" s="216"/>
      <c r="DY55" s="216"/>
      <c r="DZ55" s="216"/>
      <c r="EA55" s="216"/>
      <c r="EB55" s="216"/>
      <c r="EC55" s="216"/>
      <c r="ED55" s="216"/>
      <c r="EE55" s="216"/>
      <c r="EF55" s="216"/>
      <c r="EG55" s="216"/>
      <c r="EH55" s="216"/>
      <c r="EI55" s="216"/>
      <c r="EJ55" s="216"/>
      <c r="EK55" s="216"/>
      <c r="EL55" s="216"/>
      <c r="EM55" s="216"/>
      <c r="EN55" s="216"/>
      <c r="EO55" s="216"/>
      <c r="EP55" s="216"/>
      <c r="EQ55" s="216"/>
      <c r="ER55" s="216"/>
      <c r="ES55" s="216"/>
      <c r="ET55" s="216"/>
      <c r="EU55" s="216"/>
      <c r="EV55" s="216"/>
      <c r="EW55" s="216"/>
      <c r="EX55" s="216"/>
      <c r="EY55" s="216"/>
      <c r="EZ55" s="216"/>
      <c r="FA55" s="216"/>
      <c r="FB55" s="216"/>
      <c r="FC55" s="216"/>
      <c r="FD55" s="216"/>
      <c r="FE55" s="216"/>
      <c r="FF55" s="216"/>
      <c r="FG55" s="216"/>
      <c r="FH55" s="216"/>
      <c r="FI55" s="216"/>
      <c r="FJ55" s="216"/>
      <c r="FK55" s="216"/>
      <c r="FL55" s="216"/>
      <c r="FM55" s="216"/>
      <c r="FN55" s="216"/>
      <c r="FO55" s="216"/>
      <c r="FP55" s="216"/>
      <c r="FQ55" s="216"/>
      <c r="FR55" s="216"/>
      <c r="FS55" s="216"/>
      <c r="FT55" s="216"/>
      <c r="FU55" s="216"/>
      <c r="FV55" s="216"/>
      <c r="FW55" s="216"/>
      <c r="FX55" s="216"/>
      <c r="FY55" s="216"/>
      <c r="FZ55" s="216"/>
      <c r="GA55" s="216"/>
      <c r="GB55" s="216"/>
      <c r="GC55" s="216"/>
      <c r="GD55" s="216"/>
      <c r="GE55" s="216"/>
      <c r="GF55" s="216"/>
      <c r="GG55" s="216"/>
      <c r="GH55" s="216"/>
      <c r="GI55" s="216"/>
      <c r="GJ55" s="216"/>
      <c r="GK55" s="216"/>
      <c r="GL55" s="216"/>
      <c r="GM55" s="216"/>
      <c r="GN55" s="216"/>
      <c r="GO55" s="216"/>
      <c r="GP55" s="216"/>
      <c r="GQ55" s="216"/>
      <c r="GR55" s="216"/>
      <c r="GS55" s="216"/>
      <c r="GT55" s="216"/>
      <c r="GU55" s="216"/>
      <c r="GV55" s="216"/>
      <c r="GW55" s="216"/>
      <c r="GX55" s="216"/>
      <c r="GY55" s="216"/>
      <c r="GZ55" s="216"/>
      <c r="HA55" s="216"/>
      <c r="HB55" s="216"/>
      <c r="HC55" s="216"/>
      <c r="HD55" s="216"/>
      <c r="HE55" s="216"/>
      <c r="HF55" s="216"/>
      <c r="HG55" s="216"/>
      <c r="HH55" s="216"/>
      <c r="HI55" s="216"/>
      <c r="HJ55" s="216"/>
      <c r="HK55" s="216"/>
      <c r="HL55" s="216"/>
      <c r="HM55" s="216"/>
      <c r="HN55" s="216"/>
      <c r="HO55" s="216"/>
      <c r="HP55" s="216"/>
      <c r="HQ55" s="216"/>
      <c r="HR55" s="216"/>
      <c r="HS55" s="216"/>
      <c r="HT55" s="216"/>
      <c r="HU55" s="216"/>
      <c r="HV55" s="216"/>
      <c r="HW55" s="216"/>
      <c r="HX55" s="216"/>
      <c r="HY55" s="216"/>
      <c r="HZ55" s="216"/>
      <c r="IA55" s="216"/>
      <c r="IB55" s="216"/>
      <c r="IC55" s="216"/>
      <c r="ID55" s="216"/>
      <c r="IE55" s="216"/>
      <c r="IF55" s="216"/>
      <c r="IG55" s="216"/>
      <c r="IH55" s="216"/>
      <c r="II55" s="216"/>
      <c r="IJ55" s="216"/>
      <c r="IK55" s="216"/>
      <c r="IL55" s="216"/>
      <c r="IM55" s="216"/>
      <c r="IN55" s="216"/>
      <c r="IO55" s="216"/>
      <c r="IP55" s="216"/>
      <c r="IQ55" s="216"/>
      <c r="IR55" s="216"/>
      <c r="IS55" s="216"/>
      <c r="IT55" s="216"/>
      <c r="IU55" s="216"/>
    </row>
    <row r="56" spans="1:255" s="213" customFormat="1" ht="12" customHeight="1">
      <c r="A56" s="404" t="s">
        <v>273</v>
      </c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6"/>
      <c r="AZ56" s="216"/>
      <c r="BA56" s="216"/>
      <c r="BB56" s="216"/>
      <c r="BC56" s="216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  <c r="BZ56" s="216"/>
      <c r="CA56" s="216"/>
      <c r="CB56" s="216"/>
      <c r="CC56" s="216"/>
      <c r="CD56" s="216"/>
      <c r="CE56" s="216"/>
      <c r="CF56" s="216"/>
      <c r="CG56" s="216"/>
      <c r="CH56" s="216"/>
      <c r="CI56" s="216"/>
      <c r="CJ56" s="216"/>
      <c r="CK56" s="216"/>
      <c r="CL56" s="216"/>
      <c r="CM56" s="216"/>
      <c r="CN56" s="216"/>
      <c r="CO56" s="216"/>
      <c r="CP56" s="216"/>
      <c r="CQ56" s="216"/>
      <c r="CR56" s="216"/>
      <c r="CS56" s="216"/>
      <c r="CT56" s="216"/>
      <c r="CU56" s="216"/>
      <c r="CV56" s="216"/>
      <c r="CW56" s="216"/>
      <c r="CX56" s="216"/>
      <c r="CY56" s="216"/>
      <c r="CZ56" s="216"/>
      <c r="DA56" s="216"/>
      <c r="DB56" s="216"/>
      <c r="DC56" s="216"/>
      <c r="DD56" s="216"/>
      <c r="DE56" s="216"/>
      <c r="DF56" s="216"/>
      <c r="DG56" s="216"/>
      <c r="DH56" s="216"/>
      <c r="DI56" s="216"/>
      <c r="DJ56" s="216"/>
      <c r="DK56" s="216"/>
      <c r="DL56" s="216"/>
      <c r="DM56" s="216"/>
      <c r="DN56" s="216"/>
      <c r="DO56" s="216"/>
      <c r="DP56" s="216"/>
      <c r="DQ56" s="216"/>
      <c r="DR56" s="216"/>
      <c r="DS56" s="216"/>
      <c r="DT56" s="216"/>
      <c r="DU56" s="216"/>
      <c r="DV56" s="216"/>
      <c r="DW56" s="216"/>
      <c r="DX56" s="216"/>
      <c r="DY56" s="216"/>
      <c r="DZ56" s="216"/>
      <c r="EA56" s="216"/>
      <c r="EB56" s="216"/>
      <c r="EC56" s="216"/>
      <c r="ED56" s="216"/>
      <c r="EE56" s="216"/>
      <c r="EF56" s="216"/>
      <c r="EG56" s="216"/>
      <c r="EH56" s="216"/>
      <c r="EI56" s="216"/>
      <c r="EJ56" s="216"/>
      <c r="EK56" s="216"/>
      <c r="EL56" s="216"/>
      <c r="EM56" s="216"/>
      <c r="EN56" s="216"/>
      <c r="EO56" s="216"/>
      <c r="EP56" s="216"/>
      <c r="EQ56" s="216"/>
      <c r="ER56" s="216"/>
      <c r="ES56" s="216"/>
      <c r="ET56" s="216"/>
      <c r="EU56" s="216"/>
      <c r="EV56" s="216"/>
      <c r="EW56" s="216"/>
      <c r="EX56" s="216"/>
      <c r="EY56" s="216"/>
      <c r="EZ56" s="216"/>
      <c r="FA56" s="216"/>
      <c r="FB56" s="216"/>
      <c r="FC56" s="216"/>
      <c r="FD56" s="216"/>
      <c r="FE56" s="216"/>
      <c r="FF56" s="216"/>
      <c r="FG56" s="216"/>
      <c r="FH56" s="216"/>
      <c r="FI56" s="216"/>
      <c r="FJ56" s="216"/>
      <c r="FK56" s="216"/>
      <c r="FL56" s="216"/>
      <c r="FM56" s="216"/>
      <c r="FN56" s="216"/>
      <c r="FO56" s="216"/>
      <c r="FP56" s="216"/>
      <c r="FQ56" s="216"/>
      <c r="FR56" s="216"/>
      <c r="FS56" s="216"/>
      <c r="FT56" s="216"/>
      <c r="FU56" s="216"/>
      <c r="FV56" s="216"/>
      <c r="FW56" s="216"/>
      <c r="FX56" s="216"/>
      <c r="FY56" s="216"/>
      <c r="FZ56" s="216"/>
      <c r="GA56" s="216"/>
      <c r="GB56" s="216"/>
      <c r="GC56" s="216"/>
      <c r="GD56" s="216"/>
      <c r="GE56" s="216"/>
      <c r="GF56" s="216"/>
      <c r="GG56" s="216"/>
      <c r="GH56" s="216"/>
      <c r="GI56" s="216"/>
      <c r="GJ56" s="216"/>
      <c r="GK56" s="216"/>
      <c r="GL56" s="216"/>
      <c r="GM56" s="216"/>
      <c r="GN56" s="216"/>
      <c r="GO56" s="216"/>
      <c r="GP56" s="216"/>
      <c r="GQ56" s="216"/>
      <c r="GR56" s="216"/>
      <c r="GS56" s="216"/>
      <c r="GT56" s="216"/>
      <c r="GU56" s="216"/>
      <c r="GV56" s="216"/>
      <c r="GW56" s="216"/>
      <c r="GX56" s="216"/>
      <c r="GY56" s="216"/>
      <c r="GZ56" s="216"/>
      <c r="HA56" s="216"/>
      <c r="HB56" s="216"/>
      <c r="HC56" s="216"/>
      <c r="HD56" s="216"/>
      <c r="HE56" s="216"/>
      <c r="HF56" s="216"/>
      <c r="HG56" s="216"/>
      <c r="HH56" s="216"/>
      <c r="HI56" s="216"/>
      <c r="HJ56" s="216"/>
      <c r="HK56" s="216"/>
      <c r="HL56" s="216"/>
      <c r="HM56" s="216"/>
      <c r="HN56" s="216"/>
      <c r="HO56" s="216"/>
      <c r="HP56" s="216"/>
      <c r="HQ56" s="216"/>
      <c r="HR56" s="216"/>
      <c r="HS56" s="216"/>
      <c r="HT56" s="216"/>
      <c r="HU56" s="216"/>
      <c r="HV56" s="216"/>
      <c r="HW56" s="216"/>
      <c r="HX56" s="216"/>
      <c r="HY56" s="216"/>
      <c r="HZ56" s="216"/>
      <c r="IA56" s="216"/>
      <c r="IB56" s="216"/>
      <c r="IC56" s="216"/>
      <c r="ID56" s="216"/>
      <c r="IE56" s="216"/>
      <c r="IF56" s="216"/>
      <c r="IG56" s="216"/>
      <c r="IH56" s="216"/>
      <c r="II56" s="216"/>
      <c r="IJ56" s="216"/>
      <c r="IK56" s="216"/>
      <c r="IL56" s="216"/>
      <c r="IM56" s="216"/>
      <c r="IN56" s="216"/>
      <c r="IO56" s="216"/>
      <c r="IP56" s="216"/>
      <c r="IQ56" s="216"/>
      <c r="IR56" s="216"/>
      <c r="IS56" s="216"/>
      <c r="IT56" s="216"/>
      <c r="IU56" s="216"/>
    </row>
    <row r="57" spans="1:255" s="125" customFormat="1" ht="11.25" customHeight="1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2"/>
      <c r="DV57" s="132"/>
      <c r="DW57" s="132"/>
      <c r="DX57" s="132"/>
      <c r="DY57" s="132"/>
      <c r="DZ57" s="132"/>
      <c r="EA57" s="132"/>
      <c r="EB57" s="132"/>
      <c r="EC57" s="132"/>
      <c r="ED57" s="132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2"/>
      <c r="FK57" s="132"/>
      <c r="FL57" s="132"/>
      <c r="FM57" s="132"/>
      <c r="FN57" s="132"/>
      <c r="FO57" s="132"/>
      <c r="FP57" s="132"/>
      <c r="FQ57" s="132"/>
      <c r="FR57" s="132"/>
      <c r="FS57" s="132"/>
      <c r="FT57" s="132"/>
      <c r="FU57" s="132"/>
      <c r="FV57" s="132"/>
      <c r="FW57" s="132"/>
      <c r="FX57" s="132"/>
      <c r="FY57" s="132"/>
      <c r="FZ57" s="132"/>
      <c r="GA57" s="132"/>
      <c r="GB57" s="132"/>
      <c r="GC57" s="132"/>
      <c r="GD57" s="132"/>
      <c r="GE57" s="132"/>
      <c r="GF57" s="132"/>
      <c r="GG57" s="132"/>
      <c r="GH57" s="132"/>
      <c r="GI57" s="132"/>
      <c r="GJ57" s="132"/>
      <c r="GK57" s="132"/>
      <c r="GL57" s="132"/>
      <c r="GM57" s="132"/>
      <c r="GN57" s="132"/>
      <c r="GO57" s="132"/>
      <c r="GP57" s="132"/>
      <c r="GQ57" s="132"/>
      <c r="GR57" s="132"/>
      <c r="GS57" s="132"/>
      <c r="GT57" s="132"/>
      <c r="GU57" s="132"/>
      <c r="GV57" s="132"/>
      <c r="GW57" s="132"/>
      <c r="GX57" s="132"/>
      <c r="GY57" s="132"/>
      <c r="GZ57" s="132"/>
      <c r="HA57" s="132"/>
      <c r="HB57" s="132"/>
      <c r="HC57" s="132"/>
      <c r="HD57" s="132"/>
      <c r="HE57" s="132"/>
      <c r="HF57" s="132"/>
      <c r="HG57" s="132"/>
      <c r="HH57" s="132"/>
      <c r="HI57" s="132"/>
      <c r="HJ57" s="132"/>
      <c r="HK57" s="132"/>
      <c r="HL57" s="132"/>
      <c r="HM57" s="132"/>
      <c r="HN57" s="132"/>
      <c r="HO57" s="132"/>
      <c r="HP57" s="132"/>
      <c r="HQ57" s="132"/>
      <c r="HR57" s="132"/>
      <c r="HS57" s="132"/>
      <c r="HT57" s="132"/>
      <c r="HU57" s="132"/>
      <c r="HV57" s="132"/>
      <c r="HW57" s="132"/>
      <c r="HX57" s="132"/>
      <c r="HY57" s="132"/>
      <c r="HZ57" s="132"/>
      <c r="IA57" s="132"/>
      <c r="IB57" s="132"/>
      <c r="IC57" s="132"/>
      <c r="ID57" s="132"/>
      <c r="IE57" s="132"/>
      <c r="IF57" s="132"/>
      <c r="IG57" s="132"/>
      <c r="IH57" s="132"/>
      <c r="II57" s="132"/>
      <c r="IJ57" s="132"/>
      <c r="IK57" s="132"/>
      <c r="IL57" s="132"/>
      <c r="IM57" s="132"/>
      <c r="IN57" s="132"/>
      <c r="IO57" s="132"/>
      <c r="IP57" s="132"/>
      <c r="IQ57" s="132"/>
      <c r="IR57" s="132"/>
      <c r="IS57" s="132"/>
      <c r="IT57" s="132"/>
      <c r="IU57" s="132"/>
    </row>
    <row r="58" spans="1:255" s="125" customFormat="1" ht="11.25" customHeight="1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/>
      <c r="CH58" s="132"/>
      <c r="CI58" s="132"/>
      <c r="CJ58" s="132"/>
      <c r="CK58" s="132"/>
      <c r="CL58" s="132"/>
      <c r="CM58" s="132"/>
      <c r="CN58" s="132"/>
      <c r="CO58" s="132"/>
      <c r="CP58" s="132"/>
      <c r="CQ58" s="132"/>
      <c r="CR58" s="132"/>
      <c r="CS58" s="132"/>
      <c r="CT58" s="132"/>
      <c r="CU58" s="132"/>
      <c r="CV58" s="132"/>
      <c r="CW58" s="132"/>
      <c r="CX58" s="132"/>
      <c r="CY58" s="132"/>
      <c r="CZ58" s="132"/>
      <c r="DA58" s="132"/>
      <c r="DB58" s="132"/>
      <c r="DC58" s="132"/>
      <c r="DD58" s="132"/>
      <c r="DE58" s="132"/>
      <c r="DF58" s="132"/>
      <c r="DG58" s="132"/>
      <c r="DH58" s="132"/>
      <c r="DI58" s="132"/>
      <c r="DJ58" s="132"/>
      <c r="DK58" s="132"/>
      <c r="DL58" s="132"/>
      <c r="DM58" s="132"/>
      <c r="DN58" s="132"/>
      <c r="DO58" s="132"/>
      <c r="DP58" s="132"/>
      <c r="DQ58" s="132"/>
      <c r="DR58" s="132"/>
      <c r="DS58" s="132"/>
      <c r="DT58" s="132"/>
      <c r="DU58" s="132"/>
      <c r="DV58" s="132"/>
      <c r="DW58" s="132"/>
      <c r="DX58" s="132"/>
      <c r="DY58" s="132"/>
      <c r="DZ58" s="132"/>
      <c r="EA58" s="132"/>
      <c r="EB58" s="132"/>
      <c r="EC58" s="132"/>
      <c r="ED58" s="132"/>
      <c r="EE58" s="132"/>
      <c r="EF58" s="132"/>
      <c r="EG58" s="132"/>
      <c r="EH58" s="132"/>
      <c r="EI58" s="132"/>
      <c r="EJ58" s="132"/>
      <c r="EK58" s="132"/>
      <c r="EL58" s="132"/>
      <c r="EM58" s="132"/>
      <c r="EN58" s="132"/>
      <c r="EO58" s="132"/>
      <c r="EP58" s="132"/>
      <c r="EQ58" s="132"/>
      <c r="ER58" s="132"/>
      <c r="ES58" s="132"/>
      <c r="ET58" s="132"/>
      <c r="EU58" s="132"/>
      <c r="EV58" s="132"/>
      <c r="EW58" s="132"/>
      <c r="EX58" s="132"/>
      <c r="EY58" s="132"/>
      <c r="EZ58" s="132"/>
      <c r="FA58" s="132"/>
      <c r="FB58" s="132"/>
      <c r="FC58" s="132"/>
      <c r="FD58" s="132"/>
      <c r="FE58" s="132"/>
      <c r="FF58" s="132"/>
      <c r="FG58" s="132"/>
      <c r="FH58" s="132"/>
      <c r="FI58" s="132"/>
      <c r="FJ58" s="132"/>
      <c r="FK58" s="132"/>
      <c r="FL58" s="132"/>
      <c r="FM58" s="132"/>
      <c r="FN58" s="132"/>
      <c r="FO58" s="132"/>
      <c r="FP58" s="132"/>
      <c r="FQ58" s="132"/>
      <c r="FR58" s="132"/>
      <c r="FS58" s="132"/>
      <c r="FT58" s="132"/>
      <c r="FU58" s="132"/>
      <c r="FV58" s="132"/>
      <c r="FW58" s="132"/>
      <c r="FX58" s="132"/>
      <c r="FY58" s="132"/>
      <c r="FZ58" s="132"/>
      <c r="GA58" s="132"/>
      <c r="GB58" s="132"/>
      <c r="GC58" s="132"/>
      <c r="GD58" s="132"/>
      <c r="GE58" s="132"/>
      <c r="GF58" s="132"/>
      <c r="GG58" s="132"/>
      <c r="GH58" s="132"/>
      <c r="GI58" s="132"/>
      <c r="GJ58" s="132"/>
      <c r="GK58" s="132"/>
      <c r="GL58" s="132"/>
      <c r="GM58" s="132"/>
      <c r="GN58" s="132"/>
      <c r="GO58" s="132"/>
      <c r="GP58" s="132"/>
      <c r="GQ58" s="132"/>
      <c r="GR58" s="132"/>
      <c r="GS58" s="132"/>
      <c r="GT58" s="132"/>
      <c r="GU58" s="132"/>
      <c r="GV58" s="132"/>
      <c r="GW58" s="132"/>
      <c r="GX58" s="132"/>
      <c r="GY58" s="132"/>
      <c r="GZ58" s="132"/>
      <c r="HA58" s="132"/>
      <c r="HB58" s="132"/>
      <c r="HC58" s="132"/>
      <c r="HD58" s="132"/>
      <c r="HE58" s="132"/>
      <c r="HF58" s="132"/>
      <c r="HG58" s="132"/>
      <c r="HH58" s="132"/>
      <c r="HI58" s="132"/>
      <c r="HJ58" s="132"/>
      <c r="HK58" s="132"/>
      <c r="HL58" s="132"/>
      <c r="HM58" s="132"/>
      <c r="HN58" s="132"/>
      <c r="HO58" s="132"/>
      <c r="HP58" s="132"/>
      <c r="HQ58" s="132"/>
      <c r="HR58" s="132"/>
      <c r="HS58" s="132"/>
      <c r="HT58" s="132"/>
      <c r="HU58" s="132"/>
      <c r="HV58" s="132"/>
      <c r="HW58" s="132"/>
      <c r="HX58" s="132"/>
      <c r="HY58" s="132"/>
      <c r="HZ58" s="132"/>
      <c r="IA58" s="132"/>
      <c r="IB58" s="132"/>
      <c r="IC58" s="132"/>
      <c r="ID58" s="132"/>
      <c r="IE58" s="132"/>
      <c r="IF58" s="132"/>
      <c r="IG58" s="132"/>
      <c r="IH58" s="132"/>
      <c r="II58" s="132"/>
      <c r="IJ58" s="132"/>
      <c r="IK58" s="132"/>
      <c r="IL58" s="132"/>
      <c r="IM58" s="132"/>
      <c r="IN58" s="132"/>
      <c r="IO58" s="132"/>
      <c r="IP58" s="132"/>
      <c r="IQ58" s="132"/>
      <c r="IR58" s="132"/>
      <c r="IS58" s="132"/>
      <c r="IT58" s="132"/>
      <c r="IU58" s="132"/>
    </row>
    <row r="59" spans="1:255" s="125" customFormat="1" ht="11.25" customHeight="1">
      <c r="A59" s="227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/>
      <c r="CH59" s="132"/>
      <c r="CI59" s="132"/>
      <c r="CJ59" s="132"/>
      <c r="CK59" s="132"/>
      <c r="CL59" s="132"/>
      <c r="CM59" s="132"/>
      <c r="CN59" s="132"/>
      <c r="CO59" s="132"/>
      <c r="CP59" s="132"/>
      <c r="CQ59" s="132"/>
      <c r="CR59" s="132"/>
      <c r="CS59" s="132"/>
      <c r="CT59" s="132"/>
      <c r="CU59" s="132"/>
      <c r="CV59" s="132"/>
      <c r="CW59" s="132"/>
      <c r="CX59" s="132"/>
      <c r="CY59" s="132"/>
      <c r="CZ59" s="132"/>
      <c r="DA59" s="132"/>
      <c r="DB59" s="132"/>
      <c r="DC59" s="132"/>
      <c r="DD59" s="132"/>
      <c r="DE59" s="132"/>
      <c r="DF59" s="132"/>
      <c r="DG59" s="132"/>
      <c r="DH59" s="132"/>
      <c r="DI59" s="132"/>
      <c r="DJ59" s="132"/>
      <c r="DK59" s="132"/>
      <c r="DL59" s="132"/>
      <c r="DM59" s="132"/>
      <c r="DN59" s="132"/>
      <c r="DO59" s="132"/>
      <c r="DP59" s="132"/>
      <c r="DQ59" s="132"/>
      <c r="DR59" s="132"/>
      <c r="DS59" s="132"/>
      <c r="DT59" s="132"/>
      <c r="DU59" s="132"/>
      <c r="DV59" s="132"/>
      <c r="DW59" s="132"/>
      <c r="DX59" s="132"/>
      <c r="DY59" s="132"/>
      <c r="DZ59" s="132"/>
      <c r="EA59" s="132"/>
      <c r="EB59" s="132"/>
      <c r="EC59" s="132"/>
      <c r="ED59" s="132"/>
      <c r="EE59" s="132"/>
      <c r="EF59" s="132"/>
      <c r="EG59" s="132"/>
      <c r="EH59" s="132"/>
      <c r="EI59" s="132"/>
      <c r="EJ59" s="132"/>
      <c r="EK59" s="132"/>
      <c r="EL59" s="132"/>
      <c r="EM59" s="132"/>
      <c r="EN59" s="132"/>
      <c r="EO59" s="132"/>
      <c r="EP59" s="132"/>
      <c r="EQ59" s="132"/>
      <c r="ER59" s="132"/>
      <c r="ES59" s="132"/>
      <c r="ET59" s="132"/>
      <c r="EU59" s="132"/>
      <c r="EV59" s="132"/>
      <c r="EW59" s="132"/>
      <c r="EX59" s="132"/>
      <c r="EY59" s="132"/>
      <c r="EZ59" s="132"/>
      <c r="FA59" s="132"/>
      <c r="FB59" s="132"/>
      <c r="FC59" s="132"/>
      <c r="FD59" s="132"/>
      <c r="FE59" s="132"/>
      <c r="FF59" s="132"/>
      <c r="FG59" s="132"/>
      <c r="FH59" s="132"/>
      <c r="FI59" s="132"/>
      <c r="FJ59" s="132"/>
      <c r="FK59" s="132"/>
      <c r="FL59" s="132"/>
      <c r="FM59" s="132"/>
      <c r="FN59" s="132"/>
      <c r="FO59" s="132"/>
      <c r="FP59" s="132"/>
      <c r="FQ59" s="132"/>
      <c r="FR59" s="132"/>
      <c r="FS59" s="132"/>
      <c r="FT59" s="132"/>
      <c r="FU59" s="132"/>
      <c r="FV59" s="132"/>
      <c r="FW59" s="132"/>
      <c r="FX59" s="132"/>
      <c r="FY59" s="132"/>
      <c r="FZ59" s="132"/>
      <c r="GA59" s="132"/>
      <c r="GB59" s="132"/>
      <c r="GC59" s="132"/>
      <c r="GD59" s="132"/>
      <c r="GE59" s="132"/>
      <c r="GF59" s="132"/>
      <c r="GG59" s="132"/>
      <c r="GH59" s="132"/>
      <c r="GI59" s="132"/>
      <c r="GJ59" s="132"/>
      <c r="GK59" s="132"/>
      <c r="GL59" s="132"/>
      <c r="GM59" s="132"/>
      <c r="GN59" s="132"/>
      <c r="GO59" s="132"/>
      <c r="GP59" s="132"/>
      <c r="GQ59" s="132"/>
      <c r="GR59" s="132"/>
      <c r="GS59" s="132"/>
      <c r="GT59" s="132"/>
      <c r="GU59" s="132"/>
      <c r="GV59" s="132"/>
      <c r="GW59" s="132"/>
      <c r="GX59" s="132"/>
      <c r="GY59" s="132"/>
      <c r="GZ59" s="132"/>
      <c r="HA59" s="132"/>
      <c r="HB59" s="132"/>
      <c r="HC59" s="132"/>
      <c r="HD59" s="132"/>
      <c r="HE59" s="132"/>
      <c r="HF59" s="132"/>
      <c r="HG59" s="132"/>
      <c r="HH59" s="132"/>
      <c r="HI59" s="132"/>
      <c r="HJ59" s="132"/>
      <c r="HK59" s="132"/>
      <c r="HL59" s="132"/>
      <c r="HM59" s="132"/>
      <c r="HN59" s="132"/>
      <c r="HO59" s="132"/>
      <c r="HP59" s="132"/>
      <c r="HQ59" s="132"/>
      <c r="HR59" s="132"/>
      <c r="HS59" s="132"/>
      <c r="HT59" s="132"/>
      <c r="HU59" s="132"/>
      <c r="HV59" s="132"/>
      <c r="HW59" s="132"/>
      <c r="HX59" s="132"/>
      <c r="HY59" s="132"/>
      <c r="HZ59" s="132"/>
      <c r="IA59" s="132"/>
      <c r="IB59" s="132"/>
      <c r="IC59" s="132"/>
      <c r="ID59" s="132"/>
      <c r="IE59" s="132"/>
      <c r="IF59" s="132"/>
      <c r="IG59" s="132"/>
      <c r="IH59" s="132"/>
      <c r="II59" s="132"/>
      <c r="IJ59" s="132"/>
      <c r="IK59" s="132"/>
      <c r="IL59" s="132"/>
      <c r="IM59" s="132"/>
      <c r="IN59" s="132"/>
      <c r="IO59" s="132"/>
      <c r="IP59" s="132"/>
      <c r="IQ59" s="132"/>
      <c r="IR59" s="132"/>
      <c r="IS59" s="132"/>
      <c r="IT59" s="132"/>
      <c r="IU59" s="132"/>
    </row>
    <row r="60" spans="1:255" s="125" customFormat="1" ht="11.25" customHeight="1">
      <c r="A60" s="227"/>
      <c r="B60" s="227"/>
      <c r="C60" s="227"/>
      <c r="D60" s="227"/>
      <c r="E60" s="227"/>
      <c r="F60" s="227"/>
      <c r="G60" s="227"/>
      <c r="H60" s="231" t="s">
        <v>282</v>
      </c>
      <c r="I60" s="227"/>
      <c r="J60" s="227"/>
      <c r="K60" s="227"/>
      <c r="L60" s="227"/>
      <c r="M60" s="227"/>
      <c r="N60" s="227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  <c r="CN60" s="132"/>
      <c r="CO60" s="132"/>
      <c r="CP60" s="132"/>
      <c r="CQ60" s="132"/>
      <c r="CR60" s="132"/>
      <c r="CS60" s="132"/>
      <c r="CT60" s="132"/>
      <c r="CU60" s="132"/>
      <c r="CV60" s="132"/>
      <c r="CW60" s="132"/>
      <c r="CX60" s="132"/>
      <c r="CY60" s="132"/>
      <c r="CZ60" s="132"/>
      <c r="DA60" s="132"/>
      <c r="DB60" s="132"/>
      <c r="DC60" s="132"/>
      <c r="DD60" s="132"/>
      <c r="DE60" s="132"/>
      <c r="DF60" s="132"/>
      <c r="DG60" s="132"/>
      <c r="DH60" s="132"/>
      <c r="DI60" s="132"/>
      <c r="DJ60" s="132"/>
      <c r="DK60" s="132"/>
      <c r="DL60" s="132"/>
      <c r="DM60" s="132"/>
      <c r="DN60" s="132"/>
      <c r="DO60" s="132"/>
      <c r="DP60" s="132"/>
      <c r="DQ60" s="132"/>
      <c r="DR60" s="132"/>
      <c r="DS60" s="132"/>
      <c r="DT60" s="132"/>
      <c r="DU60" s="132"/>
      <c r="DV60" s="132"/>
      <c r="DW60" s="132"/>
      <c r="DX60" s="132"/>
      <c r="DY60" s="132"/>
      <c r="DZ60" s="132"/>
      <c r="EA60" s="132"/>
      <c r="EB60" s="132"/>
      <c r="EC60" s="132"/>
      <c r="ED60" s="132"/>
      <c r="EE60" s="132"/>
      <c r="EF60" s="132"/>
      <c r="EG60" s="132"/>
      <c r="EH60" s="132"/>
      <c r="EI60" s="132"/>
      <c r="EJ60" s="132"/>
      <c r="EK60" s="132"/>
      <c r="EL60" s="132"/>
      <c r="EM60" s="132"/>
      <c r="EN60" s="132"/>
      <c r="EO60" s="132"/>
      <c r="EP60" s="132"/>
      <c r="EQ60" s="132"/>
      <c r="ER60" s="132"/>
      <c r="ES60" s="132"/>
      <c r="ET60" s="132"/>
      <c r="EU60" s="132"/>
      <c r="EV60" s="132"/>
      <c r="EW60" s="132"/>
      <c r="EX60" s="132"/>
      <c r="EY60" s="132"/>
      <c r="EZ60" s="132"/>
      <c r="FA60" s="132"/>
      <c r="FB60" s="132"/>
      <c r="FC60" s="132"/>
      <c r="FD60" s="132"/>
      <c r="FE60" s="132"/>
      <c r="FF60" s="132"/>
      <c r="FG60" s="132"/>
      <c r="FH60" s="132"/>
      <c r="FI60" s="132"/>
      <c r="FJ60" s="132"/>
      <c r="FK60" s="132"/>
      <c r="FL60" s="132"/>
      <c r="FM60" s="132"/>
      <c r="FN60" s="132"/>
      <c r="FO60" s="132"/>
      <c r="FP60" s="132"/>
      <c r="FQ60" s="132"/>
      <c r="FR60" s="132"/>
      <c r="FS60" s="132"/>
      <c r="FT60" s="132"/>
      <c r="FU60" s="132"/>
      <c r="FV60" s="132"/>
      <c r="FW60" s="132"/>
      <c r="FX60" s="132"/>
      <c r="FY60" s="132"/>
      <c r="FZ60" s="132"/>
      <c r="GA60" s="132"/>
      <c r="GB60" s="132"/>
      <c r="GC60" s="132"/>
      <c r="GD60" s="132"/>
      <c r="GE60" s="132"/>
      <c r="GF60" s="132"/>
      <c r="GG60" s="132"/>
      <c r="GH60" s="132"/>
      <c r="GI60" s="132"/>
      <c r="GJ60" s="132"/>
      <c r="GK60" s="132"/>
      <c r="GL60" s="132"/>
      <c r="GM60" s="132"/>
      <c r="GN60" s="132"/>
      <c r="GO60" s="132"/>
      <c r="GP60" s="132"/>
      <c r="GQ60" s="132"/>
      <c r="GR60" s="132"/>
      <c r="GS60" s="132"/>
      <c r="GT60" s="132"/>
      <c r="GU60" s="132"/>
      <c r="GV60" s="132"/>
      <c r="GW60" s="132"/>
      <c r="GX60" s="132"/>
      <c r="GY60" s="132"/>
      <c r="GZ60" s="132"/>
      <c r="HA60" s="132"/>
      <c r="HB60" s="132"/>
      <c r="HC60" s="132"/>
      <c r="HD60" s="132"/>
      <c r="HE60" s="132"/>
      <c r="HF60" s="132"/>
      <c r="HG60" s="132"/>
      <c r="HH60" s="132"/>
      <c r="HI60" s="132"/>
      <c r="HJ60" s="132"/>
      <c r="HK60" s="132"/>
      <c r="HL60" s="132"/>
      <c r="HM60" s="132"/>
      <c r="HN60" s="132"/>
      <c r="HO60" s="132"/>
      <c r="HP60" s="132"/>
      <c r="HQ60" s="132"/>
      <c r="HR60" s="132"/>
      <c r="HS60" s="132"/>
      <c r="HT60" s="132"/>
      <c r="HU60" s="132"/>
      <c r="HV60" s="132"/>
      <c r="HW60" s="132"/>
      <c r="HX60" s="132"/>
      <c r="HY60" s="132"/>
      <c r="HZ60" s="132"/>
      <c r="IA60" s="132"/>
      <c r="IB60" s="132"/>
      <c r="IC60" s="132"/>
      <c r="ID60" s="132"/>
      <c r="IE60" s="132"/>
      <c r="IF60" s="132"/>
      <c r="IG60" s="132"/>
      <c r="IH60" s="132"/>
      <c r="II60" s="132"/>
      <c r="IJ60" s="132"/>
      <c r="IK60" s="132"/>
      <c r="IL60" s="132"/>
      <c r="IM60" s="132"/>
      <c r="IN60" s="132"/>
      <c r="IO60" s="132"/>
      <c r="IP60" s="132"/>
      <c r="IQ60" s="132"/>
      <c r="IR60" s="132"/>
      <c r="IS60" s="132"/>
      <c r="IT60" s="132"/>
      <c r="IU60" s="132"/>
    </row>
    <row r="61" spans="8:15" ht="13.5" customHeight="1">
      <c r="H61" s="225" t="s">
        <v>278</v>
      </c>
      <c r="I61" s="225"/>
      <c r="J61" s="225"/>
      <c r="K61" s="225"/>
      <c r="L61" s="225"/>
      <c r="M61" s="225"/>
      <c r="N61" s="225"/>
      <c r="O61" s="225"/>
    </row>
    <row r="62" ht="13.5" customHeight="1">
      <c r="H62" s="1" t="s">
        <v>277</v>
      </c>
    </row>
    <row r="63" spans="1:16" ht="13.5" customHeight="1">
      <c r="A63" s="408" t="s">
        <v>247</v>
      </c>
      <c r="B63" s="408"/>
      <c r="C63" s="408"/>
      <c r="D63" s="408"/>
      <c r="E63" s="408"/>
      <c r="F63" s="140"/>
      <c r="G63" s="466" t="s">
        <v>202</v>
      </c>
      <c r="H63" s="466"/>
      <c r="I63" s="466"/>
      <c r="J63" s="466"/>
      <c r="K63" s="466"/>
      <c r="L63" s="27"/>
      <c r="M63" s="408" t="s">
        <v>265</v>
      </c>
      <c r="N63" s="408"/>
      <c r="O63" s="408"/>
      <c r="P63" s="408"/>
    </row>
    <row r="64" spans="1:16" ht="13.5" customHeight="1">
      <c r="A64" s="430" t="s">
        <v>49</v>
      </c>
      <c r="B64" s="430"/>
      <c r="C64" s="430"/>
      <c r="D64" s="430"/>
      <c r="E64" s="430"/>
      <c r="G64" s="430" t="s">
        <v>204</v>
      </c>
      <c r="H64" s="430"/>
      <c r="I64" s="430"/>
      <c r="J64" s="430"/>
      <c r="K64" s="430"/>
      <c r="L64" s="29"/>
      <c r="M64" s="409" t="s">
        <v>50</v>
      </c>
      <c r="N64" s="409"/>
      <c r="O64" s="409"/>
      <c r="P64" s="409"/>
    </row>
    <row r="65" spans="1:16" ht="13.5" customHeight="1">
      <c r="A65" s="411" t="s">
        <v>248</v>
      </c>
      <c r="B65" s="411"/>
      <c r="C65" s="411"/>
      <c r="D65" s="411"/>
      <c r="E65" s="411"/>
      <c r="G65" s="411" t="s">
        <v>207</v>
      </c>
      <c r="H65" s="411"/>
      <c r="I65" s="411"/>
      <c r="J65" s="411"/>
      <c r="K65" s="411"/>
      <c r="L65" s="139"/>
      <c r="M65" s="410" t="s">
        <v>276</v>
      </c>
      <c r="N65" s="410"/>
      <c r="O65" s="410"/>
      <c r="P65" s="410"/>
    </row>
    <row r="66" spans="1:16" ht="13.5" customHeight="1">
      <c r="A66" s="465" t="s">
        <v>51</v>
      </c>
      <c r="B66" s="465"/>
      <c r="C66" s="465"/>
      <c r="D66" s="465"/>
      <c r="E66" s="465"/>
      <c r="G66" s="411" t="s">
        <v>51</v>
      </c>
      <c r="H66" s="411"/>
      <c r="I66" s="411"/>
      <c r="J66" s="411"/>
      <c r="K66" s="411"/>
      <c r="L66" s="31"/>
      <c r="M66" s="411" t="s">
        <v>51</v>
      </c>
      <c r="N66" s="411"/>
      <c r="O66" s="411"/>
      <c r="P66" s="411"/>
    </row>
  </sheetData>
  <sheetProtection/>
  <mergeCells count="91">
    <mergeCell ref="A66:E66"/>
    <mergeCell ref="G63:K63"/>
    <mergeCell ref="M66:P66"/>
    <mergeCell ref="A64:E64"/>
    <mergeCell ref="A65:E65"/>
    <mergeCell ref="G64:K64"/>
    <mergeCell ref="A63:E63"/>
    <mergeCell ref="G65:K65"/>
    <mergeCell ref="G66:K66"/>
    <mergeCell ref="M63:P63"/>
    <mergeCell ref="M64:P64"/>
    <mergeCell ref="M65:P65"/>
    <mergeCell ref="A10:F10"/>
    <mergeCell ref="I10:N10"/>
    <mergeCell ref="A11:F11"/>
    <mergeCell ref="A12:F12"/>
    <mergeCell ref="I12:N12"/>
    <mergeCell ref="I11:N11"/>
    <mergeCell ref="A15:F15"/>
    <mergeCell ref="I15:N15"/>
    <mergeCell ref="A1:P1"/>
    <mergeCell ref="A3:P3"/>
    <mergeCell ref="A2:P2"/>
    <mergeCell ref="A6:G6"/>
    <mergeCell ref="I6:P6"/>
    <mergeCell ref="A7:F7"/>
    <mergeCell ref="I7:N7"/>
    <mergeCell ref="A8:F8"/>
    <mergeCell ref="I8:N8"/>
    <mergeCell ref="A9:F9"/>
    <mergeCell ref="I9:N9"/>
    <mergeCell ref="A14:F14"/>
    <mergeCell ref="I14:N14"/>
    <mergeCell ref="A16:F16"/>
    <mergeCell ref="I16:N16"/>
    <mergeCell ref="A17:F17"/>
    <mergeCell ref="I17:N17"/>
    <mergeCell ref="A18:F18"/>
    <mergeCell ref="I18:N18"/>
    <mergeCell ref="A19:F19"/>
    <mergeCell ref="I19:N19"/>
    <mergeCell ref="A20:F20"/>
    <mergeCell ref="I20:N20"/>
    <mergeCell ref="A21:F21"/>
    <mergeCell ref="I21:N21"/>
    <mergeCell ref="A22:F22"/>
    <mergeCell ref="I22:N22"/>
    <mergeCell ref="A23:F23"/>
    <mergeCell ref="I23:N23"/>
    <mergeCell ref="A24:F24"/>
    <mergeCell ref="I24:N24"/>
    <mergeCell ref="A25:F25"/>
    <mergeCell ref="I25:N25"/>
    <mergeCell ref="A29:F29"/>
    <mergeCell ref="I29:N29"/>
    <mergeCell ref="A26:F26"/>
    <mergeCell ref="I26:N26"/>
    <mergeCell ref="A27:F27"/>
    <mergeCell ref="I27:N27"/>
    <mergeCell ref="A28:F28"/>
    <mergeCell ref="I28:N28"/>
    <mergeCell ref="A30:F30"/>
    <mergeCell ref="I30:N30"/>
    <mergeCell ref="A31:F31"/>
    <mergeCell ref="I31:N31"/>
    <mergeCell ref="A32:F32"/>
    <mergeCell ref="I32:N32"/>
    <mergeCell ref="A44:M44"/>
    <mergeCell ref="A35:F35"/>
    <mergeCell ref="I35:N35"/>
    <mergeCell ref="A33:F33"/>
    <mergeCell ref="I33:N33"/>
    <mergeCell ref="A34:F34"/>
    <mergeCell ref="I34:N34"/>
    <mergeCell ref="A45:M45"/>
    <mergeCell ref="A46:M46"/>
    <mergeCell ref="A47:M47"/>
    <mergeCell ref="A48:M48"/>
    <mergeCell ref="A49:M49"/>
    <mergeCell ref="A39:M39"/>
    <mergeCell ref="A40:M40"/>
    <mergeCell ref="A41:M41"/>
    <mergeCell ref="A42:M42"/>
    <mergeCell ref="A43:L43"/>
    <mergeCell ref="N46:O46"/>
    <mergeCell ref="A50:M50"/>
    <mergeCell ref="A52:L52"/>
    <mergeCell ref="A54:M54"/>
    <mergeCell ref="A56:M56"/>
    <mergeCell ref="A51:L51"/>
    <mergeCell ref="A53:M53"/>
  </mergeCells>
  <printOptions horizontalCentered="1"/>
  <pageMargins left="0.11811023622047245" right="0.11811023622047245" top="0" bottom="0" header="0" footer="0"/>
  <pageSetup horizontalDpi="600" verticalDpi="600" orientation="landscape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V60"/>
  <sheetViews>
    <sheetView showGridLines="0" zoomScale="130" zoomScaleNormal="130" zoomScalePageLayoutView="0" workbookViewId="0" topLeftCell="A1">
      <selection activeCell="P38" sqref="P38"/>
    </sheetView>
  </sheetViews>
  <sheetFormatPr defaultColWidth="6.8515625" defaultRowHeight="13.5" customHeight="1"/>
  <cols>
    <col min="1" max="1" width="13.7109375" style="1" customWidth="1"/>
    <col min="2" max="2" width="11.140625" style="1" customWidth="1"/>
    <col min="3" max="3" width="12.8515625" style="1" bestFit="1" customWidth="1"/>
    <col min="4" max="7" width="7.28125" style="1" customWidth="1"/>
    <col min="8" max="9" width="15.140625" style="1" customWidth="1"/>
    <col min="10" max="14" width="9.8515625" style="1" customWidth="1"/>
    <col min="15" max="15" width="7.28125" style="1" customWidth="1"/>
    <col min="16" max="16" width="15.7109375" style="1" bestFit="1" customWidth="1"/>
    <col min="17" max="17" width="15.57421875" style="25" customWidth="1"/>
    <col min="18" max="18" width="14.421875" style="1" bestFit="1" customWidth="1"/>
    <col min="19" max="19" width="12.00390625" style="1" bestFit="1" customWidth="1"/>
    <col min="20" max="20" width="9.00390625" style="1" bestFit="1" customWidth="1"/>
    <col min="21" max="23" width="6.8515625" style="1" customWidth="1"/>
    <col min="24" max="24" width="15.57421875" style="1" customWidth="1"/>
    <col min="25" max="16384" width="6.8515625" style="1" customWidth="1"/>
  </cols>
  <sheetData>
    <row r="1" spans="2:17" ht="13.5" customHeight="1">
      <c r="B1" s="460" t="s">
        <v>208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</row>
    <row r="2" spans="2:17" ht="15" customHeight="1">
      <c r="B2" s="409" t="s">
        <v>1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</row>
    <row r="3" spans="2:17" ht="15" customHeight="1">
      <c r="B3" s="467" t="s">
        <v>263</v>
      </c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</row>
    <row r="4" spans="2:17" ht="13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Q4" s="1"/>
    </row>
    <row r="5" spans="2:17" ht="13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 t="s">
        <v>2</v>
      </c>
    </row>
    <row r="6" spans="2:17" ht="19.5" customHeight="1">
      <c r="B6" s="356" t="s">
        <v>3</v>
      </c>
      <c r="C6" s="357"/>
      <c r="D6" s="357"/>
      <c r="E6" s="357"/>
      <c r="F6" s="357"/>
      <c r="G6" s="357"/>
      <c r="H6" s="357"/>
      <c r="I6" s="134"/>
      <c r="J6" s="462" t="s">
        <v>4</v>
      </c>
      <c r="K6" s="463"/>
      <c r="L6" s="463"/>
      <c r="M6" s="463"/>
      <c r="N6" s="463"/>
      <c r="O6" s="463"/>
      <c r="P6" s="463"/>
      <c r="Q6" s="358"/>
    </row>
    <row r="7" spans="2:17" ht="23.25" customHeight="1">
      <c r="B7" s="359" t="s">
        <v>5</v>
      </c>
      <c r="C7" s="336"/>
      <c r="D7" s="336"/>
      <c r="E7" s="336"/>
      <c r="F7" s="336"/>
      <c r="G7" s="337"/>
      <c r="H7" s="5" t="s">
        <v>6</v>
      </c>
      <c r="I7" s="133" t="s">
        <v>192</v>
      </c>
      <c r="J7" s="464" t="s">
        <v>5</v>
      </c>
      <c r="K7" s="341"/>
      <c r="L7" s="341"/>
      <c r="M7" s="341"/>
      <c r="N7" s="341"/>
      <c r="O7" s="341"/>
      <c r="P7" s="5" t="s">
        <v>6</v>
      </c>
      <c r="Q7" s="135" t="s">
        <v>192</v>
      </c>
    </row>
    <row r="8" spans="2:19" ht="17.25" customHeight="1">
      <c r="B8" s="335" t="s">
        <v>7</v>
      </c>
      <c r="C8" s="339"/>
      <c r="D8" s="339"/>
      <c r="E8" s="339"/>
      <c r="F8" s="339"/>
      <c r="G8" s="337"/>
      <c r="H8" s="14">
        <f>H9+H14</f>
        <v>8707024.9</v>
      </c>
      <c r="I8" s="14">
        <f>I9+I14</f>
        <v>102475301.34</v>
      </c>
      <c r="J8" s="458" t="s">
        <v>8</v>
      </c>
      <c r="K8" s="458"/>
      <c r="L8" s="458"/>
      <c r="M8" s="458"/>
      <c r="N8" s="458"/>
      <c r="O8" s="459"/>
      <c r="P8" s="14">
        <f>P9+P14</f>
        <v>48185781.04</v>
      </c>
      <c r="Q8" s="14">
        <f>Q9+Q14</f>
        <v>63937969.74</v>
      </c>
      <c r="R8" s="7"/>
      <c r="S8" s="8"/>
    </row>
    <row r="9" spans="2:18" ht="15.75" customHeight="1">
      <c r="B9" s="340" t="s">
        <v>9</v>
      </c>
      <c r="C9" s="348"/>
      <c r="D9" s="348"/>
      <c r="E9" s="348"/>
      <c r="F9" s="348"/>
      <c r="G9" s="341"/>
      <c r="H9" s="6">
        <f>SUM(H10:H12)</f>
        <v>0</v>
      </c>
      <c r="I9" s="190">
        <f>SUM(I10:I12)</f>
        <v>30742590.369999997</v>
      </c>
      <c r="J9" s="343" t="s">
        <v>9</v>
      </c>
      <c r="K9" s="343"/>
      <c r="L9" s="343"/>
      <c r="M9" s="343"/>
      <c r="N9" s="343"/>
      <c r="O9" s="330"/>
      <c r="P9" s="6">
        <f>SUM(P10:P12)</f>
        <v>37480.47</v>
      </c>
      <c r="Q9" s="12">
        <f>Q10</f>
        <v>1332368.43</v>
      </c>
      <c r="R9" s="10"/>
    </row>
    <row r="10" spans="2:18" ht="15" customHeight="1">
      <c r="B10" s="349" t="s">
        <v>10</v>
      </c>
      <c r="C10" s="352"/>
      <c r="D10" s="352"/>
      <c r="E10" s="352"/>
      <c r="F10" s="352"/>
      <c r="G10" s="456"/>
      <c r="H10" s="11"/>
      <c r="I10" s="11">
        <v>30742590.369999997</v>
      </c>
      <c r="J10" s="350" t="s">
        <v>10</v>
      </c>
      <c r="K10" s="352"/>
      <c r="L10" s="352"/>
      <c r="M10" s="352"/>
      <c r="N10" s="352"/>
      <c r="O10" s="456"/>
      <c r="P10" s="11">
        <v>37480.47</v>
      </c>
      <c r="Q10" s="11">
        <v>1332368.43</v>
      </c>
      <c r="R10" s="7"/>
    </row>
    <row r="11" spans="2:17" ht="13.5" customHeight="1">
      <c r="B11" s="349" t="s">
        <v>11</v>
      </c>
      <c r="C11" s="350"/>
      <c r="D11" s="350"/>
      <c r="E11" s="350"/>
      <c r="F11" s="350"/>
      <c r="G11" s="456"/>
      <c r="H11" s="11">
        <v>0</v>
      </c>
      <c r="I11" s="11">
        <v>0</v>
      </c>
      <c r="J11" s="350" t="s">
        <v>11</v>
      </c>
      <c r="K11" s="350"/>
      <c r="L11" s="350"/>
      <c r="M11" s="350"/>
      <c r="N11" s="350"/>
      <c r="O11" s="456"/>
      <c r="P11" s="11">
        <v>0</v>
      </c>
      <c r="Q11" s="11">
        <v>0</v>
      </c>
    </row>
    <row r="12" spans="2:17" ht="13.5" customHeight="1">
      <c r="B12" s="349" t="s">
        <v>12</v>
      </c>
      <c r="C12" s="350"/>
      <c r="D12" s="350"/>
      <c r="E12" s="350"/>
      <c r="F12" s="350"/>
      <c r="G12" s="456"/>
      <c r="H12" s="11">
        <v>0</v>
      </c>
      <c r="I12" s="11">
        <v>0</v>
      </c>
      <c r="J12" s="350" t="s">
        <v>12</v>
      </c>
      <c r="K12" s="350"/>
      <c r="L12" s="350"/>
      <c r="M12" s="350"/>
      <c r="N12" s="350"/>
      <c r="O12" s="456"/>
      <c r="P12" s="11">
        <v>0</v>
      </c>
      <c r="Q12" s="11">
        <v>0</v>
      </c>
    </row>
    <row r="13" spans="2:17" ht="13.5" customHeight="1">
      <c r="B13" s="187"/>
      <c r="C13" s="188"/>
      <c r="D13" s="188"/>
      <c r="E13" s="188"/>
      <c r="F13" s="188"/>
      <c r="G13" s="189"/>
      <c r="H13" s="11"/>
      <c r="I13" s="137"/>
      <c r="J13" s="188"/>
      <c r="K13" s="188"/>
      <c r="L13" s="188"/>
      <c r="M13" s="188"/>
      <c r="N13" s="188"/>
      <c r="O13" s="189"/>
      <c r="P13" s="11"/>
      <c r="Q13" s="11">
        <f>SUM(Q10:Q11)</f>
        <v>1332368.43</v>
      </c>
    </row>
    <row r="14" spans="2:19" ht="13.5" customHeight="1">
      <c r="B14" s="329" t="s">
        <v>13</v>
      </c>
      <c r="C14" s="343"/>
      <c r="D14" s="343"/>
      <c r="E14" s="343"/>
      <c r="F14" s="343"/>
      <c r="G14" s="330"/>
      <c r="H14" s="12">
        <f>SUM(H15:H21)</f>
        <v>8707024.9</v>
      </c>
      <c r="I14" s="190">
        <f>SUM(I15:I21)</f>
        <v>71732710.97</v>
      </c>
      <c r="J14" s="343" t="s">
        <v>13</v>
      </c>
      <c r="K14" s="343"/>
      <c r="L14" s="343"/>
      <c r="M14" s="343"/>
      <c r="N14" s="343"/>
      <c r="O14" s="330"/>
      <c r="P14" s="12">
        <f>SUM(P15:P21)</f>
        <v>48148300.57</v>
      </c>
      <c r="Q14" s="12">
        <f>SUM(Q15:Q21)</f>
        <v>62605601.31</v>
      </c>
      <c r="S14" s="2"/>
    </row>
    <row r="15" spans="2:17" ht="13.5" customHeight="1">
      <c r="B15" s="349" t="s">
        <v>14</v>
      </c>
      <c r="C15" s="352"/>
      <c r="D15" s="352"/>
      <c r="E15" s="352"/>
      <c r="F15" s="352"/>
      <c r="G15" s="456"/>
      <c r="H15" s="11">
        <v>0</v>
      </c>
      <c r="I15" s="11">
        <v>0</v>
      </c>
      <c r="J15" s="350" t="s">
        <v>14</v>
      </c>
      <c r="K15" s="352"/>
      <c r="L15" s="352"/>
      <c r="M15" s="352"/>
      <c r="N15" s="352"/>
      <c r="O15" s="456"/>
      <c r="P15" s="11">
        <v>0</v>
      </c>
      <c r="Q15" s="11">
        <v>0</v>
      </c>
    </row>
    <row r="16" spans="2:17" ht="13.5" customHeight="1">
      <c r="B16" s="349" t="s">
        <v>15</v>
      </c>
      <c r="C16" s="350"/>
      <c r="D16" s="350"/>
      <c r="E16" s="350"/>
      <c r="F16" s="350"/>
      <c r="G16" s="456"/>
      <c r="H16" s="11">
        <v>0</v>
      </c>
      <c r="I16" s="11">
        <v>0</v>
      </c>
      <c r="J16" s="350" t="s">
        <v>15</v>
      </c>
      <c r="K16" s="350"/>
      <c r="L16" s="350"/>
      <c r="M16" s="350"/>
      <c r="N16" s="350"/>
      <c r="O16" s="456"/>
      <c r="P16" s="11">
        <v>0</v>
      </c>
      <c r="Q16" s="11">
        <v>0</v>
      </c>
    </row>
    <row r="17" spans="2:17" ht="13.5" customHeight="1">
      <c r="B17" s="349" t="s">
        <v>16</v>
      </c>
      <c r="C17" s="350"/>
      <c r="D17" s="350"/>
      <c r="E17" s="350"/>
      <c r="F17" s="350"/>
      <c r="G17" s="456"/>
      <c r="H17" s="11">
        <v>0</v>
      </c>
      <c r="I17" s="11">
        <v>0</v>
      </c>
      <c r="J17" s="350" t="s">
        <v>16</v>
      </c>
      <c r="K17" s="350"/>
      <c r="L17" s="350"/>
      <c r="M17" s="350"/>
      <c r="N17" s="350"/>
      <c r="O17" s="456"/>
      <c r="P17" s="11">
        <v>0</v>
      </c>
      <c r="Q17" s="11">
        <v>0</v>
      </c>
    </row>
    <row r="18" spans="2:17" ht="13.5" customHeight="1">
      <c r="B18" s="349" t="s">
        <v>17</v>
      </c>
      <c r="C18" s="350"/>
      <c r="D18" s="350"/>
      <c r="E18" s="350"/>
      <c r="F18" s="350"/>
      <c r="G18" s="456"/>
      <c r="H18" s="11">
        <v>0</v>
      </c>
      <c r="I18" s="11">
        <v>0</v>
      </c>
      <c r="J18" s="350" t="s">
        <v>17</v>
      </c>
      <c r="K18" s="350"/>
      <c r="L18" s="350"/>
      <c r="M18" s="350"/>
      <c r="N18" s="350"/>
      <c r="O18" s="456"/>
      <c r="P18" s="11">
        <v>0</v>
      </c>
      <c r="Q18" s="11">
        <v>0</v>
      </c>
    </row>
    <row r="19" spans="2:17" ht="13.5" customHeight="1">
      <c r="B19" s="349" t="s">
        <v>18</v>
      </c>
      <c r="C19" s="350"/>
      <c r="D19" s="350"/>
      <c r="E19" s="350"/>
      <c r="F19" s="350"/>
      <c r="G19" s="456"/>
      <c r="H19" s="11">
        <v>8707024.9</v>
      </c>
      <c r="I19" s="11">
        <v>71727264.4</v>
      </c>
      <c r="J19" s="350" t="s">
        <v>18</v>
      </c>
      <c r="K19" s="350"/>
      <c r="L19" s="350"/>
      <c r="M19" s="350"/>
      <c r="N19" s="350"/>
      <c r="O19" s="456"/>
      <c r="P19" s="11">
        <v>48148300.57</v>
      </c>
      <c r="Q19" s="11">
        <v>62605601.31</v>
      </c>
    </row>
    <row r="20" spans="2:17" ht="13.5" customHeight="1">
      <c r="B20" s="349" t="s">
        <v>19</v>
      </c>
      <c r="C20" s="350"/>
      <c r="D20" s="350"/>
      <c r="E20" s="350"/>
      <c r="F20" s="350"/>
      <c r="G20" s="456"/>
      <c r="H20" s="11">
        <v>0</v>
      </c>
      <c r="I20" s="11">
        <v>0</v>
      </c>
      <c r="J20" s="350" t="s">
        <v>19</v>
      </c>
      <c r="K20" s="350"/>
      <c r="L20" s="350"/>
      <c r="M20" s="350"/>
      <c r="N20" s="350"/>
      <c r="O20" s="456"/>
      <c r="P20" s="11">
        <v>0</v>
      </c>
      <c r="Q20" s="11">
        <v>0</v>
      </c>
    </row>
    <row r="21" spans="2:17" ht="13.5" customHeight="1">
      <c r="B21" s="345" t="s">
        <v>20</v>
      </c>
      <c r="C21" s="346"/>
      <c r="D21" s="346"/>
      <c r="E21" s="346"/>
      <c r="F21" s="346"/>
      <c r="G21" s="457"/>
      <c r="H21" s="13"/>
      <c r="I21" s="13">
        <v>5446.57</v>
      </c>
      <c r="J21" s="346" t="s">
        <v>20</v>
      </c>
      <c r="K21" s="346"/>
      <c r="L21" s="346"/>
      <c r="M21" s="346"/>
      <c r="N21" s="346"/>
      <c r="O21" s="457"/>
      <c r="P21" s="13"/>
      <c r="Q21" s="13">
        <v>0</v>
      </c>
    </row>
    <row r="22" spans="2:19" ht="21.75" customHeight="1">
      <c r="B22" s="335" t="s">
        <v>21</v>
      </c>
      <c r="C22" s="339"/>
      <c r="D22" s="339"/>
      <c r="E22" s="339"/>
      <c r="F22" s="339"/>
      <c r="G22" s="337"/>
      <c r="H22" s="190">
        <f>SUM(H23:H26)</f>
        <v>174010.14</v>
      </c>
      <c r="I22" s="190">
        <f>SUM(I23:I26)</f>
        <v>1080991.44</v>
      </c>
      <c r="J22" s="339" t="s">
        <v>22</v>
      </c>
      <c r="K22" s="339"/>
      <c r="L22" s="339"/>
      <c r="M22" s="339"/>
      <c r="N22" s="339"/>
      <c r="O22" s="336"/>
      <c r="P22" s="14">
        <f>SUM(P23:P26)</f>
        <v>17665905.57</v>
      </c>
      <c r="Q22" s="12">
        <f>SUM(Q23:Q26)</f>
        <v>33401737.650000002</v>
      </c>
      <c r="S22" s="2"/>
    </row>
    <row r="23" spans="2:17" ht="13.5" customHeight="1">
      <c r="B23" s="340" t="s">
        <v>23</v>
      </c>
      <c r="C23" s="341"/>
      <c r="D23" s="341"/>
      <c r="E23" s="341"/>
      <c r="F23" s="341"/>
      <c r="G23" s="342"/>
      <c r="H23" s="9">
        <v>174010.14</v>
      </c>
      <c r="I23" s="9">
        <v>1080991.44</v>
      </c>
      <c r="J23" s="348" t="s">
        <v>23</v>
      </c>
      <c r="K23" s="348"/>
      <c r="L23" s="348"/>
      <c r="M23" s="348"/>
      <c r="N23" s="348"/>
      <c r="O23" s="342"/>
      <c r="P23" s="9">
        <v>17665905.57</v>
      </c>
      <c r="Q23" s="9">
        <v>33401737.650000002</v>
      </c>
    </row>
    <row r="24" spans="2:17" ht="13.5" customHeight="1">
      <c r="B24" s="329" t="s">
        <v>24</v>
      </c>
      <c r="C24" s="343"/>
      <c r="D24" s="343"/>
      <c r="E24" s="343"/>
      <c r="F24" s="343"/>
      <c r="G24" s="331"/>
      <c r="H24" s="11">
        <v>0</v>
      </c>
      <c r="I24" s="11">
        <v>0</v>
      </c>
      <c r="J24" s="343" t="s">
        <v>24</v>
      </c>
      <c r="K24" s="343"/>
      <c r="L24" s="343"/>
      <c r="M24" s="343"/>
      <c r="N24" s="343"/>
      <c r="O24" s="331"/>
      <c r="P24" s="11">
        <v>0</v>
      </c>
      <c r="Q24" s="11">
        <v>0</v>
      </c>
    </row>
    <row r="25" spans="2:17" ht="13.5" customHeight="1">
      <c r="B25" s="329" t="s">
        <v>25</v>
      </c>
      <c r="C25" s="343"/>
      <c r="D25" s="343"/>
      <c r="E25" s="343"/>
      <c r="F25" s="343"/>
      <c r="G25" s="331"/>
      <c r="H25" s="11">
        <v>0</v>
      </c>
      <c r="I25" s="11">
        <v>0</v>
      </c>
      <c r="J25" s="343" t="s">
        <v>25</v>
      </c>
      <c r="K25" s="343"/>
      <c r="L25" s="343"/>
      <c r="M25" s="343"/>
      <c r="N25" s="343"/>
      <c r="O25" s="331"/>
      <c r="P25" s="11">
        <v>0</v>
      </c>
      <c r="Q25" s="11">
        <v>0</v>
      </c>
    </row>
    <row r="26" spans="2:17" ht="13.5" customHeight="1">
      <c r="B26" s="332" t="s">
        <v>26</v>
      </c>
      <c r="C26" s="344"/>
      <c r="D26" s="344"/>
      <c r="E26" s="344"/>
      <c r="F26" s="344"/>
      <c r="G26" s="338"/>
      <c r="H26" s="11">
        <v>0</v>
      </c>
      <c r="I26" s="11">
        <v>0</v>
      </c>
      <c r="J26" s="333" t="s">
        <v>26</v>
      </c>
      <c r="K26" s="333"/>
      <c r="L26" s="333"/>
      <c r="M26" s="333"/>
      <c r="N26" s="333"/>
      <c r="O26" s="338"/>
      <c r="P26" s="11">
        <v>0</v>
      </c>
      <c r="Q26" s="11">
        <v>0</v>
      </c>
    </row>
    <row r="27" spans="2:18" ht="20.25" customHeight="1">
      <c r="B27" s="335" t="s">
        <v>27</v>
      </c>
      <c r="C27" s="339"/>
      <c r="D27" s="339"/>
      <c r="E27" s="339"/>
      <c r="F27" s="339"/>
      <c r="G27" s="337"/>
      <c r="H27" s="14">
        <f>SUM(H28:H31)</f>
        <v>36972877.1</v>
      </c>
      <c r="I27" s="14">
        <f>SUM(I28:I31)</f>
        <v>22623131.35</v>
      </c>
      <c r="J27" s="339" t="s">
        <v>28</v>
      </c>
      <c r="K27" s="339"/>
      <c r="L27" s="339"/>
      <c r="M27" s="339"/>
      <c r="N27" s="339"/>
      <c r="O27" s="337"/>
      <c r="P27" s="14">
        <f>SUM(P28:P31)</f>
        <v>4301889.0200000005</v>
      </c>
      <c r="Q27" s="14">
        <f>SUM(Q28:Q31)</f>
        <v>36193008.17999999</v>
      </c>
      <c r="R27" s="8"/>
    </row>
    <row r="28" spans="2:17" ht="13.5" customHeight="1">
      <c r="B28" s="329" t="s">
        <v>244</v>
      </c>
      <c r="C28" s="453"/>
      <c r="D28" s="343"/>
      <c r="E28" s="343"/>
      <c r="F28" s="343"/>
      <c r="G28" s="330"/>
      <c r="H28" s="9">
        <f>33176.64+31260426.36</f>
        <v>31293603</v>
      </c>
      <c r="I28" s="136">
        <f>366611.23+11078820.31</f>
        <v>11445431.540000001</v>
      </c>
      <c r="J28" s="340" t="s">
        <v>254</v>
      </c>
      <c r="K28" s="348"/>
      <c r="L28" s="348"/>
      <c r="M28" s="348"/>
      <c r="N28" s="348"/>
      <c r="O28" s="468"/>
      <c r="P28" s="136">
        <f>153175.99+2810690</f>
        <v>2963865.99</v>
      </c>
      <c r="Q28" s="136">
        <f>32649.34+844095.9</f>
        <v>876745.24</v>
      </c>
    </row>
    <row r="29" spans="2:17" ht="13.5" customHeight="1">
      <c r="B29" s="329" t="s">
        <v>245</v>
      </c>
      <c r="C29" s="453"/>
      <c r="D29" s="343"/>
      <c r="E29" s="343"/>
      <c r="F29" s="343"/>
      <c r="G29" s="330"/>
      <c r="H29" s="11">
        <f>1227.1+232753.85</f>
        <v>233980.95</v>
      </c>
      <c r="I29" s="137">
        <f>17477.76+349038</f>
        <v>366515.76</v>
      </c>
      <c r="J29" s="329" t="s">
        <v>255</v>
      </c>
      <c r="K29" s="343"/>
      <c r="L29" s="343"/>
      <c r="M29" s="343"/>
      <c r="N29" s="343"/>
      <c r="O29" s="453"/>
      <c r="P29" s="137">
        <f>17757.42+317159.85</f>
        <v>334917.26999999996</v>
      </c>
      <c r="Q29" s="137">
        <f>100342.32+30415.85</f>
        <v>130758.17000000001</v>
      </c>
    </row>
    <row r="30" spans="2:17" ht="13.5" customHeight="1">
      <c r="B30" s="329" t="s">
        <v>37</v>
      </c>
      <c r="C30" s="453"/>
      <c r="D30" s="343"/>
      <c r="E30" s="343"/>
      <c r="F30" s="343"/>
      <c r="G30" s="330"/>
      <c r="H30" s="11">
        <v>0</v>
      </c>
      <c r="I30" s="137">
        <v>0</v>
      </c>
      <c r="J30" s="329" t="s">
        <v>37</v>
      </c>
      <c r="K30" s="343"/>
      <c r="L30" s="343"/>
      <c r="M30" s="343"/>
      <c r="N30" s="343"/>
      <c r="O30" s="453"/>
      <c r="P30" s="137">
        <v>0</v>
      </c>
      <c r="Q30" s="137">
        <v>0</v>
      </c>
    </row>
    <row r="31" spans="2:17" ht="13.5" customHeight="1">
      <c r="B31" s="329" t="s">
        <v>38</v>
      </c>
      <c r="C31" s="453"/>
      <c r="D31" s="343"/>
      <c r="E31" s="343"/>
      <c r="F31" s="343"/>
      <c r="G31" s="330"/>
      <c r="H31" s="13">
        <v>5445293.15</v>
      </c>
      <c r="I31" s="138">
        <v>10811184.050000003</v>
      </c>
      <c r="J31" s="332" t="s">
        <v>39</v>
      </c>
      <c r="K31" s="333"/>
      <c r="L31" s="333"/>
      <c r="M31" s="333"/>
      <c r="N31" s="333"/>
      <c r="O31" s="334"/>
      <c r="P31" s="138">
        <v>1003105.76</v>
      </c>
      <c r="Q31" s="138">
        <v>35185504.769999996</v>
      </c>
    </row>
    <row r="32" spans="2:24" ht="20.25" customHeight="1">
      <c r="B32" s="335" t="s">
        <v>40</v>
      </c>
      <c r="C32" s="339"/>
      <c r="D32" s="339"/>
      <c r="E32" s="339"/>
      <c r="F32" s="339"/>
      <c r="G32" s="337"/>
      <c r="H32" s="14">
        <f>SUM(H33:H34)</f>
        <v>250461958.19</v>
      </c>
      <c r="I32" s="14">
        <f>SUM(I33:I34)</f>
        <v>257815249.62999997</v>
      </c>
      <c r="J32" s="339" t="s">
        <v>41</v>
      </c>
      <c r="K32" s="339"/>
      <c r="L32" s="339"/>
      <c r="M32" s="339"/>
      <c r="N32" s="339"/>
      <c r="O32" s="337"/>
      <c r="P32" s="14">
        <f>P33</f>
        <v>226162294.7</v>
      </c>
      <c r="Q32" s="14">
        <f>SUM(Q33:Q34)</f>
        <v>250461958.19</v>
      </c>
      <c r="R32" s="2"/>
      <c r="T32" s="15"/>
      <c r="W32" s="24" t="s">
        <v>258</v>
      </c>
      <c r="X32" s="25" t="s">
        <v>259</v>
      </c>
    </row>
    <row r="33" spans="2:17" ht="19.5" customHeight="1">
      <c r="B33" s="340" t="s">
        <v>246</v>
      </c>
      <c r="C33" s="341"/>
      <c r="D33" s="341"/>
      <c r="E33" s="341"/>
      <c r="F33" s="341"/>
      <c r="G33" s="342"/>
      <c r="H33" s="11">
        <v>250461958.19</v>
      </c>
      <c r="I33" s="11">
        <v>257815249.62999997</v>
      </c>
      <c r="J33" s="348" t="s">
        <v>246</v>
      </c>
      <c r="K33" s="341"/>
      <c r="L33" s="341"/>
      <c r="M33" s="341"/>
      <c r="N33" s="341"/>
      <c r="O33" s="342"/>
      <c r="P33" s="11">
        <v>226162294.7</v>
      </c>
      <c r="Q33" s="11">
        <v>250461958.19</v>
      </c>
    </row>
    <row r="34" spans="2:24" ht="14.25" customHeight="1">
      <c r="B34" s="332" t="s">
        <v>37</v>
      </c>
      <c r="C34" s="333"/>
      <c r="D34" s="333"/>
      <c r="E34" s="333"/>
      <c r="F34" s="333"/>
      <c r="G34" s="338"/>
      <c r="H34" s="84" t="s">
        <v>260</v>
      </c>
      <c r="I34" s="194" t="s">
        <v>260</v>
      </c>
      <c r="J34" s="332" t="s">
        <v>37</v>
      </c>
      <c r="K34" s="333"/>
      <c r="L34" s="333"/>
      <c r="M34" s="333"/>
      <c r="N34" s="333"/>
      <c r="O34" s="334"/>
      <c r="P34" s="84" t="s">
        <v>260</v>
      </c>
      <c r="Q34" s="195" t="s">
        <v>260</v>
      </c>
      <c r="W34" s="7">
        <f>I35-Q35</f>
        <v>0</v>
      </c>
      <c r="X34" s="153">
        <f>H35-P35</f>
        <v>0</v>
      </c>
    </row>
    <row r="35" spans="2:24" ht="13.5" customHeight="1">
      <c r="B35" s="335" t="s">
        <v>44</v>
      </c>
      <c r="C35" s="336"/>
      <c r="D35" s="336"/>
      <c r="E35" s="336"/>
      <c r="F35" s="336"/>
      <c r="G35" s="337"/>
      <c r="H35" s="193">
        <f>H8+H22+H27+H32</f>
        <v>296315870.33</v>
      </c>
      <c r="I35" s="193">
        <f>I8+I22+I27+I32</f>
        <v>383994673.76</v>
      </c>
      <c r="J35" s="339" t="s">
        <v>45</v>
      </c>
      <c r="K35" s="336"/>
      <c r="L35" s="336"/>
      <c r="M35" s="336"/>
      <c r="N35" s="336"/>
      <c r="O35" s="337"/>
      <c r="P35" s="193">
        <f>P8+P22+P27+P32</f>
        <v>296315870.33</v>
      </c>
      <c r="Q35" s="192">
        <f>Q8+Q22++Q27+Q32</f>
        <v>383994673.76</v>
      </c>
      <c r="W35" s="125"/>
      <c r="X35" s="125"/>
    </row>
    <row r="36" spans="2:15" s="125" customFormat="1" ht="13.5" customHeight="1">
      <c r="B36" s="121" t="s">
        <v>46</v>
      </c>
      <c r="C36" s="122"/>
      <c r="D36" s="122"/>
      <c r="E36" s="122"/>
      <c r="F36" s="123"/>
      <c r="G36" s="123"/>
      <c r="H36" s="123"/>
      <c r="J36" s="122"/>
      <c r="K36" s="122"/>
      <c r="L36" s="123"/>
      <c r="M36" s="123"/>
      <c r="N36" s="123"/>
      <c r="O36" s="124"/>
    </row>
    <row r="37" spans="2:17" s="125" customFormat="1" ht="4.5" customHeight="1"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7"/>
      <c r="Q37" s="128"/>
    </row>
    <row r="38" spans="2:17" s="125" customFormat="1" ht="12.75">
      <c r="B38" s="121" t="s">
        <v>47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7"/>
      <c r="Q38" s="191"/>
    </row>
    <row r="39" spans="2:15" s="125" customFormat="1" ht="11.25" customHeight="1">
      <c r="B39" s="471" t="s">
        <v>48</v>
      </c>
      <c r="C39" s="471"/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</row>
    <row r="40" spans="2:15" s="125" customFormat="1" ht="11.25" customHeight="1">
      <c r="B40" s="471" t="s">
        <v>236</v>
      </c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</row>
    <row r="41" spans="2:15" s="125" customFormat="1" ht="11.25" customHeight="1">
      <c r="B41" s="471" t="s">
        <v>212</v>
      </c>
      <c r="C41" s="471"/>
      <c r="D41" s="471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</row>
    <row r="42" spans="2:15" s="125" customFormat="1" ht="11.25" customHeight="1">
      <c r="B42" s="473" t="s">
        <v>250</v>
      </c>
      <c r="C42" s="473"/>
      <c r="D42" s="473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</row>
    <row r="43" spans="2:15" s="125" customFormat="1" ht="11.25" customHeight="1">
      <c r="B43" s="470" t="s">
        <v>205</v>
      </c>
      <c r="C43" s="470"/>
      <c r="D43" s="470"/>
      <c r="E43" s="470"/>
      <c r="F43" s="470"/>
      <c r="G43" s="470"/>
      <c r="H43" s="470"/>
      <c r="I43" s="470"/>
      <c r="J43" s="470"/>
      <c r="K43" s="470"/>
      <c r="L43" s="470"/>
      <c r="M43" s="470"/>
      <c r="N43" s="470"/>
      <c r="O43" s="470"/>
    </row>
    <row r="44" spans="2:17" s="125" customFormat="1" ht="11.25" customHeight="1">
      <c r="B44" s="472" t="s">
        <v>234</v>
      </c>
      <c r="C44" s="472"/>
      <c r="D44" s="472"/>
      <c r="E44" s="472"/>
      <c r="F44" s="472"/>
      <c r="G44" s="472"/>
      <c r="H44" s="472"/>
      <c r="I44" s="472"/>
      <c r="J44" s="472"/>
      <c r="K44" s="472"/>
      <c r="L44" s="472"/>
      <c r="M44" s="472"/>
      <c r="N44" s="472"/>
      <c r="O44" s="472"/>
      <c r="Q44" s="156"/>
    </row>
    <row r="45" spans="2:256" s="125" customFormat="1" ht="11.25" customHeight="1">
      <c r="B45" s="474" t="s">
        <v>251</v>
      </c>
      <c r="C45" s="474"/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Q45" s="132"/>
      <c r="ER45" s="132"/>
      <c r="ES45" s="132"/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  <c r="FL45" s="132"/>
      <c r="FM45" s="132"/>
      <c r="FN45" s="132"/>
      <c r="FO45" s="132"/>
      <c r="FP45" s="132"/>
      <c r="FQ45" s="132"/>
      <c r="FR45" s="132"/>
      <c r="FS45" s="132"/>
      <c r="FT45" s="132"/>
      <c r="FU45" s="132"/>
      <c r="FV45" s="132"/>
      <c r="FW45" s="132"/>
      <c r="FX45" s="132"/>
      <c r="FY45" s="132"/>
      <c r="FZ45" s="132"/>
      <c r="GA45" s="132"/>
      <c r="GB45" s="132"/>
      <c r="GC45" s="132"/>
      <c r="GD45" s="132"/>
      <c r="GE45" s="132"/>
      <c r="GF45" s="132"/>
      <c r="GG45" s="132"/>
      <c r="GH45" s="132"/>
      <c r="GI45" s="132"/>
      <c r="GJ45" s="132"/>
      <c r="GK45" s="132"/>
      <c r="GL45" s="132"/>
      <c r="GM45" s="132"/>
      <c r="GN45" s="132"/>
      <c r="GO45" s="132"/>
      <c r="GP45" s="132"/>
      <c r="GQ45" s="132"/>
      <c r="GR45" s="132"/>
      <c r="GS45" s="132"/>
      <c r="GT45" s="132"/>
      <c r="GU45" s="132"/>
      <c r="GV45" s="132"/>
      <c r="GW45" s="132"/>
      <c r="GX45" s="132"/>
      <c r="GY45" s="132"/>
      <c r="GZ45" s="132"/>
      <c r="HA45" s="132"/>
      <c r="HB45" s="132"/>
      <c r="HC45" s="132"/>
      <c r="HD45" s="132"/>
      <c r="HE45" s="132"/>
      <c r="HF45" s="132"/>
      <c r="HG45" s="132"/>
      <c r="HH45" s="132"/>
      <c r="HI45" s="132"/>
      <c r="HJ45" s="132"/>
      <c r="HK45" s="132"/>
      <c r="HL45" s="132"/>
      <c r="HM45" s="132"/>
      <c r="HN45" s="132"/>
      <c r="HO45" s="132"/>
      <c r="HP45" s="132"/>
      <c r="HQ45" s="132"/>
      <c r="HR45" s="132"/>
      <c r="HS45" s="132"/>
      <c r="HT45" s="132"/>
      <c r="HU45" s="132"/>
      <c r="HV45" s="132"/>
      <c r="HW45" s="132"/>
      <c r="HX45" s="132"/>
      <c r="HY45" s="132"/>
      <c r="HZ45" s="132"/>
      <c r="IA45" s="132"/>
      <c r="IB45" s="132"/>
      <c r="IC45" s="132"/>
      <c r="ID45" s="132"/>
      <c r="IE45" s="132"/>
      <c r="IF45" s="132"/>
      <c r="IG45" s="132"/>
      <c r="IH45" s="132"/>
      <c r="II45" s="132"/>
      <c r="IJ45" s="132"/>
      <c r="IK45" s="132"/>
      <c r="IL45" s="132"/>
      <c r="IM45" s="132"/>
      <c r="IN45" s="132"/>
      <c r="IO45" s="132"/>
      <c r="IP45" s="132"/>
      <c r="IQ45" s="132"/>
      <c r="IR45" s="132"/>
      <c r="IS45" s="132"/>
      <c r="IT45" s="132"/>
      <c r="IU45" s="132"/>
      <c r="IV45" s="132"/>
    </row>
    <row r="46" spans="2:256" s="125" customFormat="1" ht="11.25" customHeight="1">
      <c r="B46" s="470" t="s">
        <v>194</v>
      </c>
      <c r="C46" s="470"/>
      <c r="D46" s="470"/>
      <c r="E46" s="470"/>
      <c r="F46" s="470"/>
      <c r="G46" s="470"/>
      <c r="H46" s="470"/>
      <c r="I46" s="470"/>
      <c r="J46" s="470"/>
      <c r="K46" s="470"/>
      <c r="L46" s="470"/>
      <c r="M46" s="470"/>
      <c r="N46" s="470"/>
      <c r="O46" s="470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2"/>
      <c r="EF46" s="132"/>
      <c r="EG46" s="132"/>
      <c r="EH46" s="132"/>
      <c r="EI46" s="132"/>
      <c r="EJ46" s="132"/>
      <c r="EK46" s="132"/>
      <c r="EL46" s="132"/>
      <c r="EM46" s="132"/>
      <c r="EN46" s="132"/>
      <c r="EO46" s="132"/>
      <c r="EP46" s="132"/>
      <c r="EQ46" s="132"/>
      <c r="ER46" s="132"/>
      <c r="ES46" s="132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32"/>
      <c r="FF46" s="132"/>
      <c r="FG46" s="132"/>
      <c r="FH46" s="132"/>
      <c r="FI46" s="132"/>
      <c r="FJ46" s="132"/>
      <c r="FK46" s="132"/>
      <c r="FL46" s="132"/>
      <c r="FM46" s="132"/>
      <c r="FN46" s="132"/>
      <c r="FO46" s="132"/>
      <c r="FP46" s="132"/>
      <c r="FQ46" s="132"/>
      <c r="FR46" s="132"/>
      <c r="FS46" s="132"/>
      <c r="FT46" s="132"/>
      <c r="FU46" s="132"/>
      <c r="FV46" s="132"/>
      <c r="FW46" s="132"/>
      <c r="FX46" s="132"/>
      <c r="FY46" s="132"/>
      <c r="FZ46" s="132"/>
      <c r="GA46" s="132"/>
      <c r="GB46" s="132"/>
      <c r="GC46" s="132"/>
      <c r="GD46" s="132"/>
      <c r="GE46" s="132"/>
      <c r="GF46" s="132"/>
      <c r="GG46" s="132"/>
      <c r="GH46" s="132"/>
      <c r="GI46" s="132"/>
      <c r="GJ46" s="132"/>
      <c r="GK46" s="132"/>
      <c r="GL46" s="132"/>
      <c r="GM46" s="132"/>
      <c r="GN46" s="132"/>
      <c r="GO46" s="132"/>
      <c r="GP46" s="132"/>
      <c r="GQ46" s="132"/>
      <c r="GR46" s="132"/>
      <c r="GS46" s="132"/>
      <c r="GT46" s="132"/>
      <c r="GU46" s="132"/>
      <c r="GV46" s="132"/>
      <c r="GW46" s="132"/>
      <c r="GX46" s="132"/>
      <c r="GY46" s="132"/>
      <c r="GZ46" s="132"/>
      <c r="HA46" s="132"/>
      <c r="HB46" s="132"/>
      <c r="HC46" s="132"/>
      <c r="HD46" s="132"/>
      <c r="HE46" s="132"/>
      <c r="HF46" s="132"/>
      <c r="HG46" s="132"/>
      <c r="HH46" s="132"/>
      <c r="HI46" s="132"/>
      <c r="HJ46" s="132"/>
      <c r="HK46" s="132"/>
      <c r="HL46" s="132"/>
      <c r="HM46" s="132"/>
      <c r="HN46" s="132"/>
      <c r="HO46" s="132"/>
      <c r="HP46" s="132"/>
      <c r="HQ46" s="132"/>
      <c r="HR46" s="132"/>
      <c r="HS46" s="132"/>
      <c r="HT46" s="132"/>
      <c r="HU46" s="132"/>
      <c r="HV46" s="132"/>
      <c r="HW46" s="132"/>
      <c r="HX46" s="132"/>
      <c r="HY46" s="132"/>
      <c r="HZ46" s="132"/>
      <c r="IA46" s="132"/>
      <c r="IB46" s="132"/>
      <c r="IC46" s="132"/>
      <c r="ID46" s="132"/>
      <c r="IE46" s="132"/>
      <c r="IF46" s="132"/>
      <c r="IG46" s="132"/>
      <c r="IH46" s="132"/>
      <c r="II46" s="132"/>
      <c r="IJ46" s="132"/>
      <c r="IK46" s="132"/>
      <c r="IL46" s="132"/>
      <c r="IM46" s="132"/>
      <c r="IN46" s="132"/>
      <c r="IO46" s="132"/>
      <c r="IP46" s="132"/>
      <c r="IQ46" s="132"/>
      <c r="IR46" s="132"/>
      <c r="IS46" s="132"/>
      <c r="IT46" s="132"/>
      <c r="IU46" s="132"/>
      <c r="IV46" s="132"/>
    </row>
    <row r="47" spans="2:17" s="125" customFormat="1" ht="11.25" customHeight="1">
      <c r="B47" s="469" t="s">
        <v>235</v>
      </c>
      <c r="C47" s="469"/>
      <c r="D47" s="469"/>
      <c r="E47" s="469"/>
      <c r="F47" s="469"/>
      <c r="G47" s="469"/>
      <c r="H47" s="469"/>
      <c r="I47" s="469"/>
      <c r="J47" s="469"/>
      <c r="K47" s="469"/>
      <c r="L47" s="469"/>
      <c r="M47" s="469"/>
      <c r="N47" s="469"/>
      <c r="O47" s="469"/>
      <c r="Q47" s="156"/>
    </row>
    <row r="48" spans="2:17" s="125" customFormat="1" ht="11.25" customHeight="1">
      <c r="B48" s="473" t="s">
        <v>243</v>
      </c>
      <c r="C48" s="473"/>
      <c r="D48" s="473"/>
      <c r="E48" s="473"/>
      <c r="F48" s="473"/>
      <c r="G48" s="473"/>
      <c r="H48" s="473"/>
      <c r="I48" s="473"/>
      <c r="J48" s="473"/>
      <c r="K48" s="473"/>
      <c r="L48" s="473"/>
      <c r="M48" s="473"/>
      <c r="N48" s="473"/>
      <c r="O48" s="473"/>
      <c r="Q48" s="156"/>
    </row>
    <row r="49" spans="2:17" s="125" customFormat="1" ht="11.25" customHeight="1">
      <c r="B49" s="473" t="s">
        <v>252</v>
      </c>
      <c r="C49" s="473"/>
      <c r="D49" s="473"/>
      <c r="E49" s="473"/>
      <c r="F49" s="473"/>
      <c r="G49" s="473"/>
      <c r="H49" s="473"/>
      <c r="I49" s="473"/>
      <c r="J49" s="473"/>
      <c r="K49" s="473"/>
      <c r="L49" s="473"/>
      <c r="M49" s="473"/>
      <c r="N49" s="473"/>
      <c r="O49" s="473"/>
      <c r="Q49" s="128"/>
    </row>
    <row r="50" spans="2:17" s="125" customFormat="1" ht="11.25" customHeight="1">
      <c r="B50" s="470" t="s">
        <v>195</v>
      </c>
      <c r="C50" s="470"/>
      <c r="D50" s="470"/>
      <c r="E50" s="470"/>
      <c r="F50" s="470"/>
      <c r="G50" s="470"/>
      <c r="H50" s="470"/>
      <c r="I50" s="470"/>
      <c r="J50" s="470"/>
      <c r="K50" s="470"/>
      <c r="L50" s="470"/>
      <c r="M50" s="470"/>
      <c r="N50" s="470"/>
      <c r="O50" s="470"/>
      <c r="Q50" s="128"/>
    </row>
    <row r="51" spans="2:15" s="125" customFormat="1" ht="11.25" customHeight="1">
      <c r="B51" s="469" t="s">
        <v>206</v>
      </c>
      <c r="C51" s="469"/>
      <c r="D51" s="469"/>
      <c r="E51" s="469"/>
      <c r="F51" s="469"/>
      <c r="G51" s="469"/>
      <c r="H51" s="469"/>
      <c r="I51" s="469"/>
      <c r="J51" s="469"/>
      <c r="K51" s="469"/>
      <c r="L51" s="469"/>
      <c r="M51" s="469"/>
      <c r="N51" s="469"/>
      <c r="O51" s="469"/>
    </row>
    <row r="52" spans="2:17" s="125" customFormat="1" ht="11.25" customHeight="1">
      <c r="B52" s="469" t="s">
        <v>206</v>
      </c>
      <c r="C52" s="469"/>
      <c r="D52" s="469"/>
      <c r="E52" s="469"/>
      <c r="F52" s="469"/>
      <c r="G52" s="469"/>
      <c r="H52" s="469"/>
      <c r="I52" s="469"/>
      <c r="J52" s="469"/>
      <c r="K52" s="469"/>
      <c r="L52" s="469"/>
      <c r="M52" s="469"/>
      <c r="N52" s="469"/>
      <c r="O52" s="469"/>
      <c r="Q52" s="128"/>
    </row>
    <row r="53" spans="2:256" s="125" customFormat="1" ht="11.25" customHeight="1">
      <c r="B53" s="469" t="s">
        <v>218</v>
      </c>
      <c r="C53" s="469"/>
      <c r="D53" s="469"/>
      <c r="E53" s="469"/>
      <c r="F53" s="469"/>
      <c r="G53" s="469"/>
      <c r="H53" s="469"/>
      <c r="I53" s="469"/>
      <c r="J53" s="469"/>
      <c r="K53" s="469"/>
      <c r="L53" s="469"/>
      <c r="M53" s="469"/>
      <c r="N53" s="469"/>
      <c r="O53" s="469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2"/>
      <c r="FK53" s="132"/>
      <c r="FL53" s="132"/>
      <c r="FM53" s="132"/>
      <c r="FN53" s="132"/>
      <c r="FO53" s="132"/>
      <c r="FP53" s="132"/>
      <c r="FQ53" s="132"/>
      <c r="FR53" s="132"/>
      <c r="FS53" s="132"/>
      <c r="FT53" s="132"/>
      <c r="FU53" s="132"/>
      <c r="FV53" s="132"/>
      <c r="FW53" s="132"/>
      <c r="FX53" s="132"/>
      <c r="FY53" s="132"/>
      <c r="FZ53" s="132"/>
      <c r="GA53" s="132"/>
      <c r="GB53" s="132"/>
      <c r="GC53" s="132"/>
      <c r="GD53" s="132"/>
      <c r="GE53" s="132"/>
      <c r="GF53" s="132"/>
      <c r="GG53" s="132"/>
      <c r="GH53" s="132"/>
      <c r="GI53" s="132"/>
      <c r="GJ53" s="132"/>
      <c r="GK53" s="132"/>
      <c r="GL53" s="132"/>
      <c r="GM53" s="132"/>
      <c r="GN53" s="132"/>
      <c r="GO53" s="132"/>
      <c r="GP53" s="132"/>
      <c r="GQ53" s="132"/>
      <c r="GR53" s="132"/>
      <c r="GS53" s="132"/>
      <c r="GT53" s="132"/>
      <c r="GU53" s="132"/>
      <c r="GV53" s="132"/>
      <c r="GW53" s="132"/>
      <c r="GX53" s="132"/>
      <c r="GY53" s="132"/>
      <c r="GZ53" s="132"/>
      <c r="HA53" s="132"/>
      <c r="HB53" s="132"/>
      <c r="HC53" s="132"/>
      <c r="HD53" s="132"/>
      <c r="HE53" s="132"/>
      <c r="HF53" s="132"/>
      <c r="HG53" s="132"/>
      <c r="HH53" s="132"/>
      <c r="HI53" s="132"/>
      <c r="HJ53" s="132"/>
      <c r="HK53" s="132"/>
      <c r="HL53" s="132"/>
      <c r="HM53" s="132"/>
      <c r="HN53" s="132"/>
      <c r="HO53" s="132"/>
      <c r="HP53" s="132"/>
      <c r="HQ53" s="132"/>
      <c r="HR53" s="132"/>
      <c r="HS53" s="132"/>
      <c r="HT53" s="132"/>
      <c r="HU53" s="132"/>
      <c r="HV53" s="132"/>
      <c r="HW53" s="132"/>
      <c r="HX53" s="132"/>
      <c r="HY53" s="132"/>
      <c r="HZ53" s="132"/>
      <c r="IA53" s="132"/>
      <c r="IB53" s="132"/>
      <c r="IC53" s="132"/>
      <c r="ID53" s="132"/>
      <c r="IE53" s="132"/>
      <c r="IF53" s="132"/>
      <c r="IG53" s="132"/>
      <c r="IH53" s="132"/>
      <c r="II53" s="132"/>
      <c r="IJ53" s="132"/>
      <c r="IK53" s="132"/>
      <c r="IL53" s="132"/>
      <c r="IM53" s="132"/>
      <c r="IN53" s="132"/>
      <c r="IO53" s="132"/>
      <c r="IP53" s="132"/>
      <c r="IQ53" s="132"/>
      <c r="IR53" s="132"/>
      <c r="IS53" s="132"/>
      <c r="IT53" s="132"/>
      <c r="IU53" s="132"/>
      <c r="IV53" s="132"/>
    </row>
    <row r="54" spans="2:256" s="125" customFormat="1" ht="11.25" customHeight="1">
      <c r="B54" s="469" t="s">
        <v>217</v>
      </c>
      <c r="C54" s="469"/>
      <c r="D54" s="469"/>
      <c r="E54" s="469"/>
      <c r="F54" s="469"/>
      <c r="G54" s="469"/>
      <c r="H54" s="469"/>
      <c r="I54" s="469"/>
      <c r="J54" s="469"/>
      <c r="K54" s="469"/>
      <c r="L54" s="469"/>
      <c r="M54" s="469"/>
      <c r="N54" s="469"/>
      <c r="O54" s="469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2"/>
      <c r="DU54" s="132"/>
      <c r="DV54" s="132"/>
      <c r="DW54" s="132"/>
      <c r="DX54" s="132"/>
      <c r="DY54" s="132"/>
      <c r="DZ54" s="132"/>
      <c r="EA54" s="132"/>
      <c r="EB54" s="132"/>
      <c r="EC54" s="132"/>
      <c r="ED54" s="132"/>
      <c r="EE54" s="132"/>
      <c r="EF54" s="132"/>
      <c r="EG54" s="132"/>
      <c r="EH54" s="132"/>
      <c r="EI54" s="132"/>
      <c r="EJ54" s="132"/>
      <c r="EK54" s="132"/>
      <c r="EL54" s="132"/>
      <c r="EM54" s="132"/>
      <c r="EN54" s="132"/>
      <c r="EO54" s="132"/>
      <c r="EP54" s="132"/>
      <c r="EQ54" s="132"/>
      <c r="ER54" s="132"/>
      <c r="ES54" s="132"/>
      <c r="ET54" s="132"/>
      <c r="EU54" s="132"/>
      <c r="EV54" s="132"/>
      <c r="EW54" s="132"/>
      <c r="EX54" s="132"/>
      <c r="EY54" s="132"/>
      <c r="EZ54" s="132"/>
      <c r="FA54" s="132"/>
      <c r="FB54" s="132"/>
      <c r="FC54" s="132"/>
      <c r="FD54" s="132"/>
      <c r="FE54" s="132"/>
      <c r="FF54" s="132"/>
      <c r="FG54" s="132"/>
      <c r="FH54" s="132"/>
      <c r="FI54" s="132"/>
      <c r="FJ54" s="132"/>
      <c r="FK54" s="132"/>
      <c r="FL54" s="132"/>
      <c r="FM54" s="132"/>
      <c r="FN54" s="132"/>
      <c r="FO54" s="132"/>
      <c r="FP54" s="132"/>
      <c r="FQ54" s="132"/>
      <c r="FR54" s="132"/>
      <c r="FS54" s="132"/>
      <c r="FT54" s="132"/>
      <c r="FU54" s="132"/>
      <c r="FV54" s="132"/>
      <c r="FW54" s="132"/>
      <c r="FX54" s="132"/>
      <c r="FY54" s="132"/>
      <c r="FZ54" s="132"/>
      <c r="GA54" s="132"/>
      <c r="GB54" s="132"/>
      <c r="GC54" s="132"/>
      <c r="GD54" s="132"/>
      <c r="GE54" s="132"/>
      <c r="GF54" s="132"/>
      <c r="GG54" s="132"/>
      <c r="GH54" s="132"/>
      <c r="GI54" s="132"/>
      <c r="GJ54" s="132"/>
      <c r="GK54" s="132"/>
      <c r="GL54" s="132"/>
      <c r="GM54" s="132"/>
      <c r="GN54" s="132"/>
      <c r="GO54" s="132"/>
      <c r="GP54" s="132"/>
      <c r="GQ54" s="132"/>
      <c r="GR54" s="132"/>
      <c r="GS54" s="132"/>
      <c r="GT54" s="132"/>
      <c r="GU54" s="132"/>
      <c r="GV54" s="132"/>
      <c r="GW54" s="132"/>
      <c r="GX54" s="132"/>
      <c r="GY54" s="132"/>
      <c r="GZ54" s="132"/>
      <c r="HA54" s="132"/>
      <c r="HB54" s="132"/>
      <c r="HC54" s="132"/>
      <c r="HD54" s="132"/>
      <c r="HE54" s="132"/>
      <c r="HF54" s="132"/>
      <c r="HG54" s="132"/>
      <c r="HH54" s="132"/>
      <c r="HI54" s="132"/>
      <c r="HJ54" s="132"/>
      <c r="HK54" s="132"/>
      <c r="HL54" s="132"/>
      <c r="HM54" s="132"/>
      <c r="HN54" s="132"/>
      <c r="HO54" s="132"/>
      <c r="HP54" s="132"/>
      <c r="HQ54" s="132"/>
      <c r="HR54" s="132"/>
      <c r="HS54" s="132"/>
      <c r="HT54" s="132"/>
      <c r="HU54" s="132"/>
      <c r="HV54" s="132"/>
      <c r="HW54" s="132"/>
      <c r="HX54" s="132"/>
      <c r="HY54" s="132"/>
      <c r="HZ54" s="132"/>
      <c r="IA54" s="132"/>
      <c r="IB54" s="132"/>
      <c r="IC54" s="132"/>
      <c r="ID54" s="132"/>
      <c r="IE54" s="132"/>
      <c r="IF54" s="132"/>
      <c r="IG54" s="132"/>
      <c r="IH54" s="132"/>
      <c r="II54" s="132"/>
      <c r="IJ54" s="132"/>
      <c r="IK54" s="132"/>
      <c r="IL54" s="132"/>
      <c r="IM54" s="132"/>
      <c r="IN54" s="132"/>
      <c r="IO54" s="132"/>
      <c r="IP54" s="132"/>
      <c r="IQ54" s="132"/>
      <c r="IR54" s="132"/>
      <c r="IS54" s="132"/>
      <c r="IT54" s="132"/>
      <c r="IU54" s="132"/>
      <c r="IV54" s="132"/>
    </row>
    <row r="57" spans="2:17" ht="13.5" customHeight="1">
      <c r="B57" s="408" t="s">
        <v>247</v>
      </c>
      <c r="C57" s="408"/>
      <c r="D57" s="408"/>
      <c r="E57" s="408"/>
      <c r="F57" s="408"/>
      <c r="G57" s="140"/>
      <c r="H57" s="466" t="s">
        <v>202</v>
      </c>
      <c r="I57" s="466"/>
      <c r="J57" s="466"/>
      <c r="K57" s="466"/>
      <c r="L57" s="466"/>
      <c r="M57" s="27"/>
      <c r="N57" s="408"/>
      <c r="O57" s="408"/>
      <c r="P57" s="408"/>
      <c r="Q57" s="408"/>
    </row>
    <row r="58" spans="2:17" ht="13.5" customHeight="1">
      <c r="B58" s="430" t="s">
        <v>261</v>
      </c>
      <c r="C58" s="430"/>
      <c r="D58" s="430"/>
      <c r="E58" s="430"/>
      <c r="F58" s="430"/>
      <c r="H58" s="430" t="s">
        <v>204</v>
      </c>
      <c r="I58" s="430"/>
      <c r="J58" s="430"/>
      <c r="K58" s="430"/>
      <c r="L58" s="430"/>
      <c r="M58" s="29"/>
      <c r="N58" s="409" t="s">
        <v>50</v>
      </c>
      <c r="O58" s="409"/>
      <c r="P58" s="409"/>
      <c r="Q58" s="409"/>
    </row>
    <row r="59" spans="2:17" ht="13.5" customHeight="1">
      <c r="B59" s="411" t="s">
        <v>248</v>
      </c>
      <c r="C59" s="411"/>
      <c r="D59" s="411"/>
      <c r="E59" s="411"/>
      <c r="F59" s="411"/>
      <c r="H59" s="411" t="s">
        <v>207</v>
      </c>
      <c r="I59" s="411"/>
      <c r="J59" s="411"/>
      <c r="K59" s="411"/>
      <c r="L59" s="411"/>
      <c r="M59" s="139"/>
      <c r="N59" s="410" t="s">
        <v>266</v>
      </c>
      <c r="O59" s="410"/>
      <c r="P59" s="410"/>
      <c r="Q59" s="410"/>
    </row>
    <row r="60" spans="2:17" ht="13.5" customHeight="1">
      <c r="B60" s="465" t="s">
        <v>51</v>
      </c>
      <c r="C60" s="465"/>
      <c r="D60" s="465"/>
      <c r="E60" s="465"/>
      <c r="F60" s="465"/>
      <c r="H60" s="411" t="s">
        <v>51</v>
      </c>
      <c r="I60" s="411"/>
      <c r="J60" s="411"/>
      <c r="K60" s="411"/>
      <c r="L60" s="411"/>
      <c r="M60" s="31"/>
      <c r="N60" s="411" t="s">
        <v>51</v>
      </c>
      <c r="O60" s="411"/>
      <c r="P60" s="411"/>
      <c r="Q60" s="411"/>
    </row>
  </sheetData>
  <sheetProtection/>
  <mergeCells count="89">
    <mergeCell ref="B48:O48"/>
    <mergeCell ref="B39:O39"/>
    <mergeCell ref="B47:O47"/>
    <mergeCell ref="B60:F60"/>
    <mergeCell ref="H60:L60"/>
    <mergeCell ref="N60:Q60"/>
    <mergeCell ref="B58:F58"/>
    <mergeCell ref="H58:L58"/>
    <mergeCell ref="N58:Q58"/>
    <mergeCell ref="B59:F59"/>
    <mergeCell ref="H59:L59"/>
    <mergeCell ref="N59:Q59"/>
    <mergeCell ref="B52:O52"/>
    <mergeCell ref="B53:O53"/>
    <mergeCell ref="B54:O54"/>
    <mergeCell ref="B57:F57"/>
    <mergeCell ref="H57:L57"/>
    <mergeCell ref="N57:Q57"/>
    <mergeCell ref="B51:O51"/>
    <mergeCell ref="B46:O46"/>
    <mergeCell ref="B50:O50"/>
    <mergeCell ref="B40:O40"/>
    <mergeCell ref="B43:O43"/>
    <mergeCell ref="B44:O44"/>
    <mergeCell ref="B41:O41"/>
    <mergeCell ref="B42:O42"/>
    <mergeCell ref="B45:O45"/>
    <mergeCell ref="B49:O49"/>
    <mergeCell ref="B33:G33"/>
    <mergeCell ref="J33:O33"/>
    <mergeCell ref="B34:G34"/>
    <mergeCell ref="J34:O34"/>
    <mergeCell ref="B35:G35"/>
    <mergeCell ref="J35:O35"/>
    <mergeCell ref="B30:G30"/>
    <mergeCell ref="J30:O30"/>
    <mergeCell ref="B31:G31"/>
    <mergeCell ref="J31:O31"/>
    <mergeCell ref="B32:G32"/>
    <mergeCell ref="J32:O32"/>
    <mergeCell ref="B27:G27"/>
    <mergeCell ref="J27:O27"/>
    <mergeCell ref="B28:G28"/>
    <mergeCell ref="J28:O28"/>
    <mergeCell ref="B29:G29"/>
    <mergeCell ref="J29:O29"/>
    <mergeCell ref="B24:G24"/>
    <mergeCell ref="J24:O24"/>
    <mergeCell ref="B25:G25"/>
    <mergeCell ref="J25:O25"/>
    <mergeCell ref="B26:G26"/>
    <mergeCell ref="J26:O26"/>
    <mergeCell ref="B21:G21"/>
    <mergeCell ref="J21:O21"/>
    <mergeCell ref="B22:G22"/>
    <mergeCell ref="J22:O22"/>
    <mergeCell ref="B23:G23"/>
    <mergeCell ref="J23:O23"/>
    <mergeCell ref="B18:G18"/>
    <mergeCell ref="J18:O18"/>
    <mergeCell ref="B19:G19"/>
    <mergeCell ref="J19:O19"/>
    <mergeCell ref="B20:G20"/>
    <mergeCell ref="J20:O20"/>
    <mergeCell ref="B15:G15"/>
    <mergeCell ref="J15:O15"/>
    <mergeCell ref="B16:G16"/>
    <mergeCell ref="J16:O16"/>
    <mergeCell ref="B17:G17"/>
    <mergeCell ref="J17:O17"/>
    <mergeCell ref="B11:G11"/>
    <mergeCell ref="J11:O11"/>
    <mergeCell ref="B12:G12"/>
    <mergeCell ref="J12:O12"/>
    <mergeCell ref="B14:G14"/>
    <mergeCell ref="J14:O14"/>
    <mergeCell ref="B8:G8"/>
    <mergeCell ref="J8:O8"/>
    <mergeCell ref="B9:G9"/>
    <mergeCell ref="J9:O9"/>
    <mergeCell ref="B10:G10"/>
    <mergeCell ref="J10:O10"/>
    <mergeCell ref="B1:Q1"/>
    <mergeCell ref="B2:Q2"/>
    <mergeCell ref="B3:Q3"/>
    <mergeCell ref="B6:H6"/>
    <mergeCell ref="J6:Q6"/>
    <mergeCell ref="B7:G7"/>
    <mergeCell ref="J7:O7"/>
  </mergeCells>
  <printOptions horizontalCentered="1"/>
  <pageMargins left="0.1968503937007874" right="0.11811023622047245" top="0" bottom="0" header="0.31496062992125984" footer="0.31496062992125984"/>
  <pageSetup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d835717</dc:creator>
  <cp:keywords/>
  <dc:description/>
  <cp:lastModifiedBy>Carlos Benito Martinez</cp:lastModifiedBy>
  <cp:lastPrinted>2018-11-08T19:45:04Z</cp:lastPrinted>
  <dcterms:created xsi:type="dcterms:W3CDTF">2016-10-19T15:26:14Z</dcterms:created>
  <dcterms:modified xsi:type="dcterms:W3CDTF">2018-11-26T11:25:02Z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