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drawings/drawing14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28.xml" ContentType="application/vnd.openxmlformats-officedocument.drawingml.chart+xml"/>
  <Override PartName="/xl/drawings/drawing17.xml" ContentType="application/vnd.openxmlformats-officedocument.drawingml.chartshapes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8.xml" ContentType="application/vnd.openxmlformats-officedocument.drawing+xml"/>
  <Override PartName="/xl/charts/chart3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Marcio Ramires\Desktop\2023\"/>
    </mc:Choice>
  </mc:AlternateContent>
  <bookViews>
    <workbookView xWindow="0" yWindow="0" windowWidth="19050" windowHeight="6645" tabRatio="987"/>
  </bookViews>
  <sheets>
    <sheet name="Texto" sheetId="54" r:id="rId1"/>
    <sheet name="Canais_atendimento" sheetId="2" r:id="rId2"/>
    <sheet name="Protocolos" sheetId="3" r:id="rId3"/>
    <sheet name="Assuntos" sheetId="4" r:id="rId4"/>
    <sheet name="10_Assuntos_+_demadados_2023" sheetId="5" r:id="rId5"/>
    <sheet name="Assuntos-variação_10_mais_2023" sheetId="6" r:id="rId6"/>
    <sheet name="ASSUNTOS_10+_últimos_3_meses" sheetId="7" r:id="rId7"/>
    <sheet name="10_ASSUNTOS + demandados_MAR_23" sheetId="45" r:id="rId8"/>
    <sheet name="UNIDADES" sheetId="9" r:id="rId9"/>
    <sheet name="10_UNIDADES_+_demandadas_2023" sheetId="11" r:id="rId10"/>
    <sheet name="Unidades_-variação_10_mais_2023" sheetId="12" r:id="rId11"/>
    <sheet name="UNIDADES_-_10+_últimos_3_meses" sheetId="13" r:id="rId12"/>
    <sheet name="10_Unidades+ demandados _MAR_23" sheetId="46" r:id="rId13"/>
    <sheet name="Subprefeituras_2023" sheetId="16" r:id="rId14"/>
    <sheet name="10_SUB's_+_demandadas_2023" sheetId="17" r:id="rId15"/>
    <sheet name="Subs_-Variação_10_mais_2023" sheetId="18" r:id="rId16"/>
    <sheet name="Ranking_subprefeituras_MAR_23" sheetId="19" r:id="rId17"/>
    <sheet name="Denúncia Protocolos 2023" sheetId="34" r:id="rId18"/>
    <sheet name="e-SIC 2023" sheetId="53" r:id="rId19"/>
    <sheet name="P" sheetId="41" state="hidden" r:id="rId20"/>
    <sheet name="Pandemia" sheetId="42" r:id="rId21"/>
  </sheets>
  <definedNames>
    <definedName name="_xlnm._FilterDatabase" localSheetId="3" hidden="1">Assuntos!$A$4:$P$187</definedName>
    <definedName name="_xlnm._FilterDatabase" localSheetId="13" hidden="1">Subprefeituras_2023!$A$4:$P$37</definedName>
    <definedName name="_xlnm._FilterDatabase" localSheetId="8" hidden="1">UNIDADES!$A$4:$P$72</definedName>
  </definedNames>
  <calcPr calcId="162913"/>
</workbook>
</file>

<file path=xl/calcChain.xml><?xml version="1.0" encoding="utf-8"?>
<calcChain xmlns="http://schemas.openxmlformats.org/spreadsheetml/2006/main">
  <c r="F32" i="34" l="1"/>
  <c r="B32" i="34"/>
  <c r="N113" i="53"/>
  <c r="N112" i="53"/>
  <c r="N111" i="53"/>
  <c r="N110" i="53"/>
  <c r="N109" i="53"/>
  <c r="N108" i="53"/>
  <c r="N107" i="53"/>
  <c r="N106" i="53"/>
  <c r="N105" i="53"/>
  <c r="N104" i="53"/>
  <c r="N174" i="53"/>
  <c r="N146" i="53"/>
  <c r="N119" i="53"/>
  <c r="N134" i="53"/>
  <c r="N128" i="53"/>
  <c r="N184" i="53"/>
  <c r="N186" i="53"/>
  <c r="N169" i="53"/>
  <c r="N148" i="53"/>
  <c r="N133" i="53"/>
  <c r="N141" i="53"/>
  <c r="N121" i="53"/>
  <c r="N157" i="53"/>
  <c r="N125" i="53"/>
  <c r="N129" i="53"/>
  <c r="N150" i="53"/>
  <c r="N187" i="53"/>
  <c r="N120" i="53"/>
  <c r="N158" i="53"/>
  <c r="N140" i="53"/>
  <c r="N130" i="53"/>
  <c r="N131" i="53"/>
  <c r="N127" i="53"/>
  <c r="N153" i="53"/>
  <c r="N147" i="53"/>
  <c r="N118" i="53"/>
  <c r="N137" i="53"/>
  <c r="N188" i="53"/>
  <c r="N163" i="53"/>
  <c r="N189" i="53"/>
  <c r="N117" i="53"/>
  <c r="N132" i="53"/>
  <c r="N122" i="53"/>
  <c r="N123" i="53"/>
  <c r="N190" i="53"/>
  <c r="N124" i="53"/>
  <c r="N135" i="53"/>
  <c r="N192" i="53"/>
  <c r="N136" i="53"/>
  <c r="N181" i="53"/>
  <c r="N191" i="53"/>
  <c r="N193" i="53"/>
  <c r="N175" i="53"/>
  <c r="N176" i="53"/>
  <c r="N138" i="53"/>
  <c r="N177" i="53"/>
  <c r="N170" i="53"/>
  <c r="N164" i="53"/>
  <c r="N171" i="53"/>
  <c r="N172" i="53"/>
  <c r="N178" i="53"/>
  <c r="N182" i="53"/>
  <c r="N179" i="53"/>
  <c r="N144" i="53"/>
  <c r="N165" i="53"/>
  <c r="N151" i="53"/>
  <c r="N166" i="53"/>
  <c r="N159" i="53"/>
  <c r="N145" i="53"/>
  <c r="N160" i="53"/>
  <c r="N149" i="53"/>
  <c r="N180" i="53"/>
  <c r="N167" i="53"/>
  <c r="N161" i="53"/>
  <c r="N139" i="53"/>
  <c r="N154" i="53"/>
  <c r="N155" i="53"/>
  <c r="N168" i="53"/>
  <c r="N142" i="53"/>
  <c r="N156" i="53"/>
  <c r="N183" i="53"/>
  <c r="N143" i="53"/>
  <c r="N162" i="53"/>
  <c r="N152" i="53"/>
  <c r="N173" i="53"/>
  <c r="N126" i="53"/>
  <c r="N185" i="53"/>
  <c r="K99" i="53"/>
  <c r="C8" i="53"/>
  <c r="C7" i="53"/>
  <c r="N13" i="12"/>
  <c r="J13" i="12"/>
  <c r="F13" i="12"/>
  <c r="O15" i="34"/>
  <c r="O9" i="34"/>
  <c r="O10" i="34"/>
  <c r="P7" i="34"/>
  <c r="P6" i="34"/>
  <c r="K10" i="34"/>
  <c r="P7" i="17"/>
  <c r="P17" i="17"/>
  <c r="P8" i="17"/>
  <c r="P9" i="17"/>
  <c r="P10" i="17"/>
  <c r="P11" i="17"/>
  <c r="P12" i="17"/>
  <c r="P13" i="17"/>
  <c r="P14" i="17"/>
  <c r="P15" i="17"/>
  <c r="P16" i="17"/>
  <c r="K17" i="17"/>
  <c r="P5" i="16"/>
  <c r="K37" i="16"/>
  <c r="O37" i="16"/>
  <c r="P17" i="11"/>
  <c r="P8" i="11"/>
  <c r="P9" i="11"/>
  <c r="P10" i="11"/>
  <c r="P11" i="11"/>
  <c r="P12" i="11"/>
  <c r="P13" i="11"/>
  <c r="P14" i="11"/>
  <c r="P15" i="11"/>
  <c r="P16" i="11"/>
  <c r="P7" i="11"/>
  <c r="K17" i="11"/>
  <c r="K72" i="9"/>
  <c r="P17" i="5"/>
  <c r="P18" i="5"/>
  <c r="P8" i="5"/>
  <c r="P9" i="5"/>
  <c r="P10" i="5"/>
  <c r="P11" i="5"/>
  <c r="P12" i="5"/>
  <c r="P13" i="5"/>
  <c r="P14" i="5"/>
  <c r="P15" i="5"/>
  <c r="P16" i="5"/>
  <c r="P7" i="5"/>
  <c r="K17" i="5"/>
  <c r="K187" i="4"/>
  <c r="B18" i="3"/>
  <c r="B17" i="3"/>
  <c r="C7" i="3"/>
  <c r="Q11" i="2"/>
  <c r="P5" i="2"/>
  <c r="P6" i="2"/>
  <c r="Q7" i="2"/>
  <c r="Q6" i="2"/>
  <c r="Q5" i="2"/>
  <c r="Q8" i="2"/>
  <c r="Q9" i="2"/>
  <c r="Q10" i="2"/>
  <c r="N24" i="3"/>
  <c r="S24" i="3"/>
  <c r="K11" i="2"/>
  <c r="O72" i="9"/>
  <c r="O11" i="2"/>
  <c r="O99" i="53"/>
  <c r="M99" i="53"/>
  <c r="L99" i="53"/>
  <c r="O63" i="53"/>
  <c r="O57" i="53"/>
  <c r="O22" i="53"/>
  <c r="N22" i="53"/>
  <c r="L10" i="34"/>
  <c r="N8" i="11"/>
  <c r="N9" i="11"/>
  <c r="N10" i="11"/>
  <c r="N11" i="11"/>
  <c r="N17" i="11"/>
  <c r="N12" i="11"/>
  <c r="N13" i="11"/>
  <c r="N14" i="11"/>
  <c r="N15" i="11"/>
  <c r="N16" i="11"/>
  <c r="N7" i="11"/>
  <c r="O183" i="4"/>
  <c r="N179" i="4"/>
  <c r="N175" i="4"/>
  <c r="O170" i="4"/>
  <c r="N166" i="4"/>
  <c r="O162" i="4"/>
  <c r="N158" i="4"/>
  <c r="O154" i="4"/>
  <c r="N150" i="4"/>
  <c r="N142" i="4"/>
  <c r="O134" i="4"/>
  <c r="N130" i="4"/>
  <c r="O122" i="4"/>
  <c r="O118" i="4"/>
  <c r="N114" i="4"/>
  <c r="N110" i="4"/>
  <c r="O102" i="4"/>
  <c r="O98" i="4"/>
  <c r="O94" i="4"/>
  <c r="O90" i="4"/>
  <c r="N86" i="4"/>
  <c r="N82" i="4"/>
  <c r="N78" i="4"/>
  <c r="N74" i="4"/>
  <c r="N70" i="4"/>
  <c r="N66" i="4"/>
  <c r="O62" i="4"/>
  <c r="N58" i="4"/>
  <c r="O54" i="4"/>
  <c r="O50" i="4"/>
  <c r="N46" i="4"/>
  <c r="N42" i="4"/>
  <c r="O38" i="4"/>
  <c r="N34" i="4"/>
  <c r="O30" i="4"/>
  <c r="N26" i="4"/>
  <c r="N22" i="4"/>
  <c r="N18" i="4"/>
  <c r="N14" i="4"/>
  <c r="N10" i="4"/>
  <c r="N6" i="4"/>
  <c r="C6" i="3"/>
  <c r="K11" i="6"/>
  <c r="AD33" i="53"/>
  <c r="AB33" i="53"/>
  <c r="AA33" i="53"/>
  <c r="Z33" i="53"/>
  <c r="Y33" i="53"/>
  <c r="X33" i="53"/>
  <c r="W33" i="53"/>
  <c r="V33" i="53"/>
  <c r="U33" i="53"/>
  <c r="T33" i="53"/>
  <c r="T39" i="53"/>
  <c r="AA39" i="53"/>
  <c r="D17" i="13"/>
  <c r="F17" i="13"/>
  <c r="C17" i="13"/>
  <c r="B17" i="13"/>
  <c r="N22" i="9"/>
  <c r="O22" i="9"/>
  <c r="B26" i="45"/>
  <c r="E7" i="7"/>
  <c r="F44" i="6"/>
  <c r="C5" i="3"/>
  <c r="E8" i="13"/>
  <c r="E9" i="13"/>
  <c r="E10" i="13"/>
  <c r="E11" i="13"/>
  <c r="E12" i="13"/>
  <c r="E13" i="13"/>
  <c r="E14" i="13"/>
  <c r="E15" i="13"/>
  <c r="E16" i="13"/>
  <c r="E7" i="13"/>
  <c r="E17" i="13"/>
  <c r="B17" i="7"/>
  <c r="O6" i="2"/>
  <c r="O7" i="2"/>
  <c r="O8" i="2"/>
  <c r="O9" i="2"/>
  <c r="O10" i="2"/>
  <c r="M25" i="6"/>
  <c r="F8" i="13"/>
  <c r="F9" i="13"/>
  <c r="F10" i="13"/>
  <c r="F11" i="13"/>
  <c r="F12" i="13"/>
  <c r="F13" i="13"/>
  <c r="F14" i="13"/>
  <c r="F15" i="13"/>
  <c r="F16" i="13"/>
  <c r="F7" i="13"/>
  <c r="E8" i="7"/>
  <c r="E9" i="7"/>
  <c r="E10" i="7"/>
  <c r="E11" i="7"/>
  <c r="E12" i="7"/>
  <c r="E13" i="7"/>
  <c r="E14" i="7"/>
  <c r="E15" i="7"/>
  <c r="E16" i="7"/>
  <c r="F8" i="7"/>
  <c r="F9" i="7"/>
  <c r="F10" i="7"/>
  <c r="F11" i="7"/>
  <c r="F12" i="7"/>
  <c r="F13" i="7"/>
  <c r="F14" i="7"/>
  <c r="F15" i="7"/>
  <c r="F16" i="7"/>
  <c r="F7" i="7"/>
  <c r="N10" i="17"/>
  <c r="O10" i="17"/>
  <c r="N11" i="17"/>
  <c r="O11" i="17"/>
  <c r="N6" i="34"/>
  <c r="O6" i="34"/>
  <c r="O7" i="34"/>
  <c r="G63" i="34"/>
  <c r="F43" i="12"/>
  <c r="G43" i="12"/>
  <c r="B43" i="12"/>
  <c r="C43" i="12"/>
  <c r="O14" i="11"/>
  <c r="O13" i="11"/>
  <c r="B27" i="12"/>
  <c r="C27" i="12"/>
  <c r="O10" i="11"/>
  <c r="O9" i="11"/>
  <c r="O8" i="11"/>
  <c r="O71" i="9"/>
  <c r="N71" i="9"/>
  <c r="O5" i="9"/>
  <c r="N5" i="9"/>
  <c r="O7" i="5"/>
  <c r="O5" i="4"/>
  <c r="Q21" i="3"/>
  <c r="N10" i="9"/>
  <c r="O10" i="9"/>
  <c r="N173" i="4"/>
  <c r="O173" i="4"/>
  <c r="N148" i="4"/>
  <c r="O148" i="4"/>
  <c r="X39" i="53"/>
  <c r="N24" i="53"/>
  <c r="N25" i="53"/>
  <c r="N26" i="53"/>
  <c r="N27" i="53"/>
  <c r="N28" i="53"/>
  <c r="N29" i="53"/>
  <c r="N30" i="53"/>
  <c r="N31" i="53"/>
  <c r="N32" i="53"/>
  <c r="N33" i="53"/>
  <c r="N34" i="53"/>
  <c r="N35" i="53"/>
  <c r="N36" i="53"/>
  <c r="N37" i="53"/>
  <c r="N38" i="53"/>
  <c r="N39" i="53"/>
  <c r="N40" i="53"/>
  <c r="N41" i="53"/>
  <c r="N42" i="53"/>
  <c r="N43" i="53"/>
  <c r="N44" i="53"/>
  <c r="N45" i="53"/>
  <c r="N46" i="53"/>
  <c r="N47" i="53"/>
  <c r="N48" i="53"/>
  <c r="N49" i="53"/>
  <c r="N50" i="53"/>
  <c r="N51" i="53"/>
  <c r="N52" i="53"/>
  <c r="N53" i="53"/>
  <c r="N54" i="53"/>
  <c r="N55" i="53"/>
  <c r="N56" i="53"/>
  <c r="N57" i="53"/>
  <c r="N58" i="53"/>
  <c r="N59" i="53"/>
  <c r="N60" i="53"/>
  <c r="N61" i="53"/>
  <c r="N62" i="53"/>
  <c r="N63" i="53"/>
  <c r="N64" i="53"/>
  <c r="N65" i="53"/>
  <c r="N66" i="53"/>
  <c r="N67" i="53"/>
  <c r="N68" i="53"/>
  <c r="N69" i="53"/>
  <c r="N70" i="53"/>
  <c r="N71" i="53"/>
  <c r="N72" i="53"/>
  <c r="N73" i="53"/>
  <c r="N74" i="53"/>
  <c r="N75" i="53"/>
  <c r="N76" i="53"/>
  <c r="N77" i="53"/>
  <c r="N78" i="53"/>
  <c r="N79" i="53"/>
  <c r="N80" i="53"/>
  <c r="N81" i="53"/>
  <c r="N82" i="53"/>
  <c r="N83" i="53"/>
  <c r="N84" i="53"/>
  <c r="N85" i="53"/>
  <c r="N86" i="53"/>
  <c r="N87" i="53"/>
  <c r="N88" i="53"/>
  <c r="N89" i="53"/>
  <c r="N90" i="53"/>
  <c r="N91" i="53"/>
  <c r="N92" i="53"/>
  <c r="N93" i="53"/>
  <c r="N94" i="53"/>
  <c r="N95" i="53"/>
  <c r="N96" i="53"/>
  <c r="N97" i="53"/>
  <c r="N98" i="53"/>
  <c r="N98" i="4"/>
  <c r="O60" i="53"/>
  <c r="N43" i="4"/>
  <c r="O43" i="4"/>
  <c r="N29" i="4"/>
  <c r="O29" i="4"/>
  <c r="N9" i="4"/>
  <c r="N13" i="4"/>
  <c r="N17" i="4"/>
  <c r="N21" i="4"/>
  <c r="N25" i="4"/>
  <c r="N28" i="4"/>
  <c r="N30" i="4"/>
  <c r="N35" i="4"/>
  <c r="N37" i="4"/>
  <c r="N38" i="4"/>
  <c r="N39" i="4"/>
  <c r="N40" i="4"/>
  <c r="N45" i="4"/>
  <c r="N47" i="4"/>
  <c r="N49" i="4"/>
  <c r="N50" i="4"/>
  <c r="N51" i="4"/>
  <c r="N53" i="4"/>
  <c r="N55" i="4"/>
  <c r="N57" i="4"/>
  <c r="N59" i="4"/>
  <c r="N62" i="4"/>
  <c r="N63" i="4"/>
  <c r="N67" i="4"/>
  <c r="N69" i="4"/>
  <c r="N71" i="4"/>
  <c r="N73" i="4"/>
  <c r="N72" i="4"/>
  <c r="N75" i="4"/>
  <c r="N76" i="4"/>
  <c r="N77" i="4"/>
  <c r="N79" i="4"/>
  <c r="N80" i="4"/>
  <c r="O81" i="4"/>
  <c r="N83" i="4"/>
  <c r="N84" i="4"/>
  <c r="N85" i="4"/>
  <c r="N87" i="4"/>
  <c r="N88" i="4"/>
  <c r="N89" i="4"/>
  <c r="N91" i="4"/>
  <c r="N92" i="4"/>
  <c r="N93" i="4"/>
  <c r="N95" i="4"/>
  <c r="N96" i="4"/>
  <c r="O97" i="4"/>
  <c r="N99" i="4"/>
  <c r="N100" i="4"/>
  <c r="O101" i="4"/>
  <c r="N102" i="4"/>
  <c r="O103" i="4"/>
  <c r="N104" i="4"/>
  <c r="N105" i="4"/>
  <c r="N106" i="4"/>
  <c r="N107" i="4"/>
  <c r="N108" i="4"/>
  <c r="N109" i="4"/>
  <c r="O110" i="4"/>
  <c r="O111" i="4"/>
  <c r="N112" i="4"/>
  <c r="N113" i="4"/>
  <c r="O114" i="4"/>
  <c r="N115" i="4"/>
  <c r="N116" i="4"/>
  <c r="N117" i="4"/>
  <c r="N118" i="4"/>
  <c r="O119" i="4"/>
  <c r="N120" i="4"/>
  <c r="O121" i="4"/>
  <c r="N122" i="4"/>
  <c r="N123" i="4"/>
  <c r="N124" i="4"/>
  <c r="N125" i="4"/>
  <c r="N126" i="4"/>
  <c r="O127" i="4"/>
  <c r="N128" i="4"/>
  <c r="N129" i="4"/>
  <c r="O130" i="4"/>
  <c r="N131" i="4"/>
  <c r="N132" i="4"/>
  <c r="N133" i="4"/>
  <c r="N134" i="4"/>
  <c r="O135" i="4"/>
  <c r="N136" i="4"/>
  <c r="O137" i="4"/>
  <c r="N138" i="4"/>
  <c r="O139" i="4"/>
  <c r="N140" i="4"/>
  <c r="O141" i="4"/>
  <c r="O142" i="4"/>
  <c r="N143" i="4"/>
  <c r="N144" i="4"/>
  <c r="N145" i="4"/>
  <c r="O146" i="4"/>
  <c r="N147" i="4"/>
  <c r="N149" i="4"/>
  <c r="N151" i="4"/>
  <c r="O152" i="4"/>
  <c r="N153" i="4"/>
  <c r="O155" i="4"/>
  <c r="N156" i="4"/>
  <c r="N157" i="4"/>
  <c r="N159" i="4"/>
  <c r="N160" i="4"/>
  <c r="N161" i="4"/>
  <c r="N163" i="4"/>
  <c r="N164" i="4"/>
  <c r="N165" i="4"/>
  <c r="N167" i="4"/>
  <c r="O168" i="4"/>
  <c r="N169" i="4"/>
  <c r="O171" i="4"/>
  <c r="N172" i="4"/>
  <c r="N174" i="4"/>
  <c r="N176" i="4"/>
  <c r="O177" i="4"/>
  <c r="N178" i="4"/>
  <c r="O180" i="4"/>
  <c r="O181" i="4"/>
  <c r="N182" i="4"/>
  <c r="O184" i="4"/>
  <c r="O185" i="4"/>
  <c r="N186" i="4"/>
  <c r="N29" i="9"/>
  <c r="O29" i="9"/>
  <c r="AG49" i="53"/>
  <c r="AF49" i="53"/>
  <c r="AG48" i="53"/>
  <c r="AF48" i="53"/>
  <c r="AE47" i="53"/>
  <c r="AD47" i="53"/>
  <c r="AB47" i="53"/>
  <c r="AA47" i="53"/>
  <c r="Z47" i="53"/>
  <c r="Y47" i="53"/>
  <c r="X47" i="53"/>
  <c r="W47" i="53"/>
  <c r="V47" i="53"/>
  <c r="U47" i="53"/>
  <c r="T47" i="53"/>
  <c r="AG46" i="53"/>
  <c r="AF46" i="53"/>
  <c r="AG43" i="53"/>
  <c r="AF43" i="53"/>
  <c r="AG42" i="53"/>
  <c r="AF42" i="53"/>
  <c r="AG41" i="53"/>
  <c r="AF41" i="53"/>
  <c r="AG40" i="53"/>
  <c r="AG39" i="53"/>
  <c r="AF40" i="53"/>
  <c r="AE39" i="53"/>
  <c r="AD39" i="53"/>
  <c r="AB39" i="53"/>
  <c r="Z39" i="53"/>
  <c r="Y39" i="53"/>
  <c r="W39" i="53"/>
  <c r="V39" i="53"/>
  <c r="U39" i="53"/>
  <c r="AG35" i="53"/>
  <c r="AG33" i="53"/>
  <c r="AF35" i="53"/>
  <c r="AG34" i="53"/>
  <c r="AF34" i="53"/>
  <c r="AE33" i="53"/>
  <c r="AG32" i="53"/>
  <c r="AF32" i="53"/>
  <c r="AG29" i="53"/>
  <c r="AF29" i="53"/>
  <c r="AG28" i="53"/>
  <c r="AF28" i="53"/>
  <c r="AE27" i="53"/>
  <c r="AD27" i="53"/>
  <c r="AB27" i="53"/>
  <c r="AA27" i="53"/>
  <c r="Z27" i="53"/>
  <c r="Y27" i="53"/>
  <c r="X27" i="53"/>
  <c r="W27" i="53"/>
  <c r="V27" i="53"/>
  <c r="U27" i="53"/>
  <c r="T27" i="53"/>
  <c r="AG24" i="53"/>
  <c r="AF24" i="53"/>
  <c r="O52" i="53"/>
  <c r="O62" i="53"/>
  <c r="O93" i="53"/>
  <c r="O82" i="53"/>
  <c r="O74" i="53"/>
  <c r="O70" i="53"/>
  <c r="O54" i="53"/>
  <c r="O53" i="53"/>
  <c r="O49" i="53"/>
  <c r="O48" i="53"/>
  <c r="O45" i="53"/>
  <c r="O41" i="53"/>
  <c r="O40" i="53"/>
  <c r="O36" i="53"/>
  <c r="O28" i="53"/>
  <c r="N23" i="53"/>
  <c r="N67" i="9"/>
  <c r="O67" i="9"/>
  <c r="O12" i="11"/>
  <c r="O6" i="9"/>
  <c r="O7" i="9"/>
  <c r="O8" i="9"/>
  <c r="O9" i="9"/>
  <c r="O11" i="9"/>
  <c r="O12" i="9"/>
  <c r="O13" i="9"/>
  <c r="O14" i="9"/>
  <c r="O15" i="9"/>
  <c r="O16" i="9"/>
  <c r="O17" i="9"/>
  <c r="O18" i="9"/>
  <c r="O19" i="9"/>
  <c r="O20" i="9"/>
  <c r="O21" i="9"/>
  <c r="O23" i="9"/>
  <c r="O24" i="9"/>
  <c r="O25" i="9"/>
  <c r="O26" i="9"/>
  <c r="O27" i="9"/>
  <c r="O28" i="9"/>
  <c r="O30" i="9"/>
  <c r="O31" i="9"/>
  <c r="O32" i="9"/>
  <c r="O33" i="9"/>
  <c r="O34" i="9"/>
  <c r="O35" i="9"/>
  <c r="O36" i="9"/>
  <c r="O37" i="9"/>
  <c r="O38" i="9"/>
  <c r="O39" i="9"/>
  <c r="O40" i="9"/>
  <c r="O41" i="9"/>
  <c r="O42" i="9"/>
  <c r="O43" i="9"/>
  <c r="O44" i="9"/>
  <c r="O45" i="9"/>
  <c r="O46" i="9"/>
  <c r="O47" i="9"/>
  <c r="O48" i="9"/>
  <c r="O49" i="9"/>
  <c r="O50" i="9"/>
  <c r="O51" i="9"/>
  <c r="O52" i="9"/>
  <c r="O53" i="9"/>
  <c r="O54" i="9"/>
  <c r="O55" i="9"/>
  <c r="O56" i="9"/>
  <c r="O57" i="9"/>
  <c r="O58" i="9"/>
  <c r="O59" i="9"/>
  <c r="O60" i="9"/>
  <c r="O61" i="9"/>
  <c r="O62" i="9"/>
  <c r="O63" i="9"/>
  <c r="O64" i="9"/>
  <c r="O65" i="9"/>
  <c r="O66" i="9"/>
  <c r="O68" i="9"/>
  <c r="O69" i="9"/>
  <c r="O70" i="9"/>
  <c r="O98" i="53"/>
  <c r="O64" i="53"/>
  <c r="O30" i="53"/>
  <c r="B6" i="53"/>
  <c r="C6" i="53"/>
  <c r="J23" i="46"/>
  <c r="B17" i="46"/>
  <c r="N11" i="9"/>
  <c r="N64" i="9"/>
  <c r="O33" i="53"/>
  <c r="O29" i="53"/>
  <c r="O31" i="53"/>
  <c r="O32" i="53"/>
  <c r="O35" i="53"/>
  <c r="O37" i="53"/>
  <c r="O50" i="53"/>
  <c r="O56" i="53"/>
  <c r="O66" i="53"/>
  <c r="O71" i="53"/>
  <c r="O78" i="53"/>
  <c r="O86" i="53"/>
  <c r="O88" i="53"/>
  <c r="O90" i="53"/>
  <c r="O92" i="53"/>
  <c r="O94" i="53"/>
  <c r="O96" i="53"/>
  <c r="O26" i="53"/>
  <c r="N14" i="9"/>
  <c r="N15" i="9"/>
  <c r="N16" i="9"/>
  <c r="N17" i="9"/>
  <c r="N18" i="9"/>
  <c r="N19" i="9"/>
  <c r="N20" i="9"/>
  <c r="N21" i="9"/>
  <c r="N23" i="9"/>
  <c r="B17" i="45"/>
  <c r="L11" i="2"/>
  <c r="O84" i="53"/>
  <c r="O81" i="53"/>
  <c r="O80" i="53"/>
  <c r="O77" i="53"/>
  <c r="O72" i="53"/>
  <c r="O69" i="53"/>
  <c r="O68" i="53"/>
  <c r="O61" i="53"/>
  <c r="O38" i="53"/>
  <c r="O34" i="53"/>
  <c r="B29" i="34"/>
  <c r="B26" i="34"/>
  <c r="B25" i="34"/>
  <c r="B24" i="34"/>
  <c r="B23" i="34"/>
  <c r="B22" i="34"/>
  <c r="K9" i="34"/>
  <c r="B21" i="34"/>
  <c r="L9" i="34"/>
  <c r="B20" i="34"/>
  <c r="M9" i="34"/>
  <c r="B19" i="34"/>
  <c r="C19" i="34"/>
  <c r="K15" i="34"/>
  <c r="M10" i="34"/>
  <c r="M15" i="34"/>
  <c r="N68" i="9"/>
  <c r="M187" i="4"/>
  <c r="O187" i="4" s="1"/>
  <c r="C10" i="42"/>
  <c r="B13" i="41"/>
  <c r="N7" i="34"/>
  <c r="N9" i="34"/>
  <c r="N8" i="34"/>
  <c r="O8" i="34"/>
  <c r="N13" i="34"/>
  <c r="O13" i="34"/>
  <c r="F19" i="34"/>
  <c r="F20" i="34"/>
  <c r="G21" i="34"/>
  <c r="G20" i="34"/>
  <c r="F21" i="34"/>
  <c r="H36" i="34"/>
  <c r="H37" i="34"/>
  <c r="H38" i="34"/>
  <c r="H48" i="34"/>
  <c r="H39" i="34"/>
  <c r="H40" i="34"/>
  <c r="H41" i="34"/>
  <c r="H42" i="34"/>
  <c r="H43" i="34"/>
  <c r="H44" i="34"/>
  <c r="H45" i="34"/>
  <c r="H46" i="34"/>
  <c r="H47" i="34"/>
  <c r="B48" i="34"/>
  <c r="B65" i="34"/>
  <c r="C48" i="34"/>
  <c r="D48" i="34"/>
  <c r="E48" i="34"/>
  <c r="E65" i="34"/>
  <c r="F48" i="34"/>
  <c r="F65" i="34"/>
  <c r="G48" i="34"/>
  <c r="H51" i="34"/>
  <c r="H52" i="34"/>
  <c r="H53" i="34"/>
  <c r="H63" i="34"/>
  <c r="H54" i="34"/>
  <c r="H55" i="34"/>
  <c r="H56" i="34"/>
  <c r="H57" i="34"/>
  <c r="H58" i="34"/>
  <c r="H59" i="34"/>
  <c r="H60" i="34"/>
  <c r="H61" i="34"/>
  <c r="H62" i="34"/>
  <c r="B63" i="34"/>
  <c r="C63" i="34"/>
  <c r="C65" i="34"/>
  <c r="D63" i="34"/>
  <c r="E63" i="34"/>
  <c r="F63" i="34"/>
  <c r="B37" i="19"/>
  <c r="A9" i="18"/>
  <c r="E9" i="18"/>
  <c r="I9" i="18"/>
  <c r="M9" i="18"/>
  <c r="B11" i="18"/>
  <c r="C11" i="18"/>
  <c r="F11" i="18"/>
  <c r="G11" i="18"/>
  <c r="J11" i="18"/>
  <c r="K11" i="18"/>
  <c r="N11" i="18"/>
  <c r="O11" i="18"/>
  <c r="B12" i="18"/>
  <c r="C12" i="18"/>
  <c r="F12" i="18"/>
  <c r="J12" i="18"/>
  <c r="N12" i="18"/>
  <c r="B13" i="18"/>
  <c r="F13" i="18"/>
  <c r="J13" i="18"/>
  <c r="K13" i="18"/>
  <c r="N13" i="18"/>
  <c r="O13" i="18"/>
  <c r="A25" i="18"/>
  <c r="E25" i="18"/>
  <c r="I25" i="18"/>
  <c r="M25" i="18"/>
  <c r="B27" i="18"/>
  <c r="C27" i="18"/>
  <c r="F27" i="18"/>
  <c r="G27" i="18"/>
  <c r="J27" i="18"/>
  <c r="K27" i="18"/>
  <c r="N27" i="18"/>
  <c r="O27" i="18"/>
  <c r="B28" i="18"/>
  <c r="C29" i="18"/>
  <c r="F28" i="18"/>
  <c r="G28" i="18"/>
  <c r="J28" i="18"/>
  <c r="N28" i="18"/>
  <c r="B29" i="18"/>
  <c r="F29" i="18"/>
  <c r="J29" i="18"/>
  <c r="N29" i="18"/>
  <c r="O29" i="18"/>
  <c r="A41" i="18"/>
  <c r="E41" i="18"/>
  <c r="B43" i="18"/>
  <c r="C43" i="18"/>
  <c r="F43" i="18"/>
  <c r="G43" i="18"/>
  <c r="B44" i="18"/>
  <c r="F44" i="18"/>
  <c r="B45" i="18"/>
  <c r="C45" i="18"/>
  <c r="F45" i="18"/>
  <c r="N7" i="17"/>
  <c r="O7" i="17"/>
  <c r="N8" i="17"/>
  <c r="N18" i="17"/>
  <c r="O8" i="17"/>
  <c r="N9" i="17"/>
  <c r="O9" i="17"/>
  <c r="N12" i="17"/>
  <c r="O12" i="17"/>
  <c r="N13" i="17"/>
  <c r="O13" i="17"/>
  <c r="N14" i="17"/>
  <c r="O14" i="17"/>
  <c r="N15" i="17"/>
  <c r="O15" i="17"/>
  <c r="N16" i="17"/>
  <c r="O16" i="17"/>
  <c r="L17" i="17"/>
  <c r="P18" i="17"/>
  <c r="M17" i="17"/>
  <c r="N5" i="16"/>
  <c r="O5" i="16"/>
  <c r="N6" i="16"/>
  <c r="O6" i="16"/>
  <c r="N7" i="16"/>
  <c r="O7" i="16"/>
  <c r="N8" i="16"/>
  <c r="O8" i="16"/>
  <c r="N9" i="16"/>
  <c r="O9" i="16"/>
  <c r="N10" i="16"/>
  <c r="O10" i="16"/>
  <c r="N11" i="16"/>
  <c r="O11" i="16"/>
  <c r="N12" i="16"/>
  <c r="O12" i="16"/>
  <c r="N13" i="16"/>
  <c r="O13" i="16"/>
  <c r="N14" i="16"/>
  <c r="O14" i="16"/>
  <c r="N15" i="16"/>
  <c r="O15" i="16"/>
  <c r="N16" i="16"/>
  <c r="O16" i="16"/>
  <c r="N17" i="16"/>
  <c r="O17" i="16"/>
  <c r="N18" i="16"/>
  <c r="O18" i="16"/>
  <c r="N19" i="16"/>
  <c r="O19" i="16"/>
  <c r="N20" i="16"/>
  <c r="O20" i="16"/>
  <c r="N21" i="16"/>
  <c r="O21" i="16"/>
  <c r="N22" i="16"/>
  <c r="O22" i="16"/>
  <c r="N23" i="16"/>
  <c r="O23" i="16"/>
  <c r="N24" i="16"/>
  <c r="O24" i="16"/>
  <c r="N25" i="16"/>
  <c r="O25" i="16"/>
  <c r="N26" i="16"/>
  <c r="O26" i="16"/>
  <c r="N27" i="16"/>
  <c r="O27" i="16"/>
  <c r="N28" i="16"/>
  <c r="O28" i="16"/>
  <c r="N29" i="16"/>
  <c r="O29" i="16"/>
  <c r="N30" i="16"/>
  <c r="O30" i="16"/>
  <c r="N31" i="16"/>
  <c r="O31" i="16"/>
  <c r="N32" i="16"/>
  <c r="P32" i="16"/>
  <c r="O32" i="16"/>
  <c r="N33" i="16"/>
  <c r="O33" i="16"/>
  <c r="N34" i="16"/>
  <c r="O34" i="16"/>
  <c r="N35" i="16"/>
  <c r="O35" i="16"/>
  <c r="N36" i="16"/>
  <c r="O36" i="16"/>
  <c r="L37" i="16"/>
  <c r="M37" i="16"/>
  <c r="B22" i="46"/>
  <c r="C22" i="46"/>
  <c r="D22" i="46"/>
  <c r="E22" i="46"/>
  <c r="F22" i="46"/>
  <c r="G22" i="46"/>
  <c r="H22" i="46"/>
  <c r="I22" i="46"/>
  <c r="J22" i="46"/>
  <c r="K22" i="46"/>
  <c r="B23" i="46"/>
  <c r="C23" i="46"/>
  <c r="D23" i="46"/>
  <c r="E23" i="46"/>
  <c r="F23" i="46"/>
  <c r="G23" i="46"/>
  <c r="H23" i="46"/>
  <c r="I23" i="46"/>
  <c r="K23" i="46"/>
  <c r="A9" i="12"/>
  <c r="E9" i="12"/>
  <c r="I9" i="12"/>
  <c r="M9" i="12"/>
  <c r="F11" i="12"/>
  <c r="G11" i="12"/>
  <c r="F12" i="12"/>
  <c r="G13" i="12"/>
  <c r="J12" i="12"/>
  <c r="K13" i="12"/>
  <c r="N12" i="12"/>
  <c r="B13" i="12"/>
  <c r="C13" i="12"/>
  <c r="A25" i="12"/>
  <c r="E25" i="12"/>
  <c r="I25" i="12"/>
  <c r="M25" i="12"/>
  <c r="F27" i="12"/>
  <c r="J27" i="12"/>
  <c r="K27" i="12"/>
  <c r="B28" i="12"/>
  <c r="C28" i="12"/>
  <c r="F28" i="12"/>
  <c r="J28" i="12"/>
  <c r="N28" i="12"/>
  <c r="B29" i="12"/>
  <c r="F29" i="12"/>
  <c r="J29" i="12"/>
  <c r="N29" i="12"/>
  <c r="A41" i="12"/>
  <c r="E41" i="12"/>
  <c r="B44" i="12"/>
  <c r="F44" i="12"/>
  <c r="G44" i="12"/>
  <c r="B45" i="12"/>
  <c r="F45" i="12"/>
  <c r="G45" i="12"/>
  <c r="L17" i="11"/>
  <c r="P18" i="11"/>
  <c r="N6" i="9"/>
  <c r="N7" i="9"/>
  <c r="N8" i="9"/>
  <c r="N72" i="9"/>
  <c r="N9" i="9"/>
  <c r="N12" i="9"/>
  <c r="N13" i="9"/>
  <c r="N24" i="9"/>
  <c r="N25" i="9"/>
  <c r="N26" i="9"/>
  <c r="N27" i="9"/>
  <c r="N28" i="9"/>
  <c r="N30" i="9"/>
  <c r="N31" i="9"/>
  <c r="N32" i="9"/>
  <c r="N33" i="9"/>
  <c r="N34" i="9"/>
  <c r="N35" i="9"/>
  <c r="N36" i="9"/>
  <c r="N37" i="9"/>
  <c r="N38" i="9"/>
  <c r="N39" i="9"/>
  <c r="N40" i="9"/>
  <c r="N41" i="9"/>
  <c r="N42" i="9"/>
  <c r="N43" i="9"/>
  <c r="N44" i="9"/>
  <c r="N45" i="9"/>
  <c r="N46" i="9"/>
  <c r="N47" i="9"/>
  <c r="N48" i="9"/>
  <c r="N49" i="9"/>
  <c r="N50" i="9"/>
  <c r="N51" i="9"/>
  <c r="N52" i="9"/>
  <c r="N53" i="9"/>
  <c r="N54" i="9"/>
  <c r="N55" i="9"/>
  <c r="N56" i="9"/>
  <c r="N57" i="9"/>
  <c r="N58" i="9"/>
  <c r="N59" i="9"/>
  <c r="N60" i="9"/>
  <c r="N61" i="9"/>
  <c r="N62" i="9"/>
  <c r="N63" i="9"/>
  <c r="N65" i="9"/>
  <c r="N66" i="9"/>
  <c r="N69" i="9"/>
  <c r="N70" i="9"/>
  <c r="L72" i="9"/>
  <c r="M72" i="9"/>
  <c r="B24" i="45"/>
  <c r="C24" i="45"/>
  <c r="D24" i="45"/>
  <c r="E24" i="45"/>
  <c r="F24" i="45"/>
  <c r="G24" i="45"/>
  <c r="H24" i="45"/>
  <c r="I24" i="45"/>
  <c r="J24" i="45"/>
  <c r="K24" i="45"/>
  <c r="C25" i="45"/>
  <c r="D25" i="45"/>
  <c r="E25" i="45"/>
  <c r="F25" i="45"/>
  <c r="G25" i="45"/>
  <c r="H25" i="45"/>
  <c r="I25" i="45"/>
  <c r="J25" i="45"/>
  <c r="K25" i="45"/>
  <c r="D17" i="7"/>
  <c r="A9" i="6"/>
  <c r="E9" i="6"/>
  <c r="I9" i="6"/>
  <c r="M9" i="6"/>
  <c r="B11" i="6"/>
  <c r="C11" i="6"/>
  <c r="F11" i="6"/>
  <c r="G11" i="6"/>
  <c r="J11" i="6"/>
  <c r="N11" i="6"/>
  <c r="O11" i="6"/>
  <c r="B12" i="6"/>
  <c r="F12" i="6"/>
  <c r="J12" i="6"/>
  <c r="K12" i="6"/>
  <c r="N12" i="6"/>
  <c r="B13" i="6"/>
  <c r="C13" i="6"/>
  <c r="F13" i="6"/>
  <c r="J13" i="6"/>
  <c r="N13" i="6"/>
  <c r="O13" i="6"/>
  <c r="A25" i="6"/>
  <c r="E25" i="6"/>
  <c r="I25" i="6"/>
  <c r="B27" i="6"/>
  <c r="C27" i="6"/>
  <c r="F27" i="6"/>
  <c r="G27" i="6"/>
  <c r="J27" i="6"/>
  <c r="K27" i="6"/>
  <c r="N27" i="6"/>
  <c r="O27" i="6"/>
  <c r="B28" i="6"/>
  <c r="C28" i="6"/>
  <c r="F28" i="6"/>
  <c r="G28" i="6"/>
  <c r="J28" i="6"/>
  <c r="K28" i="6"/>
  <c r="N28" i="6"/>
  <c r="O28" i="6"/>
  <c r="B29" i="6"/>
  <c r="F29" i="6"/>
  <c r="G29" i="6"/>
  <c r="J29" i="6"/>
  <c r="N29" i="6"/>
  <c r="O29" i="6"/>
  <c r="A41" i="6"/>
  <c r="E41" i="6"/>
  <c r="B43" i="6"/>
  <c r="C43" i="6"/>
  <c r="F43" i="6"/>
  <c r="G43" i="6"/>
  <c r="B44" i="6"/>
  <c r="B45" i="6"/>
  <c r="F45" i="6"/>
  <c r="G45" i="6"/>
  <c r="N7" i="5"/>
  <c r="N8" i="5"/>
  <c r="O8" i="5"/>
  <c r="N9" i="5"/>
  <c r="O9" i="5"/>
  <c r="N10" i="5"/>
  <c r="O10" i="5"/>
  <c r="N11" i="5"/>
  <c r="O11" i="5"/>
  <c r="N12" i="5"/>
  <c r="N17" i="5"/>
  <c r="O12" i="5"/>
  <c r="N13" i="5"/>
  <c r="O13" i="5"/>
  <c r="N14" i="5"/>
  <c r="O14" i="5"/>
  <c r="N15" i="5"/>
  <c r="O15" i="5"/>
  <c r="N16" i="5"/>
  <c r="O16" i="5"/>
  <c r="L17" i="5"/>
  <c r="O17" i="5"/>
  <c r="M17" i="5"/>
  <c r="N5" i="4"/>
  <c r="O6" i="4"/>
  <c r="N7" i="4"/>
  <c r="O7" i="4"/>
  <c r="N8" i="4"/>
  <c r="O8" i="4"/>
  <c r="N11" i="4"/>
  <c r="O11" i="4"/>
  <c r="N12" i="4"/>
  <c r="O12" i="4"/>
  <c r="O14" i="4"/>
  <c r="N16" i="4"/>
  <c r="O16" i="4"/>
  <c r="O18" i="4"/>
  <c r="N19" i="4"/>
  <c r="O19" i="4"/>
  <c r="N20" i="4"/>
  <c r="O20" i="4"/>
  <c r="N23" i="4"/>
  <c r="O23" i="4"/>
  <c r="N24" i="4"/>
  <c r="O24" i="4"/>
  <c r="N27" i="4"/>
  <c r="O27" i="4"/>
  <c r="N31" i="4"/>
  <c r="O31" i="4"/>
  <c r="N32" i="4"/>
  <c r="O32" i="4"/>
  <c r="N33" i="4"/>
  <c r="O33" i="4"/>
  <c r="N36" i="4"/>
  <c r="O36" i="4"/>
  <c r="O39" i="4"/>
  <c r="N41" i="4"/>
  <c r="O41" i="4"/>
  <c r="N44" i="4"/>
  <c r="O44" i="4"/>
  <c r="N48" i="4"/>
  <c r="O48" i="4"/>
  <c r="N52" i="4"/>
  <c r="O52" i="4"/>
  <c r="N56" i="4"/>
  <c r="O56" i="4"/>
  <c r="O58" i="4"/>
  <c r="N60" i="4"/>
  <c r="O60" i="4"/>
  <c r="N61" i="4"/>
  <c r="O61" i="4"/>
  <c r="N64" i="4"/>
  <c r="O64" i="4"/>
  <c r="N65" i="4"/>
  <c r="O65" i="4"/>
  <c r="N68" i="4"/>
  <c r="O68" i="4"/>
  <c r="O76" i="4"/>
  <c r="O83" i="4"/>
  <c r="O85" i="4"/>
  <c r="N94" i="4"/>
  <c r="N101" i="4"/>
  <c r="O107" i="4"/>
  <c r="O123" i="4"/>
  <c r="N137" i="4"/>
  <c r="N139" i="4"/>
  <c r="N152" i="4"/>
  <c r="O161" i="4"/>
  <c r="N170" i="4"/>
  <c r="L187" i="4"/>
  <c r="Q19" i="3"/>
  <c r="S19" i="3"/>
  <c r="S20" i="3"/>
  <c r="Q22" i="3"/>
  <c r="S22" i="3"/>
  <c r="Q23" i="3"/>
  <c r="Q24" i="3"/>
  <c r="S23" i="3"/>
  <c r="O24" i="3"/>
  <c r="P24" i="3"/>
  <c r="N5" i="2"/>
  <c r="O5" i="2"/>
  <c r="N6" i="2"/>
  <c r="N7" i="2"/>
  <c r="N8" i="2"/>
  <c r="N9" i="2"/>
  <c r="P9" i="2"/>
  <c r="N10" i="2"/>
  <c r="M11" i="2"/>
  <c r="C17" i="7"/>
  <c r="E17" i="7"/>
  <c r="O75" i="53"/>
  <c r="O89" i="53"/>
  <c r="O51" i="53"/>
  <c r="O55" i="53"/>
  <c r="O43" i="53"/>
  <c r="O47" i="53"/>
  <c r="O95" i="53"/>
  <c r="O25" i="53"/>
  <c r="O83" i="53"/>
  <c r="O39" i="53"/>
  <c r="O76" i="53"/>
  <c r="O42" i="53"/>
  <c r="O91" i="53"/>
  <c r="O79" i="53"/>
  <c r="O87" i="53"/>
  <c r="O46" i="53"/>
  <c r="O67" i="53"/>
  <c r="O44" i="53"/>
  <c r="O73" i="53"/>
  <c r="O58" i="53"/>
  <c r="O59" i="53"/>
  <c r="O85" i="53"/>
  <c r="O24" i="53"/>
  <c r="O23" i="53"/>
  <c r="O65" i="53"/>
  <c r="O97" i="53"/>
  <c r="O27" i="53"/>
  <c r="L15" i="34"/>
  <c r="O133" i="4"/>
  <c r="N121" i="4"/>
  <c r="O166" i="4"/>
  <c r="O125" i="4"/>
  <c r="O109" i="4"/>
  <c r="N162" i="4"/>
  <c r="O144" i="4"/>
  <c r="N154" i="4"/>
  <c r="N141" i="4"/>
  <c r="O129" i="4"/>
  <c r="O113" i="4"/>
  <c r="O106" i="4"/>
  <c r="O88" i="4"/>
  <c r="N81" i="4"/>
  <c r="O145" i="4"/>
  <c r="N180" i="4"/>
  <c r="O35" i="4"/>
  <c r="N184" i="4"/>
  <c r="O105" i="4"/>
  <c r="O80" i="4"/>
  <c r="O163" i="4"/>
  <c r="N155" i="4"/>
  <c r="O138" i="4"/>
  <c r="O96" i="4"/>
  <c r="O49" i="4"/>
  <c r="O45" i="4"/>
  <c r="N146" i="4"/>
  <c r="N97" i="4"/>
  <c r="O93" i="4"/>
  <c r="O77" i="4"/>
  <c r="O167" i="4"/>
  <c r="O151" i="4"/>
  <c r="O126" i="4"/>
  <c r="O117" i="4"/>
  <c r="O92" i="4"/>
  <c r="O84" i="4"/>
  <c r="N171" i="4"/>
  <c r="O176" i="4"/>
  <c r="O73" i="4"/>
  <c r="O172" i="4"/>
  <c r="O160" i="4"/>
  <c r="N119" i="4"/>
  <c r="N177" i="4"/>
  <c r="O159" i="4"/>
  <c r="O156" i="4"/>
  <c r="O143" i="4"/>
  <c r="O131" i="4"/>
  <c r="O115" i="4"/>
  <c r="O99" i="4"/>
  <c r="O89" i="4"/>
  <c r="O72" i="4"/>
  <c r="O69" i="4"/>
  <c r="O57" i="4"/>
  <c r="O53" i="4"/>
  <c r="O40" i="4"/>
  <c r="N185" i="4"/>
  <c r="N135" i="4"/>
  <c r="N103" i="4"/>
  <c r="N181" i="4"/>
  <c r="N168" i="4"/>
  <c r="N127" i="4"/>
  <c r="N111" i="4"/>
  <c r="O182" i="4"/>
  <c r="O169" i="4"/>
  <c r="O164" i="4"/>
  <c r="O153" i="4"/>
  <c r="O147" i="4"/>
  <c r="O136" i="4"/>
  <c r="O91" i="4"/>
  <c r="O70" i="4"/>
  <c r="O37" i="4"/>
  <c r="O28" i="4"/>
  <c r="O15" i="4"/>
  <c r="O165" i="4"/>
  <c r="O149" i="4"/>
  <c r="O87" i="4"/>
  <c r="O100" i="4"/>
  <c r="O174" i="4"/>
  <c r="O157" i="4"/>
  <c r="O140" i="4"/>
  <c r="O95" i="4"/>
  <c r="O79" i="4"/>
  <c r="N15" i="4"/>
  <c r="O128" i="4"/>
  <c r="O124" i="4"/>
  <c r="O120" i="4"/>
  <c r="O116" i="4"/>
  <c r="O112" i="4"/>
  <c r="O108" i="4"/>
  <c r="O104" i="4"/>
  <c r="O75" i="4"/>
  <c r="O71" i="4"/>
  <c r="O67" i="4"/>
  <c r="O63" i="4"/>
  <c r="O59" i="4"/>
  <c r="O55" i="4"/>
  <c r="O51" i="4"/>
  <c r="O47" i="4"/>
  <c r="O42" i="4"/>
  <c r="O25" i="4"/>
  <c r="O21" i="4"/>
  <c r="O17" i="4"/>
  <c r="O13" i="4"/>
  <c r="O9" i="4"/>
  <c r="O132" i="4"/>
  <c r="O186" i="4"/>
  <c r="O178" i="4"/>
  <c r="G44" i="6"/>
  <c r="G13" i="6"/>
  <c r="B28" i="34"/>
  <c r="S21" i="3"/>
  <c r="Q20" i="3"/>
  <c r="N11" i="12"/>
  <c r="O11" i="12"/>
  <c r="O16" i="11"/>
  <c r="N27" i="12"/>
  <c r="O27" i="12"/>
  <c r="O15" i="11"/>
  <c r="O11" i="11"/>
  <c r="M17" i="11"/>
  <c r="B11" i="12"/>
  <c r="C11" i="12"/>
  <c r="O7" i="11"/>
  <c r="J11" i="12"/>
  <c r="K12" i="12"/>
  <c r="AF38" i="53"/>
  <c r="AG38" i="53"/>
  <c r="G45" i="18"/>
  <c r="G19" i="34"/>
  <c r="B27" i="34"/>
  <c r="K29" i="6"/>
  <c r="K12" i="18"/>
  <c r="B30" i="34"/>
  <c r="C45" i="6"/>
  <c r="O12" i="6"/>
  <c r="G12" i="6"/>
  <c r="C12" i="6"/>
  <c r="C29" i="6"/>
  <c r="G44" i="18"/>
  <c r="G13" i="18"/>
  <c r="O28" i="18"/>
  <c r="N37" i="16"/>
  <c r="P14" i="16"/>
  <c r="P18" i="16"/>
  <c r="P16" i="16"/>
  <c r="P27" i="16"/>
  <c r="P8" i="16"/>
  <c r="P12" i="16"/>
  <c r="P28" i="16"/>
  <c r="P25" i="16"/>
  <c r="P31" i="16"/>
  <c r="P20" i="16"/>
  <c r="P17" i="16"/>
  <c r="P13" i="16"/>
  <c r="P7" i="16"/>
  <c r="P26" i="16"/>
  <c r="P30" i="16"/>
  <c r="P33" i="16"/>
  <c r="P34" i="16"/>
  <c r="P11" i="16"/>
  <c r="P10" i="16"/>
  <c r="P36" i="16"/>
  <c r="P24" i="16"/>
  <c r="P22" i="16"/>
  <c r="P35" i="16"/>
  <c r="AG27" i="53"/>
  <c r="F31" i="34"/>
  <c r="P9" i="34"/>
  <c r="C20" i="34"/>
  <c r="O12" i="18"/>
  <c r="G12" i="18"/>
  <c r="C44" i="18"/>
  <c r="G29" i="18"/>
  <c r="P21" i="16"/>
  <c r="K29" i="12"/>
  <c r="C44" i="12"/>
  <c r="F17" i="7"/>
  <c r="C44" i="6"/>
  <c r="O46" i="4"/>
  <c r="O86" i="4"/>
  <c r="O82" i="4"/>
  <c r="O22" i="4"/>
  <c r="O175" i="4"/>
  <c r="O74" i="4"/>
  <c r="O179" i="4"/>
  <c r="O158" i="4"/>
  <c r="O150" i="4"/>
  <c r="N54" i="4"/>
  <c r="O34" i="4"/>
  <c r="N90" i="4"/>
  <c r="O66" i="4"/>
  <c r="O26" i="4"/>
  <c r="O10" i="4"/>
  <c r="N183" i="4"/>
  <c r="O78" i="4"/>
  <c r="AF33" i="53"/>
  <c r="AF27" i="53"/>
  <c r="AF39" i="53"/>
  <c r="AF47" i="53"/>
  <c r="B19" i="53"/>
  <c r="B18" i="53"/>
  <c r="O13" i="12"/>
  <c r="O12" i="12"/>
  <c r="K11" i="12"/>
  <c r="C45" i="12"/>
  <c r="G28" i="12"/>
  <c r="O17" i="11"/>
  <c r="G29" i="12"/>
  <c r="B12" i="12"/>
  <c r="G27" i="12"/>
  <c r="K28" i="12"/>
  <c r="O28" i="12"/>
  <c r="C12" i="12"/>
  <c r="N11" i="2"/>
  <c r="P11" i="2"/>
  <c r="P8" i="2"/>
  <c r="P10" i="2"/>
  <c r="P7" i="2"/>
  <c r="AG47" i="53"/>
  <c r="N99" i="53"/>
  <c r="P36" i="53"/>
  <c r="P55" i="53"/>
  <c r="P28" i="53"/>
  <c r="P46" i="53"/>
  <c r="P83" i="53"/>
  <c r="P82" i="53"/>
  <c r="P50" i="53"/>
  <c r="P52" i="53"/>
  <c r="P94" i="53"/>
  <c r="P47" i="53"/>
  <c r="P67" i="53"/>
  <c r="P57" i="53"/>
  <c r="P91" i="53"/>
  <c r="P42" i="53"/>
  <c r="P59" i="53"/>
  <c r="P95" i="53"/>
  <c r="P25" i="53"/>
  <c r="P75" i="53"/>
  <c r="P84" i="53"/>
  <c r="P51" i="53"/>
  <c r="P72" i="53"/>
  <c r="P74" i="53"/>
  <c r="P62" i="53"/>
  <c r="P61" i="53"/>
  <c r="P41" i="53"/>
  <c r="P29" i="53"/>
  <c r="P45" i="53"/>
  <c r="P40" i="53"/>
  <c r="P70" i="53"/>
  <c r="P87" i="53"/>
  <c r="P92" i="53"/>
  <c r="P22" i="53"/>
  <c r="G65" i="34"/>
  <c r="D65" i="34"/>
  <c r="H65" i="34"/>
  <c r="N10" i="34"/>
  <c r="N15" i="34"/>
  <c r="Q8" i="34"/>
  <c r="Q13" i="34"/>
  <c r="Q6" i="34"/>
  <c r="Q7" i="34"/>
  <c r="B31" i="34"/>
  <c r="C21" i="34"/>
  <c r="C28" i="18"/>
  <c r="O17" i="17"/>
  <c r="C13" i="18"/>
  <c r="K29" i="18"/>
  <c r="N17" i="17"/>
  <c r="K28" i="18"/>
  <c r="P23" i="16"/>
  <c r="P6" i="16"/>
  <c r="P9" i="16"/>
  <c r="P15" i="16"/>
  <c r="P19" i="16"/>
  <c r="P29" i="16"/>
  <c r="O29" i="12"/>
  <c r="C29" i="12"/>
  <c r="G12" i="12"/>
  <c r="P26" i="9"/>
  <c r="P18" i="9"/>
  <c r="P43" i="9"/>
  <c r="P21" i="9"/>
  <c r="P70" i="9"/>
  <c r="P22" i="9"/>
  <c r="P50" i="9"/>
  <c r="P71" i="9"/>
  <c r="P24" i="9"/>
  <c r="P64" i="9"/>
  <c r="P44" i="9"/>
  <c r="P51" i="9"/>
  <c r="P69" i="9"/>
  <c r="P19" i="9"/>
  <c r="P53" i="9"/>
  <c r="P6" i="9"/>
  <c r="P34" i="9"/>
  <c r="P60" i="9"/>
  <c r="P68" i="9"/>
  <c r="P23" i="9"/>
  <c r="P30" i="9"/>
  <c r="P47" i="9"/>
  <c r="P28" i="9"/>
  <c r="P66" i="9"/>
  <c r="P67" i="9"/>
  <c r="P41" i="9"/>
  <c r="P65" i="9"/>
  <c r="P56" i="9"/>
  <c r="P59" i="9"/>
  <c r="P20" i="9"/>
  <c r="P36" i="9"/>
  <c r="P48" i="9"/>
  <c r="P7" i="9"/>
  <c r="P31" i="9"/>
  <c r="P63" i="9"/>
  <c r="P14" i="9"/>
  <c r="P25" i="9"/>
  <c r="P5" i="9"/>
  <c r="P46" i="9"/>
  <c r="P9" i="9"/>
  <c r="P11" i="9"/>
  <c r="P62" i="9"/>
  <c r="P54" i="9"/>
  <c r="P12" i="9"/>
  <c r="P40" i="9"/>
  <c r="P61" i="9"/>
  <c r="P29" i="9"/>
  <c r="P17" i="9"/>
  <c r="P10" i="9"/>
  <c r="P39" i="9"/>
  <c r="P42" i="9"/>
  <c r="P27" i="9"/>
  <c r="P15" i="9"/>
  <c r="P52" i="9"/>
  <c r="P13" i="9"/>
  <c r="P55" i="9"/>
  <c r="P35" i="9"/>
  <c r="P57" i="9"/>
  <c r="P49" i="9"/>
  <c r="P45" i="9"/>
  <c r="P37" i="9"/>
  <c r="P33" i="9"/>
  <c r="P16" i="9"/>
  <c r="P32" i="9"/>
  <c r="P58" i="9"/>
  <c r="P38" i="9"/>
  <c r="P8" i="9"/>
  <c r="K13" i="6"/>
  <c r="R20" i="3"/>
  <c r="R21" i="3"/>
  <c r="R22" i="3"/>
  <c r="R19" i="3"/>
  <c r="R24" i="3"/>
  <c r="R23" i="3"/>
  <c r="P79" i="53"/>
  <c r="P98" i="53"/>
  <c r="P77" i="53"/>
  <c r="P48" i="53"/>
  <c r="P93" i="53"/>
  <c r="P89" i="53"/>
  <c r="P53" i="53"/>
  <c r="P78" i="53"/>
  <c r="P34" i="53"/>
  <c r="P33" i="53"/>
  <c r="P66" i="53"/>
  <c r="P24" i="53"/>
  <c r="P68" i="53"/>
  <c r="P26" i="53"/>
  <c r="P90" i="53"/>
  <c r="P38" i="53"/>
  <c r="P56" i="53"/>
  <c r="P32" i="53"/>
  <c r="P76" i="53"/>
  <c r="P31" i="53"/>
  <c r="P71" i="53"/>
  <c r="P54" i="53"/>
  <c r="P37" i="53"/>
  <c r="P35" i="53"/>
  <c r="P86" i="53"/>
  <c r="P80" i="53"/>
  <c r="P85" i="53"/>
  <c r="P81" i="53"/>
  <c r="P64" i="53"/>
  <c r="P96" i="53"/>
  <c r="P58" i="53"/>
  <c r="P97" i="53"/>
  <c r="P23" i="53"/>
  <c r="P73" i="53"/>
  <c r="P44" i="53"/>
  <c r="P39" i="53"/>
  <c r="P30" i="53"/>
  <c r="P88" i="53"/>
  <c r="P65" i="53"/>
  <c r="P60" i="53"/>
  <c r="P69" i="53"/>
  <c r="P49" i="53"/>
  <c r="P63" i="53"/>
  <c r="P27" i="53"/>
  <c r="P43" i="53"/>
  <c r="P99" i="53"/>
  <c r="Q10" i="34"/>
  <c r="Q15" i="34"/>
  <c r="P37" i="16"/>
  <c r="P72" i="9"/>
  <c r="N187" i="4"/>
  <c r="P157" i="4" s="1"/>
  <c r="P127" i="4"/>
  <c r="P140" i="4"/>
  <c r="P165" i="4"/>
  <c r="P104" i="4"/>
  <c r="P38" i="4"/>
  <c r="P67" i="4"/>
  <c r="P162" i="4"/>
  <c r="P46" i="4"/>
  <c r="P17" i="4"/>
  <c r="P9" i="4"/>
  <c r="P78" i="4"/>
  <c r="P120" i="4"/>
  <c r="P72" i="4"/>
  <c r="P169" i="4"/>
  <c r="P131" i="4"/>
  <c r="P81" i="4"/>
  <c r="P118" i="4"/>
  <c r="P149" i="4"/>
  <c r="P45" i="4"/>
  <c r="P16" i="4"/>
  <c r="P89" i="4"/>
  <c r="P74" i="4"/>
  <c r="P146" i="4"/>
  <c r="P147" i="4"/>
  <c r="P164" i="4"/>
  <c r="P135" i="4"/>
  <c r="P48" i="4"/>
  <c r="P47" i="4"/>
  <c r="P133" i="4"/>
  <c r="P176" i="4"/>
  <c r="P30" i="4"/>
  <c r="P71" i="4"/>
  <c r="P184" i="4"/>
  <c r="P69" i="4"/>
  <c r="P111" i="4"/>
  <c r="P70" i="4"/>
  <c r="P22" i="4"/>
  <c r="P134" i="4"/>
  <c r="P119" i="4"/>
  <c r="P29" i="4"/>
  <c r="P159" i="4"/>
  <c r="P90" i="4"/>
  <c r="P114" i="4"/>
  <c r="P50" i="4"/>
  <c r="P32" i="4"/>
  <c r="P82" i="4"/>
  <c r="P97" i="4"/>
  <c r="P102" i="4"/>
  <c r="P10" i="4"/>
  <c r="P52" i="4"/>
  <c r="P75" i="4"/>
  <c r="P33" i="4"/>
  <c r="P124" i="4"/>
  <c r="P144" i="4"/>
  <c r="P76" i="4"/>
  <c r="P28" i="4"/>
  <c r="P129" i="4"/>
  <c r="P108" i="4"/>
  <c r="P31" i="4"/>
  <c r="P86" i="4"/>
  <c r="P126" i="4"/>
  <c r="P154" i="4"/>
  <c r="P57" i="4"/>
  <c r="P27" i="4"/>
  <c r="P24" i="4"/>
  <c r="P130" i="4"/>
  <c r="P138" i="4"/>
  <c r="P37" i="4"/>
  <c r="P25" i="4"/>
  <c r="P113" i="4"/>
  <c r="P73" i="4"/>
  <c r="P79" i="4"/>
  <c r="P13" i="4"/>
  <c r="P163" i="4"/>
  <c r="P116" i="4"/>
  <c r="P15" i="4"/>
  <c r="P143" i="4"/>
  <c r="P103" i="4"/>
  <c r="P175" i="4"/>
  <c r="P88" i="4"/>
  <c r="P107" i="4"/>
  <c r="P23" i="4"/>
  <c r="P182" i="4"/>
  <c r="P128" i="4"/>
  <c r="P35" i="4"/>
  <c r="P145" i="4"/>
  <c r="P80" i="4"/>
  <c r="P11" i="4"/>
  <c r="P95" i="4"/>
  <c r="P181" i="4"/>
  <c r="P123" i="4"/>
  <c r="P36" i="4"/>
  <c r="P161" i="4"/>
  <c r="P110" i="4"/>
  <c r="P121" i="4"/>
  <c r="P98" i="4"/>
  <c r="P49" i="4"/>
  <c r="P19" i="4"/>
  <c r="P132" i="4"/>
  <c r="P87" i="4"/>
  <c r="P166" i="4"/>
  <c r="P148" i="4"/>
  <c r="P139" i="4"/>
  <c r="P100" i="4"/>
  <c r="P85" i="4"/>
  <c r="P177" i="4"/>
  <c r="P115" i="4"/>
  <c r="P26" i="4"/>
  <c r="P65" i="4"/>
  <c r="P168" i="4"/>
  <c r="P60" i="4"/>
  <c r="P185" i="4"/>
  <c r="P39" i="4"/>
  <c r="P96" i="4"/>
  <c r="P136" i="4"/>
  <c r="P172" i="4"/>
  <c r="P94" i="4"/>
  <c r="P83" i="4"/>
  <c r="P156" i="4"/>
  <c r="P155" i="4"/>
  <c r="P64" i="4" l="1"/>
  <c r="P84" i="4"/>
  <c r="P180" i="4"/>
  <c r="P6" i="4"/>
  <c r="P179" i="4"/>
  <c r="P170" i="4"/>
  <c r="P7" i="4"/>
  <c r="P187" i="4"/>
  <c r="P20" i="4"/>
  <c r="P173" i="4"/>
  <c r="P122" i="4"/>
  <c r="P178" i="4"/>
  <c r="P59" i="4"/>
  <c r="P18" i="4"/>
  <c r="P62" i="4"/>
  <c r="P105" i="4"/>
  <c r="P186" i="4"/>
  <c r="P151" i="4"/>
  <c r="P5" i="4"/>
  <c r="P141" i="4"/>
  <c r="P21" i="4"/>
  <c r="P150" i="4"/>
  <c r="P101" i="4"/>
  <c r="P99" i="4"/>
  <c r="P51" i="4"/>
  <c r="P14" i="4"/>
  <c r="P43" i="4"/>
  <c r="P152" i="4"/>
  <c r="P54" i="4"/>
  <c r="P41" i="4"/>
  <c r="P56" i="4"/>
  <c r="P55" i="4"/>
  <c r="P91" i="4"/>
  <c r="P58" i="4"/>
  <c r="P117" i="4"/>
  <c r="P8" i="4"/>
  <c r="P77" i="4"/>
  <c r="P42" i="4"/>
  <c r="P106" i="4"/>
  <c r="P160" i="4"/>
  <c r="P93" i="4"/>
  <c r="P12" i="4"/>
  <c r="P61" i="4"/>
  <c r="P137" i="4"/>
  <c r="P142" i="4"/>
  <c r="P40" i="4"/>
  <c r="P44" i="4"/>
  <c r="P68" i="4"/>
  <c r="P171" i="4"/>
  <c r="P167" i="4"/>
  <c r="P63" i="4"/>
  <c r="P153" i="4"/>
  <c r="P66" i="4"/>
  <c r="P112" i="4"/>
  <c r="P125" i="4"/>
  <c r="P183" i="4"/>
  <c r="P34" i="4"/>
  <c r="P174" i="4"/>
  <c r="P92" i="4"/>
  <c r="P53" i="4"/>
  <c r="P158" i="4"/>
  <c r="P109" i="4"/>
</calcChain>
</file>

<file path=xl/sharedStrings.xml><?xml version="1.0" encoding="utf-8"?>
<sst xmlns="http://schemas.openxmlformats.org/spreadsheetml/2006/main" count="900" uniqueCount="447">
  <si>
    <t>Controladoria Geral do Município - Ouvidoria Geral</t>
  </si>
  <si>
    <t>SIGRC - Sistema Integrado de Gerenciamento e Relacionamento com o Cidadão</t>
  </si>
  <si>
    <t>ATENDIMENTOS</t>
  </si>
  <si>
    <t>Total</t>
  </si>
  <si>
    <t>Média</t>
  </si>
  <si>
    <t>%Total</t>
  </si>
  <si>
    <t>TOTAL</t>
  </si>
  <si>
    <t>Meses</t>
  </si>
  <si>
    <t>Variação*</t>
  </si>
  <si>
    <t>* Variação percentual em relação ao mês imediatamente anterior.</t>
  </si>
  <si>
    <t>Tipo de manifestação</t>
  </si>
  <si>
    <t>Denúncia</t>
  </si>
  <si>
    <t>Elogio</t>
  </si>
  <si>
    <t>Reclamação</t>
  </si>
  <si>
    <t>Solicitação</t>
  </si>
  <si>
    <t>Sugestão</t>
  </si>
  <si>
    <t>Total Geral</t>
  </si>
  <si>
    <t>ASSUNTO (Guia Portal 156)*</t>
  </si>
  <si>
    <t>% Total</t>
  </si>
  <si>
    <t>Acessibilidade</t>
  </si>
  <si>
    <t>Acessibilidade em edificações</t>
  </si>
  <si>
    <t xml:space="preserve">Alimentação escolar </t>
  </si>
  <si>
    <t>Alistamento e Serviço Militar</t>
  </si>
  <si>
    <t>Animais que podem causar doenças e/ou agravos à saúde</t>
  </si>
  <si>
    <t>Animais silvestres</t>
  </si>
  <si>
    <t>Animal agressor e/ou invasor</t>
  </si>
  <si>
    <t>Animal em via pública</t>
  </si>
  <si>
    <t>Apoio à aprendizagem</t>
  </si>
  <si>
    <t>Apoio terapêutico</t>
  </si>
  <si>
    <t>Áreas contaminadas</t>
  </si>
  <si>
    <t>Áreas municipais</t>
  </si>
  <si>
    <t>Árvore</t>
  </si>
  <si>
    <t>Assistência a saúde na urgência e emergência (portas)</t>
  </si>
  <si>
    <t>Assistência domiciliar</t>
  </si>
  <si>
    <t>Assistência farmacêutica</t>
  </si>
  <si>
    <t>Auxílio Aluguel</t>
  </si>
  <si>
    <t>Bicicleta</t>
  </si>
  <si>
    <t>Bilhete único</t>
  </si>
  <si>
    <t>Boletim e frequência escolar</t>
  </si>
  <si>
    <t>Bolsa Primeira Infância</t>
  </si>
  <si>
    <t>Buraco e pavimentação</t>
  </si>
  <si>
    <t>Cadastro Municipal de Vigilância em Saúde - CMVS</t>
  </si>
  <si>
    <t>Cadastro Único (CadÚnico)</t>
  </si>
  <si>
    <t>CADIN - Cadastro Informativo Municipal</t>
  </si>
  <si>
    <t>Calçadas, guias e postes</t>
  </si>
  <si>
    <t>Capinação e roçada de áreas verdes</t>
  </si>
  <si>
    <t>Carga e frete</t>
  </si>
  <si>
    <t>Carro híbrido</t>
  </si>
  <si>
    <t>CCM - Cadastro de Contribuintes Mobiliários</t>
  </si>
  <si>
    <t>Cemitérios</t>
  </si>
  <si>
    <t>Central 156</t>
  </si>
  <si>
    <t>Centro de Apoio ao Trabalho e Empreendedorismo - CATe</t>
  </si>
  <si>
    <t>Centros de Referência, Convivência e Desenvolvimento</t>
  </si>
  <si>
    <t>Centros esportivos</t>
  </si>
  <si>
    <t>Certidão Ambiental</t>
  </si>
  <si>
    <t>Certidões</t>
  </si>
  <si>
    <t>Cirurgias</t>
  </si>
  <si>
    <t>COHAB</t>
  </si>
  <si>
    <t>Coleta de lixo domiciliar</t>
  </si>
  <si>
    <t>Coleta de resíduos de serviços de saúde</t>
  </si>
  <si>
    <t>Coleta seletiva</t>
  </si>
  <si>
    <t>Comida de rua e foodtruck</t>
  </si>
  <si>
    <t>Condições sanitárias inadequadas</t>
  </si>
  <si>
    <t>Conduta de funcionário da CET</t>
  </si>
  <si>
    <t>Conduta de funcionários</t>
  </si>
  <si>
    <t>Consulta de débitos e DUC</t>
  </si>
  <si>
    <t>Consultas médicas</t>
  </si>
  <si>
    <t>CPOM - cadastro de prestadores de serviços de outro município</t>
  </si>
  <si>
    <t>Criação inadequada de animais</t>
  </si>
  <si>
    <t>Criança e adolescente</t>
  </si>
  <si>
    <t>Defesa civil</t>
  </si>
  <si>
    <t>Dengue/chikungunya/zika (mosquito aedes aegypti)</t>
  </si>
  <si>
    <t>Dívida Ativa</t>
  </si>
  <si>
    <t>Documentações de edificações</t>
  </si>
  <si>
    <t>Drenagem de água de chuva</t>
  </si>
  <si>
    <t xml:space="preserve">Ecoponto </t>
  </si>
  <si>
    <t>Elevador, escada rolante, esteira rolante, plataforma de elevação</t>
  </si>
  <si>
    <t>Empreenda fácil</t>
  </si>
  <si>
    <t>Esgoto e água usada</t>
  </si>
  <si>
    <t>Estabelecimentos comerciais, indústrias e serviços</t>
  </si>
  <si>
    <t>Eventos</t>
  </si>
  <si>
    <t>Exames médicos</t>
  </si>
  <si>
    <t>Exumação e translado/transferência de corpos</t>
  </si>
  <si>
    <t>Feira livre</t>
  </si>
  <si>
    <t>Ferro velho</t>
  </si>
  <si>
    <t>Fiscalização de obras</t>
  </si>
  <si>
    <t>Grande gerador de resíduos (serviço, comércio, indústria)</t>
  </si>
  <si>
    <t>Guias rebaixadas</t>
  </si>
  <si>
    <t>Habite-se</t>
  </si>
  <si>
    <t>Homenagem fúnebre, velório, sepultamento e cremação</t>
  </si>
  <si>
    <t>Hospital veterinário público</t>
  </si>
  <si>
    <t>IPTU - Imposto Predial e Territorial Urbano</t>
  </si>
  <si>
    <t>Leve leite</t>
  </si>
  <si>
    <t>Licenciamento Ambiental</t>
  </si>
  <si>
    <t>Lixeiras públicas</t>
  </si>
  <si>
    <t>Locais com lotação superior a 250 pessoas (cinemas, teatros, casas de shows)</t>
  </si>
  <si>
    <t>Material e uniforme escolar</t>
  </si>
  <si>
    <t>Matrícula e transferência escolar</t>
  </si>
  <si>
    <t>Mediação de conflitos</t>
  </si>
  <si>
    <t>Medicamento de controle especial</t>
  </si>
  <si>
    <t xml:space="preserve">Mercados e Sacolões </t>
  </si>
  <si>
    <t>Microempreendedor Individual - MEI</t>
  </si>
  <si>
    <t>Multa ambiental</t>
  </si>
  <si>
    <t>Multas de trânsito</t>
  </si>
  <si>
    <t>Multas e contestações</t>
  </si>
  <si>
    <t>Numeração de imóveis</t>
  </si>
  <si>
    <t>Obras no viário</t>
  </si>
  <si>
    <t>Ocupação irregular</t>
  </si>
  <si>
    <t>Parques</t>
  </si>
  <si>
    <t>Pessoa idosa</t>
  </si>
  <si>
    <t>Placas com nome de rua</t>
  </si>
  <si>
    <t>Planetário</t>
  </si>
  <si>
    <t>Poluição do ar</t>
  </si>
  <si>
    <t>Poluição sonora - PSIU</t>
  </si>
  <si>
    <t>Ponto viciado, entulho e caçamba de entulho</t>
  </si>
  <si>
    <t>Portal SP156</t>
  </si>
  <si>
    <t>Praças</t>
  </si>
  <si>
    <t>Precatórios</t>
  </si>
  <si>
    <t>Programa Bolsa Família</t>
  </si>
  <si>
    <t>Programa Renda Mínima</t>
  </si>
  <si>
    <t>Publicidade e poluição visual</t>
  </si>
  <si>
    <t>Reciclagem</t>
  </si>
  <si>
    <t>Registro de animais - RGA</t>
  </si>
  <si>
    <t>Remoção de grandes objetos</t>
  </si>
  <si>
    <t>Reparação de danos</t>
  </si>
  <si>
    <t>Rios e córregos</t>
  </si>
  <si>
    <t>Ruas, vilas, vielas e escadarias</t>
  </si>
  <si>
    <t>SAV - Solução de Atendimento Eletrônico</t>
  </si>
  <si>
    <t>Seguro desemprego</t>
  </si>
  <si>
    <t>Segurança de edificação</t>
  </si>
  <si>
    <t>Senha Web</t>
  </si>
  <si>
    <t>Serviços de apoio terapêutico</t>
  </si>
  <si>
    <t>Sinalização e Circulação de veículos e Pedestres</t>
  </si>
  <si>
    <t>Solicitação de callback durante atendimento receptivo</t>
  </si>
  <si>
    <t>Taxas mobiliárias</t>
  </si>
  <si>
    <t>Terrenos e imóveis</t>
  </si>
  <si>
    <t>Transporte Escolar</t>
  </si>
  <si>
    <t>Urgências e Emergências</t>
  </si>
  <si>
    <t>Vacinação</t>
  </si>
  <si>
    <t>Varrição e limpeza urbana</t>
  </si>
  <si>
    <t>Veículos abandonados</t>
  </si>
  <si>
    <t>WiFi Livre SP</t>
  </si>
  <si>
    <t xml:space="preserve">* Em decorrência da troca de sistema ocorrida em Dez/2016, a metodologia atualmente aplicada para a classificação dos assuntos é a Guia de Serviços do Portal 156.  
</t>
  </si>
  <si>
    <t>**Os assunto "colmeia e vespeiro, pernilongo e mosquito"  passou a ser classificado como um serviço dentro do assunto "animais que podem causar doenças e agravos à saúde"  no portal 156 a partir de maio/2018</t>
  </si>
  <si>
    <t>***Os protocolos classificadas como assunto não especificado, são reclamações recebidas no sistema sem que se tenha o registro do assunto demandado.</t>
  </si>
  <si>
    <t>****Em decorrência a atualização da Guia de Serviços no Portal 156, o serviço "Matricula e transferência"  passou a ser classificado como assunto a partir de Julho/2018</t>
  </si>
  <si>
    <t>Unidades PMSP</t>
  </si>
  <si>
    <t>Outros</t>
  </si>
  <si>
    <t>%total</t>
  </si>
  <si>
    <t>*Protocolos - valores absolutos do mês</t>
  </si>
  <si>
    <t>** Variação percentual em relação ao mês imediatamente anterior.</t>
  </si>
  <si>
    <t>Protocolos*</t>
  </si>
  <si>
    <t>Variação**</t>
  </si>
  <si>
    <t>Assuntos - 10 mais demandados dos 3 últimos meses (Média)</t>
  </si>
  <si>
    <t>Secretaria do Governo Municipal</t>
  </si>
  <si>
    <t>Procuradoria Geral do Município</t>
  </si>
  <si>
    <t>Secretaria Municipal da Fazenda</t>
  </si>
  <si>
    <t>Secretaria Municipal da Pessoa com Deficiência</t>
  </si>
  <si>
    <t>Secretaria Municipal da Saúde</t>
  </si>
  <si>
    <t>Secretaria Municipal de Assistência e Desenvolvimento Social</t>
  </si>
  <si>
    <t>Secretaria Municipal de Cultura</t>
  </si>
  <si>
    <t>Secretaria Municipal de Direitos Humanos e Cidadania</t>
  </si>
  <si>
    <t>Secretaria Municipal de Educação</t>
  </si>
  <si>
    <t>Secretaria Municipal de Esportes e Lazer</t>
  </si>
  <si>
    <t>Secretaria Municipal de Habitação</t>
  </si>
  <si>
    <t>Secretaria Municipal de Inovação e Tecnologia</t>
  </si>
  <si>
    <t>Secretaria Municipal de Justiça</t>
  </si>
  <si>
    <t>Secretaria Municipal de Segurança Urbana</t>
  </si>
  <si>
    <t>Secretaria Municipal do Verde e Meio Ambiente</t>
  </si>
  <si>
    <t>Subprefeitura Butantã</t>
  </si>
  <si>
    <t>Subprefeitura Campo Limpo</t>
  </si>
  <si>
    <t>Subprefeitura Capela do Socorro</t>
  </si>
  <si>
    <t>Subprefeitura Casa Verde</t>
  </si>
  <si>
    <t>Subprefeitura Cidade Ademar</t>
  </si>
  <si>
    <t>Subprefeitura Cidade Tiradentes</t>
  </si>
  <si>
    <t>Subprefeitura Ermelino Matarazzo</t>
  </si>
  <si>
    <t>Subprefeitura Freguesia/Brasilândia</t>
  </si>
  <si>
    <t>Subprefeitura Guaianases</t>
  </si>
  <si>
    <t>Subprefeitura Ipiranga</t>
  </si>
  <si>
    <t>Subprefeitura Itaim Paulista</t>
  </si>
  <si>
    <t>Subprefeitura Itaquera</t>
  </si>
  <si>
    <t>Subprefeitura Jabaquara</t>
  </si>
  <si>
    <t>Subprefeitura Jaçanã/Tremembé</t>
  </si>
  <si>
    <t>Subprefeitura Lapa</t>
  </si>
  <si>
    <t>Subprefeitura M'Boi Mirim</t>
  </si>
  <si>
    <t>Subprefeitura Mooca</t>
  </si>
  <si>
    <t>Subprefeitura Parelheiros</t>
  </si>
  <si>
    <t>Subprefeitura Penha</t>
  </si>
  <si>
    <t>Subprefeitura Perus</t>
  </si>
  <si>
    <t>Subprefeitura Pinheiros</t>
  </si>
  <si>
    <t>Subprefeitura Pirituba/Jaraguá</t>
  </si>
  <si>
    <t>Subprefeitura Santana/Tucuruvi</t>
  </si>
  <si>
    <t>Subprefeitura Santo Amaro</t>
  </si>
  <si>
    <t>Subprefeitura São Mateus</t>
  </si>
  <si>
    <t>Subprefeitura São Miguel Paulista</t>
  </si>
  <si>
    <t>Subprefeitura Sapopemba</t>
  </si>
  <si>
    <t>Subprefeitura Sé</t>
  </si>
  <si>
    <t>Subprefeitura Vila Maria/Vila Guilherme</t>
  </si>
  <si>
    <t>Subprefeitura Vila Mariana</t>
  </si>
  <si>
    <t>Subprefeitura Vila Prudente</t>
  </si>
  <si>
    <t>Companhia Metropolitana de Habitação - COHAB</t>
  </si>
  <si>
    <t>Órgão externo</t>
  </si>
  <si>
    <t>Unidades - 10 mais demandadas dos 3 últimos meses (Média)</t>
  </si>
  <si>
    <t xml:space="preserve">Total </t>
  </si>
  <si>
    <t>Deferidas</t>
  </si>
  <si>
    <t>Denúncias</t>
  </si>
  <si>
    <t>Reclassificadas</t>
  </si>
  <si>
    <t>Lei Aldir Blanc - apoio emergencial a cultura</t>
  </si>
  <si>
    <t>RBE - Regularizar situação do RG ou RNE</t>
  </si>
  <si>
    <t>Renda Básica Emergencial</t>
  </si>
  <si>
    <t>Pedidos e-SIC</t>
  </si>
  <si>
    <t>Carta</t>
  </si>
  <si>
    <t>Central SP156</t>
  </si>
  <si>
    <t>E-mail</t>
  </si>
  <si>
    <t>Presencial</t>
  </si>
  <si>
    <t>Encaminhamento de outros órgãos (Processo SEI, Memorando, Ofício, etc.)</t>
  </si>
  <si>
    <t>Portal</t>
  </si>
  <si>
    <t>Não identificado</t>
  </si>
  <si>
    <t>Média anual</t>
  </si>
  <si>
    <t>Protocolos</t>
  </si>
  <si>
    <t>Adoção de animais</t>
  </si>
  <si>
    <t>Água subterrânea/Curso d'água</t>
  </si>
  <si>
    <t>Eutanásia</t>
  </si>
  <si>
    <t>Heliponto</t>
  </si>
  <si>
    <t>Não identificado***</t>
  </si>
  <si>
    <t>Ônibus</t>
  </si>
  <si>
    <t>Patrimônio histórico e cultural</t>
  </si>
  <si>
    <t>Ponto de ônibus</t>
  </si>
  <si>
    <t>Secretaria Municipal das Subprefeituras</t>
  </si>
  <si>
    <t>Secretaria Municipal de Infraestrutura Urbana e Obras</t>
  </si>
  <si>
    <t>Companhia de Engenharia de Tráfego - CET</t>
  </si>
  <si>
    <t>São Paulo Transportes - SPTRANS</t>
  </si>
  <si>
    <t>Serviço Funerário do Município de São Paulo - SFMSP</t>
  </si>
  <si>
    <t>% Total dentre as subprefeituras</t>
  </si>
  <si>
    <t>Total denúncias</t>
  </si>
  <si>
    <t>Indeferidas</t>
  </si>
  <si>
    <t>Canceladas</t>
  </si>
  <si>
    <t>Assédio moral</t>
  </si>
  <si>
    <t>Assédio sexual</t>
  </si>
  <si>
    <t>Conduta inadequada de funcionário(a) público(a)</t>
  </si>
  <si>
    <t>Desvio de verbas, materiais e bens públicos</t>
  </si>
  <si>
    <t>Ilegalidade na gestão pública</t>
  </si>
  <si>
    <t>Irregularidade da contratação e/ou gestão de serviço público</t>
  </si>
  <si>
    <t>Total indeferidas</t>
  </si>
  <si>
    <t>Total deferidas</t>
  </si>
  <si>
    <t>Secretaria de Relações Institucionais</t>
  </si>
  <si>
    <t>Secretaria Municipal de Urbanismo e Licenciamento*</t>
  </si>
  <si>
    <t>*Em 2021 ILUME passou para a competencia de SMUL</t>
  </si>
  <si>
    <t>Acessibilidade digital</t>
  </si>
  <si>
    <t>Programa Operação Trabalho - POT</t>
  </si>
  <si>
    <t>Organizações da Sociedade Civil</t>
  </si>
  <si>
    <t>Programa Renda Cidadã</t>
  </si>
  <si>
    <t>Casa Civil</t>
  </si>
  <si>
    <t>Denúncias* (exceto canceladas)</t>
  </si>
  <si>
    <t>Total de denúncias *(exceto canceladas)</t>
  </si>
  <si>
    <t>CRAS - Centro de Refência de Assistência Social</t>
  </si>
  <si>
    <t>Programa Cidade Solidária</t>
  </si>
  <si>
    <t>Alimentação escolar</t>
  </si>
  <si>
    <t>Denunciar estabelecimento que não fornece álcool em gel ou permite entrada sem máscara durante a crise do Coronavírus</t>
  </si>
  <si>
    <t>Denunciar estabelecimento que não segue as regras de funcionamento previstas durante a pandemia do Coronavírus</t>
  </si>
  <si>
    <t>Material escolar</t>
  </si>
  <si>
    <t>Manifestação livre</t>
  </si>
  <si>
    <t xml:space="preserve">Renda Básica Emergencial </t>
  </si>
  <si>
    <t>Vacinas</t>
  </si>
  <si>
    <t>Denunciar irregularidade da contratação e/ou gestão de serviço público</t>
  </si>
  <si>
    <t>Quantidade</t>
  </si>
  <si>
    <t>Serviço</t>
  </si>
  <si>
    <t>Pandemia - COVID 19</t>
  </si>
  <si>
    <t>ASSUNTO</t>
  </si>
  <si>
    <t>SERVIÇO</t>
  </si>
  <si>
    <t>Material e Uniforme escolar</t>
  </si>
  <si>
    <t>Unidade habitacional</t>
  </si>
  <si>
    <t>Secretaria Municipal de Mobilidade e Trânsito</t>
  </si>
  <si>
    <t>Programa Ação Jovem</t>
  </si>
  <si>
    <t>Estacionamento</t>
  </si>
  <si>
    <t>Exames, vacinas e castração</t>
  </si>
  <si>
    <t>Unidades escolares</t>
  </si>
  <si>
    <t>Zona Azul</t>
  </si>
  <si>
    <t>Órgão</t>
  </si>
  <si>
    <t>Recurso de Ofício (RO)</t>
  </si>
  <si>
    <t>SMDET - Secretaria Municipal de Desenvolvimento Econômico e Trabalho</t>
  </si>
  <si>
    <t>SME</t>
  </si>
  <si>
    <t>SMS</t>
  </si>
  <si>
    <t>AMLURB - Autoridade Municipal de Limpeza Urbana</t>
  </si>
  <si>
    <t>CET - Companhia de Engenharia de Tráfego</t>
  </si>
  <si>
    <t>CGM - Controladoria Geral do Município</t>
  </si>
  <si>
    <t>COHAB - Companhia Metropolitana de Habitação</t>
  </si>
  <si>
    <t>HSPM - Hospital do Servidor Público Municipal</t>
  </si>
  <si>
    <t>IPREM - Instituto de Previdência Municipal de São Paulo</t>
  </si>
  <si>
    <t>PGM - Procuradoria Geral do Município</t>
  </si>
  <si>
    <t>Prodam-Empresa de Tecnologia da Informação e Comunicação do Munic.SP</t>
  </si>
  <si>
    <t>SECOM - Secretaria Especial de Comunicação</t>
  </si>
  <si>
    <t>SEGES - Secretaria Executiva de Gestão</t>
  </si>
  <si>
    <t>SEHAB - Secretaria Municipal de Habitação</t>
  </si>
  <si>
    <t>SEME - Secretaria Municipal de Esportes e Lazer</t>
  </si>
  <si>
    <t>SF - Secretaria Municipal da Fazenda</t>
  </si>
  <si>
    <t>SFMSP - Serviço Funerário</t>
  </si>
  <si>
    <t>SGM - Secretaria de Governo Municipal</t>
  </si>
  <si>
    <t>SIURB - Secretaria Municipal de Infraestrutura Urbana e Obras</t>
  </si>
  <si>
    <t>SMADS - Secretaria Municipal de Assistência e Desenvolvimento Social</t>
  </si>
  <si>
    <t>SMC - Secretaria Municipal de Cultura</t>
  </si>
  <si>
    <t>SMDHC - Secretaria Municipal de Direitos Humanos e Cidadania</t>
  </si>
  <si>
    <t>SME - Secretaria Municipal de Educação</t>
  </si>
  <si>
    <t>SMIT - Secretaria Municipal de Inovação e Tecnologia</t>
  </si>
  <si>
    <t>SMS - Secretaria Municipal da Saúde</t>
  </si>
  <si>
    <t>SMSU - Secretaria Municipal de Segurança Urbana</t>
  </si>
  <si>
    <t>SMSUB - Secretaria Municipal das Subprefeituras</t>
  </si>
  <si>
    <t>SMT - Secretaria Municipal de Mobilidade e Transportes</t>
  </si>
  <si>
    <t>SMUL - Secretaria Municipal de Urbanismo e Licenciamento</t>
  </si>
  <si>
    <t>SP OBRAS - São Paulo Obras</t>
  </si>
  <si>
    <t>SPTrans - São Paulo Transportes S/A</t>
  </si>
  <si>
    <t>SPTURIS - São Paulo Turismo S/A</t>
  </si>
  <si>
    <t>Subprefeitura Aricanduva/Formosa/Carrão</t>
  </si>
  <si>
    <t>Subprefeitura Casa Verde/Cachoeirinha</t>
  </si>
  <si>
    <t>Subprefeitura Freguesia / Brasilândia</t>
  </si>
  <si>
    <t>SVMA - Secretaria Municipal do Verde e do Meio Ambiente</t>
  </si>
  <si>
    <t>SMT</t>
  </si>
  <si>
    <t>FPETC_ Fundação Paulistana de Educação, Tecnologia e Cultura</t>
  </si>
  <si>
    <t>SMJ - Secretaria Municipal de Justiça</t>
  </si>
  <si>
    <t>SITUAÇÃO</t>
  </si>
  <si>
    <t>Pedidos registrados</t>
  </si>
  <si>
    <t>Decisões iniciais</t>
  </si>
  <si>
    <t>Total (decisões iniciais)</t>
  </si>
  <si>
    <t>Atendidos</t>
  </si>
  <si>
    <t>Indeferidos</t>
  </si>
  <si>
    <t>1ª instância</t>
  </si>
  <si>
    <t>Solicitações</t>
  </si>
  <si>
    <t>Total (decisões 1ª instância)</t>
  </si>
  <si>
    <t>Deferidos</t>
  </si>
  <si>
    <t>2ª instância</t>
  </si>
  <si>
    <t>Total (decisões 2ª instância)</t>
  </si>
  <si>
    <t>Encaminhado para o órgão para complemento</t>
  </si>
  <si>
    <t>3ª instância</t>
  </si>
  <si>
    <t>Total (decisões 3ª instância)</t>
  </si>
  <si>
    <t>IPREM</t>
  </si>
  <si>
    <t>Controladoria Geral do Município</t>
  </si>
  <si>
    <t>Subprefeitura Aricanduva</t>
  </si>
  <si>
    <t>** Apartir de março_22 AMLURB desmembrada em SPRegula e SELimp</t>
  </si>
  <si>
    <t xml:space="preserve">Agência Reguladora de Serviços Públicos do Município de São Paulo** </t>
  </si>
  <si>
    <t>Secretaria Executiva de Limpeza Urbana**</t>
  </si>
  <si>
    <t>SMPED - Secretaria Municipal da Pessoa com Deficiência</t>
  </si>
  <si>
    <t>São Paulo Parcerias S/A</t>
  </si>
  <si>
    <t>FTMSP - Fundação Theatro Municipal de São Paulo</t>
  </si>
  <si>
    <t>SPSEC - Companhia Paulistana de Securitização</t>
  </si>
  <si>
    <t>SMSUB</t>
  </si>
  <si>
    <t>SMUL</t>
  </si>
  <si>
    <t>PRCON Cidade de São Paulo</t>
  </si>
  <si>
    <t>São Paulo Obras - SPObras</t>
  </si>
  <si>
    <t>Secretaria Municipal de Gestão</t>
  </si>
  <si>
    <t>P3A19:U38</t>
  </si>
  <si>
    <t>SP Regula - Agência Reguladora de Serviços Públicos do Município de São Paulo</t>
  </si>
  <si>
    <t>Subprefeitura M’ Boi Mirim</t>
  </si>
  <si>
    <t>SERI – Secretaria Executiva de Relações Institucionais</t>
  </si>
  <si>
    <t>SP URBANISMO - São Paulo Urbanismo</t>
  </si>
  <si>
    <t>SMRI - Secretaria Municipal de Relações Internacionais</t>
  </si>
  <si>
    <t>Secretaria Municipal de Turismo</t>
  </si>
  <si>
    <t>Auxílio Brasil</t>
  </si>
  <si>
    <t>Devoluções, restituições e indenizações</t>
  </si>
  <si>
    <t>Documentações de ruas e logradouros</t>
  </si>
  <si>
    <t>Guarda Civil Metropolitana</t>
  </si>
  <si>
    <t>Iluminação pública</t>
  </si>
  <si>
    <t>Imunidades, isenções e demais benefícios fiscais</t>
  </si>
  <si>
    <t>ISS - Imposto Sobre Serviços</t>
  </si>
  <si>
    <t>ITBI -  Imposto sobre a Transmissão de Bens Imóveis</t>
  </si>
  <si>
    <t>Nota do Milhão</t>
  </si>
  <si>
    <t>Processo Administrativo</t>
  </si>
  <si>
    <t>Qualidade de atendimento</t>
  </si>
  <si>
    <t>Regime Especial de Tributação</t>
  </si>
  <si>
    <t>Saúde bucal</t>
  </si>
  <si>
    <t>Táxi e App</t>
  </si>
  <si>
    <t>Telecentro</t>
  </si>
  <si>
    <t>Agendamento eletrônico</t>
  </si>
  <si>
    <t>Ambulantes</t>
  </si>
  <si>
    <t>ATENDE - Transporte Pessoas com Deficiência</t>
  </si>
  <si>
    <t>Autos de Infração</t>
  </si>
  <si>
    <t>Cartão SUS</t>
  </si>
  <si>
    <t>Documentações e alvarás para obras</t>
  </si>
  <si>
    <t>Imigrante</t>
  </si>
  <si>
    <t>Moto frete</t>
  </si>
  <si>
    <t>Pedido de orientação ou informação</t>
  </si>
  <si>
    <t>Regularização de imóveis</t>
  </si>
  <si>
    <t>População ou pessoa em situação de rua</t>
  </si>
  <si>
    <t>Secretaria Municipal de Desenvolvimento Econômico e Trabalho</t>
  </si>
  <si>
    <t>SMTUR - Secretaria Municipal de Turismo</t>
  </si>
  <si>
    <t>SPDA - Companhia São Paulo de Desenvolvimento e Mobilização de Ativos</t>
  </si>
  <si>
    <t>SF</t>
  </si>
  <si>
    <t>Bibliotecas municipais</t>
  </si>
  <si>
    <t>Ônibus fretado</t>
  </si>
  <si>
    <t>Parcelamento de tributo</t>
  </si>
  <si>
    <t>Programa Bolsa Trabalho</t>
  </si>
  <si>
    <t>Solicitar que acesso ao processo da OGM seja público*****</t>
  </si>
  <si>
    <t>*****O assunto "Solicitar que acesso ao processo da OGM seja público" passou a ser classificado após implantação de formulário SIGRC.</t>
  </si>
  <si>
    <t>Secretaria de Relações Internacionais</t>
  </si>
  <si>
    <t>Unidades - 10 mais demandadas de 2023 (Média)</t>
  </si>
  <si>
    <t>Assuntos - variação dos 10 mais demandados de 2023 (MÉDIA)</t>
  </si>
  <si>
    <t>Unidades - variação dos 10 mais demandados de 2023 (MÉDIA)</t>
  </si>
  <si>
    <t>Penha</t>
  </si>
  <si>
    <t>Lapa</t>
  </si>
  <si>
    <t>Campo Limpo</t>
  </si>
  <si>
    <t>Mooca</t>
  </si>
  <si>
    <t>Butantã</t>
  </si>
  <si>
    <t>Itaquera</t>
  </si>
  <si>
    <t>Vila Mariana</t>
  </si>
  <si>
    <t>Pinheiros</t>
  </si>
  <si>
    <t>Sé</t>
  </si>
  <si>
    <t>Santo Amaro</t>
  </si>
  <si>
    <t>Subprefeituras - 10 mais demandados de 2023 (Média)</t>
  </si>
  <si>
    <t>Aricanduva</t>
  </si>
  <si>
    <t>Capela do Socorro</t>
  </si>
  <si>
    <t>Casa Verde</t>
  </si>
  <si>
    <t>Cidade Ademar</t>
  </si>
  <si>
    <t>Cidade Tiradentes</t>
  </si>
  <si>
    <t>Ermelino Matarazzo</t>
  </si>
  <si>
    <t>Freguesia/Brasilândia</t>
  </si>
  <si>
    <t>Guaianases</t>
  </si>
  <si>
    <t>Ipiranga</t>
  </si>
  <si>
    <t>Itaim Paulista</t>
  </si>
  <si>
    <t>Jabaquara</t>
  </si>
  <si>
    <t>Jaçanã/Tremembé</t>
  </si>
  <si>
    <t>M'Boi Mirim</t>
  </si>
  <si>
    <t>Parelheiros</t>
  </si>
  <si>
    <t>Perus</t>
  </si>
  <si>
    <t>Pirituba/Jaraguá</t>
  </si>
  <si>
    <t>Santana/Tucuruvi</t>
  </si>
  <si>
    <t>São Mateus</t>
  </si>
  <si>
    <t>São Miguel Paulista</t>
  </si>
  <si>
    <t>Sapopemba</t>
  </si>
  <si>
    <t>Vila Maria/Vila Guilherme</t>
  </si>
  <si>
    <t>Vila Prudente</t>
  </si>
  <si>
    <t>% Total 2023</t>
  </si>
  <si>
    <t>CET</t>
  </si>
  <si>
    <t>SPTrans</t>
  </si>
  <si>
    <t>Subprefeituras - variação dos 10 mais demandados de 2023 (MÉDIA)</t>
  </si>
  <si>
    <t>Companhia de Engenharia de Tráfego</t>
  </si>
  <si>
    <t>Secretaria Executiva de Limpeza Urbana</t>
  </si>
  <si>
    <t>São Paulo Transportes</t>
  </si>
  <si>
    <t>Agência Reguladora de Serviços Públicos do Município</t>
  </si>
  <si>
    <t>ADE SAMPA - Agência São Paulo de Desenvolvimento</t>
  </si>
  <si>
    <t>SEGES</t>
  </si>
  <si>
    <t>Assuntos - 10 mais demandados de 2023 (Média)</t>
  </si>
  <si>
    <t>% Canais de entrada MAR/23</t>
  </si>
  <si>
    <t>% em relação ao todo de MAR/23 (exetuando-se denúncias)</t>
  </si>
  <si>
    <t>10 assuntos mais demandados de MARÇO/2023</t>
  </si>
  <si>
    <t>10 unidades mais demandadas de MARÇO/23</t>
  </si>
  <si>
    <t>% Total MAR/23 dentro do STATUS</t>
  </si>
  <si>
    <t xml:space="preserve"> </t>
  </si>
  <si>
    <t>SVMA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</si>
</sst>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0.0"/>
    <numFmt numFmtId="165" formatCode="#,##0.0"/>
  </numFmts>
  <fonts count="66">
    <font>
      <sz val="11"/>
      <color rgb="FF000000"/>
      <name val="Calibri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name val="Calibri"/>
      <family val="2"/>
    </font>
    <font>
      <b/>
      <sz val="11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b/>
      <sz val="8"/>
      <name val="Calibri"/>
      <family val="2"/>
    </font>
    <font>
      <sz val="8"/>
      <name val="Calibri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b/>
      <sz val="10"/>
      <name val="Times New Roman"/>
      <family val="1"/>
    </font>
    <font>
      <sz val="10"/>
      <name val="Arial"/>
      <family val="2"/>
    </font>
    <font>
      <sz val="10"/>
      <name val="Calibri"/>
      <family val="2"/>
    </font>
    <font>
      <sz val="8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2"/>
      <color rgb="FF000000"/>
      <name val="Arial "/>
    </font>
    <font>
      <sz val="11"/>
      <color rgb="FF000000"/>
      <name val="Arial "/>
    </font>
    <font>
      <b/>
      <sz val="11"/>
      <color rgb="FF000000"/>
      <name val="Arial "/>
    </font>
    <font>
      <b/>
      <sz val="11"/>
      <color rgb="FF000000"/>
      <name val="Calibri"/>
      <family val="2"/>
    </font>
    <font>
      <sz val="11"/>
      <color rgb="FFFFFFFF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rgb="FFFFFFFF"/>
      <name val="Calibri"/>
      <family val="2"/>
    </font>
    <font>
      <sz val="11"/>
      <color theme="0"/>
      <name val="Calibri"/>
      <family val="2"/>
    </font>
    <font>
      <sz val="11"/>
      <color theme="0"/>
      <name val="Arial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00"/>
      <name val="Arial 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9"/>
      <color rgb="FF000000"/>
      <name val="Arial"/>
      <family val="2"/>
    </font>
    <font>
      <b/>
      <i/>
      <sz val="10"/>
      <color theme="1"/>
      <name val="Calibri"/>
      <family val="2"/>
      <scheme val="minor"/>
    </font>
    <font>
      <sz val="10"/>
      <color theme="0"/>
      <name val="Arial"/>
      <family val="2"/>
    </font>
    <font>
      <b/>
      <sz val="11"/>
      <color theme="0"/>
      <name val="Calibri"/>
      <family val="2"/>
    </font>
    <font>
      <b/>
      <sz val="9"/>
      <color rgb="FF000000"/>
      <name val="Arial"/>
      <family val="2"/>
    </font>
    <font>
      <b/>
      <sz val="11"/>
      <color theme="0"/>
      <name val="Arial"/>
      <family val="2"/>
    </font>
    <font>
      <sz val="8"/>
      <color rgb="FF000000"/>
      <name val="Calibri"/>
      <family val="2"/>
    </font>
    <font>
      <sz val="11"/>
      <color theme="0"/>
      <name val="Times New Roman"/>
      <family val="1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</font>
    <font>
      <sz val="11"/>
      <color rgb="FFFF0000"/>
      <name val="Arial"/>
      <family val="2"/>
    </font>
    <font>
      <sz val="11"/>
      <color theme="9" tint="-0.499984740745262"/>
      <name val="Calibri"/>
      <family val="2"/>
    </font>
    <font>
      <sz val="11"/>
      <color rgb="FF000000"/>
      <name val="Calibri"/>
      <family val="2"/>
      <scheme val="minor"/>
    </font>
    <font>
      <sz val="10"/>
      <color theme="0"/>
      <name val="Calibri"/>
      <family val="2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8"/>
      <color theme="0"/>
      <name val="Calibri"/>
      <family val="2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rgb="FFBFBFBF"/>
      </patternFill>
    </fill>
    <fill>
      <patternFill patternType="solid">
        <fgColor rgb="FFD8D8D8"/>
        <bgColor rgb="FFD8D8D8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rgb="FF99FFCC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33CC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C00CC"/>
        <bgColor indexed="64"/>
      </patternFill>
    </fill>
  </fills>
  <borders count="2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indexed="64"/>
      </left>
      <right/>
      <top/>
      <bottom style="medium">
        <color theme="9" tint="-0.249977111117893"/>
      </bottom>
      <diagonal/>
    </border>
    <border>
      <left style="medium">
        <color theme="9" tint="-0.249977111117893"/>
      </left>
      <right/>
      <top style="medium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/>
      <top style="medium">
        <color theme="9" tint="-0.249977111117893"/>
      </top>
      <bottom style="medium">
        <color theme="9" tint="-0.249977111117893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theme="9" tint="-0.249977111117893"/>
      </right>
      <top style="medium">
        <color theme="9" tint="-0.249977111117893"/>
      </top>
      <bottom style="thin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/>
      <bottom style="mediumDashDot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DashDot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 style="thin">
        <color theme="9" tint="-0.249977111117893"/>
      </left>
      <right/>
      <top/>
      <bottom style="mediumDashDot">
        <color theme="9" tint="-0.249977111117893"/>
      </bottom>
      <diagonal/>
    </border>
    <border>
      <left style="medium">
        <color theme="1"/>
      </left>
      <right/>
      <top style="medium">
        <color theme="1"/>
      </top>
      <bottom style="mediumDashDot">
        <color theme="1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indexed="64"/>
      </left>
      <right style="medium">
        <color theme="9" tint="-0.249977111117893"/>
      </right>
      <top style="thin">
        <color theme="9" tint="-0.249977111117893"/>
      </top>
      <bottom style="medium">
        <color theme="9" tint="-0.249977111117893"/>
      </bottom>
      <diagonal/>
    </border>
    <border>
      <left style="medium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mediumDashDot">
        <color theme="9" tint="-0.249977111117893"/>
      </top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medium">
        <color theme="9" tint="-0.249977111117893"/>
      </bottom>
      <diagonal/>
    </border>
    <border>
      <left style="medium">
        <color theme="1"/>
      </left>
      <right/>
      <top/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DashDot">
        <color theme="1"/>
      </top>
      <bottom style="medium">
        <color theme="1"/>
      </bottom>
      <diagonal/>
    </border>
    <border>
      <left style="medium">
        <color indexed="64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/>
      <right style="thin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indexed="64"/>
      </left>
      <right style="medium">
        <color theme="7" tint="-0.499984740745262"/>
      </right>
      <top style="medium">
        <color theme="7" tint="-0.499984740745262"/>
      </top>
      <bottom style="thin">
        <color theme="7" tint="-0.499984740745262"/>
      </bottom>
      <diagonal/>
    </border>
    <border>
      <left style="medium">
        <color theme="7" tint="-0.499984740745262"/>
      </left>
      <right/>
      <top/>
      <bottom style="mediumDashDot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 style="mediumDashDot">
        <color theme="7" tint="-0.499984740745262"/>
      </bottom>
      <diagonal/>
    </border>
    <border>
      <left/>
      <right style="thin">
        <color theme="7" tint="-0.499984740745262"/>
      </right>
      <top/>
      <bottom style="mediumDashDot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 style="mediumDashDot">
        <color theme="7" tint="-0.499984740745262"/>
      </bottom>
      <diagonal/>
    </border>
    <border>
      <left style="medium">
        <color theme="1"/>
      </left>
      <right style="medium">
        <color theme="1"/>
      </right>
      <top/>
      <bottom style="mediumDashDot">
        <color theme="1"/>
      </bottom>
      <diagonal/>
    </border>
    <border>
      <left style="medium">
        <color indexed="64"/>
      </left>
      <right style="medium">
        <color theme="7" tint="-0.499984740745262"/>
      </right>
      <top style="thin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thin">
        <color theme="7" tint="-0.499984740745262"/>
      </right>
      <top/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/>
      <bottom style="medium">
        <color theme="7" tint="-0.499984740745262"/>
      </bottom>
      <diagonal/>
    </border>
    <border>
      <left style="thin">
        <color theme="7" tint="-0.499984740745262"/>
      </left>
      <right style="thin">
        <color theme="7" tint="-0.499984740745262"/>
      </right>
      <top style="mediumDashDot">
        <color theme="7" tint="-0.499984740745262"/>
      </top>
      <bottom style="medium">
        <color theme="7" tint="-0.499984740745262"/>
      </bottom>
      <diagonal/>
    </border>
    <border>
      <left style="thin">
        <color theme="7" tint="-0.499984740745262"/>
      </left>
      <right/>
      <top/>
      <bottom style="medium">
        <color theme="7" tint="-0.499984740745262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indexed="64"/>
      </left>
      <right/>
      <top style="medium">
        <color rgb="FFFF0066"/>
      </top>
      <bottom style="medium">
        <color rgb="FFFF0066"/>
      </bottom>
      <diagonal/>
    </border>
    <border>
      <left style="medium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 style="thin">
        <color rgb="FFFF0066"/>
      </right>
      <top style="medium">
        <color rgb="FFFF0066"/>
      </top>
      <bottom style="medium">
        <color rgb="FFFF0066"/>
      </bottom>
      <diagonal/>
    </border>
    <border>
      <left style="thin">
        <color rgb="FFFF0066"/>
      </left>
      <right/>
      <top style="medium">
        <color rgb="FFFF0066"/>
      </top>
      <bottom style="medium">
        <color rgb="FFFF0066"/>
      </bottom>
      <diagonal/>
    </border>
    <border>
      <left style="medium">
        <color indexed="64"/>
      </left>
      <right style="medium">
        <color rgb="FFFF0066"/>
      </right>
      <top style="medium">
        <color rgb="FFFF0066"/>
      </top>
      <bottom style="thin">
        <color rgb="FFFF0066"/>
      </bottom>
      <diagonal/>
    </border>
    <border>
      <left style="medium">
        <color indexed="64"/>
      </left>
      <right style="medium">
        <color rgb="FFFF0066"/>
      </right>
      <top style="thin">
        <color rgb="FFFF0066"/>
      </top>
      <bottom style="thin">
        <color rgb="FFFF0066"/>
      </bottom>
      <diagonal/>
    </border>
    <border>
      <left style="medium">
        <color rgb="FFFF0066"/>
      </left>
      <right style="thin">
        <color rgb="FFFF0066"/>
      </right>
      <top/>
      <bottom style="mediumDashDot">
        <color rgb="FFFF0066"/>
      </bottom>
      <diagonal/>
    </border>
    <border>
      <left style="thin">
        <color rgb="FFFF0066"/>
      </left>
      <right style="thin">
        <color rgb="FFFF0066"/>
      </right>
      <top/>
      <bottom style="mediumDashDot">
        <color rgb="FFFF0066"/>
      </bottom>
      <diagonal/>
    </border>
    <border>
      <left style="thin">
        <color rgb="FFFF0066"/>
      </left>
      <right style="thin">
        <color rgb="FFFF0066"/>
      </right>
      <top/>
      <bottom/>
      <diagonal/>
    </border>
    <border>
      <left style="thin">
        <color rgb="FFFF0066"/>
      </left>
      <right/>
      <top/>
      <bottom style="mediumDashDot">
        <color rgb="FFFF0066"/>
      </bottom>
      <diagonal/>
    </border>
    <border>
      <left style="medium">
        <color indexed="64"/>
      </left>
      <right style="medium">
        <color rgb="FFFF0066"/>
      </right>
      <top style="thin">
        <color rgb="FFFF0066"/>
      </top>
      <bottom style="medium">
        <color rgb="FFFF0066"/>
      </bottom>
      <diagonal/>
    </border>
    <border>
      <left/>
      <right style="thin">
        <color rgb="FFFF0066"/>
      </right>
      <top/>
      <bottom/>
      <diagonal/>
    </border>
    <border>
      <left style="thin">
        <color rgb="FFFF0066"/>
      </left>
      <right style="thin">
        <color rgb="FFFF0066"/>
      </right>
      <top style="mediumDashDot">
        <color rgb="FFFF0066"/>
      </top>
      <bottom style="medium">
        <color rgb="FFFF0066"/>
      </bottom>
      <diagonal/>
    </border>
    <border>
      <left style="thin">
        <color rgb="FFFF0066"/>
      </left>
      <right/>
      <top/>
      <bottom/>
      <diagonal/>
    </border>
    <border>
      <left style="medium">
        <color indexed="64"/>
      </left>
      <right style="medium">
        <color rgb="FFFF0066"/>
      </right>
      <top style="medium">
        <color rgb="FFFF0066"/>
      </top>
      <bottom style="medium">
        <color rgb="FFFF0066"/>
      </bottom>
      <diagonal/>
    </border>
    <border>
      <left/>
      <right style="medium">
        <color theme="1"/>
      </right>
      <top/>
      <bottom/>
      <diagonal/>
    </border>
    <border>
      <left style="thin">
        <color rgb="FFFF0066"/>
      </left>
      <right style="thin">
        <color rgb="FFFF0066"/>
      </right>
      <top/>
      <bottom style="medium">
        <color rgb="FFFF0066"/>
      </bottom>
      <diagonal/>
    </border>
    <border>
      <left style="thin">
        <color rgb="FFFF0066"/>
      </left>
      <right/>
      <top/>
      <bottom style="medium">
        <color rgb="FFFF0066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/>
      <top style="medium">
        <color rgb="FF0000FF"/>
      </top>
      <bottom style="medium">
        <color rgb="FF0000FF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indexed="64"/>
      </left>
      <right style="medium">
        <color rgb="FF0000FF"/>
      </right>
      <top style="medium">
        <color rgb="FF0000FF"/>
      </top>
      <bottom style="medium">
        <color rgb="FF0000FF"/>
      </bottom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medium">
        <color rgb="FF0000FF"/>
      </bottom>
      <diagonal/>
    </border>
    <border>
      <left style="thin">
        <color rgb="FF0000FF"/>
      </left>
      <right style="medium">
        <color theme="1"/>
      </right>
      <top style="medium">
        <color rgb="FF0000FF"/>
      </top>
      <bottom style="medium">
        <color rgb="FF0000FF"/>
      </bottom>
      <diagonal/>
    </border>
    <border>
      <left style="medium">
        <color indexed="64"/>
      </left>
      <right style="medium">
        <color rgb="FF0000FF"/>
      </right>
      <top/>
      <bottom style="thin">
        <color rgb="FF0000FF"/>
      </bottom>
      <diagonal/>
    </border>
    <border>
      <left style="medium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 style="thin">
        <color rgb="FF0000FF"/>
      </right>
      <top style="medium">
        <color rgb="FF0000FF"/>
      </top>
      <bottom style="mediumDashDot">
        <color rgb="FF0000FF"/>
      </bottom>
      <diagonal/>
    </border>
    <border>
      <left style="thin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/>
      <top style="medium">
        <color rgb="FF0000FF"/>
      </top>
      <bottom style="mediumDashDot">
        <color rgb="FF0000FF"/>
      </bottom>
      <diagonal/>
    </border>
    <border>
      <left style="medium">
        <color indexed="64"/>
      </left>
      <right style="medium">
        <color rgb="FF0000FF"/>
      </right>
      <top style="thin">
        <color rgb="FF0000FF"/>
      </top>
      <bottom style="medium">
        <color indexed="64"/>
      </bottom>
      <diagonal/>
    </border>
    <border>
      <left style="medium">
        <color rgb="FF0000FF"/>
      </left>
      <right style="thin">
        <color rgb="FF0000FF"/>
      </right>
      <top style="mediumDashDot">
        <color rgb="FF0000FF"/>
      </top>
      <bottom style="medium">
        <color indexed="64"/>
      </bottom>
      <diagonal/>
    </border>
    <border>
      <left style="thin">
        <color rgb="FF0000FF"/>
      </left>
      <right style="thin">
        <color rgb="FF0000FF"/>
      </right>
      <top/>
      <bottom style="medium">
        <color indexed="64"/>
      </bottom>
      <diagonal/>
    </border>
    <border>
      <left style="thin">
        <color rgb="FF0000FF"/>
      </left>
      <right style="thin">
        <color rgb="FF0000FF"/>
      </right>
      <top style="mediumDashDot">
        <color rgb="FF0000FF"/>
      </top>
      <bottom style="medium">
        <color indexed="64"/>
      </bottom>
      <diagonal/>
    </border>
    <border>
      <left style="thin">
        <color rgb="FF0000FF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rgb="FFFF0066"/>
      </right>
      <top/>
      <bottom style="medium">
        <color rgb="FFFF0066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rgb="FFFF0066"/>
      </left>
      <right style="thin">
        <color rgb="FFFF0066"/>
      </right>
      <top/>
      <bottom style="medium">
        <color rgb="FFFF0066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theme="9" tint="-0.249977111117893"/>
      </bottom>
      <diagonal/>
    </border>
  </borders>
  <cellStyleXfs count="11">
    <xf numFmtId="0" fontId="0" fillId="0" borderId="0"/>
    <xf numFmtId="0" fontId="15" fillId="0" borderId="0" applyNumberFormat="0" applyFont="0" applyBorder="0" applyProtection="0"/>
    <xf numFmtId="0" fontId="16" fillId="0" borderId="0"/>
    <xf numFmtId="0" fontId="15" fillId="0" borderId="0" applyNumberFormat="0" applyFont="0" applyBorder="0" applyProtection="0"/>
    <xf numFmtId="0" fontId="18" fillId="0" borderId="0"/>
    <xf numFmtId="0" fontId="15" fillId="0" borderId="0" applyNumberFormat="0" applyFont="0" applyBorder="0" applyProtection="0"/>
    <xf numFmtId="0" fontId="18" fillId="0" borderId="0"/>
    <xf numFmtId="0" fontId="10" fillId="0" borderId="0"/>
    <xf numFmtId="0" fontId="15" fillId="0" borderId="0"/>
    <xf numFmtId="0" fontId="20" fillId="0" borderId="76" applyNumberFormat="0" applyFill="0" applyAlignment="0" applyProtection="0"/>
    <xf numFmtId="43" fontId="18" fillId="0" borderId="0" applyFont="0" applyFill="0" applyBorder="0" applyAlignment="0" applyProtection="0"/>
  </cellStyleXfs>
  <cellXfs count="1024">
    <xf numFmtId="0" fontId="0" fillId="0" borderId="0" xfId="0"/>
    <xf numFmtId="0" fontId="0" fillId="0" borderId="0" xfId="0" applyFill="1"/>
    <xf numFmtId="0" fontId="22" fillId="0" borderId="0" xfId="0" applyFont="1" applyFill="1" applyAlignment="1">
      <alignment horizontal="center"/>
    </xf>
    <xf numFmtId="17" fontId="22" fillId="0" borderId="0" xfId="0" applyNumberFormat="1" applyFont="1" applyFill="1" applyAlignment="1">
      <alignment horizontal="center"/>
    </xf>
    <xf numFmtId="2" fontId="23" fillId="0" borderId="0" xfId="0" applyNumberFormat="1" applyFont="1" applyFill="1" applyAlignment="1">
      <alignment horizontal="center"/>
    </xf>
    <xf numFmtId="0" fontId="22" fillId="0" borderId="0" xfId="0" applyFont="1"/>
    <xf numFmtId="1" fontId="0" fillId="0" borderId="0" xfId="0" applyNumberFormat="1"/>
    <xf numFmtId="3" fontId="24" fillId="0" borderId="0" xfId="0" applyNumberFormat="1" applyFont="1" applyAlignment="1">
      <alignment horizontal="center" vertical="center"/>
    </xf>
    <xf numFmtId="0" fontId="25" fillId="0" borderId="0" xfId="0" applyFont="1"/>
    <xf numFmtId="165" fontId="0" fillId="0" borderId="0" xfId="0" applyNumberFormat="1"/>
    <xf numFmtId="3" fontId="0" fillId="0" borderId="0" xfId="0" applyNumberFormat="1"/>
    <xf numFmtId="0" fontId="26" fillId="0" borderId="0" xfId="0" applyFont="1" applyFill="1"/>
    <xf numFmtId="3" fontId="26" fillId="0" borderId="0" xfId="0" applyNumberFormat="1" applyFont="1" applyFill="1"/>
    <xf numFmtId="0" fontId="22" fillId="0" borderId="0" xfId="0" applyFont="1" applyFill="1"/>
    <xf numFmtId="0" fontId="25" fillId="0" borderId="0" xfId="0" applyFont="1" applyFill="1"/>
    <xf numFmtId="3" fontId="25" fillId="0" borderId="0" xfId="0" applyNumberFormat="1" applyFont="1" applyFill="1" applyAlignment="1">
      <alignment horizontal="center"/>
    </xf>
    <xf numFmtId="3" fontId="0" fillId="0" borderId="0" xfId="0" applyNumberFormat="1" applyFill="1"/>
    <xf numFmtId="164" fontId="0" fillId="0" borderId="0" xfId="0" applyNumberFormat="1"/>
    <xf numFmtId="0" fontId="22" fillId="2" borderId="77" xfId="0" applyFont="1" applyFill="1" applyBorder="1" applyAlignment="1">
      <alignment horizontal="center"/>
    </xf>
    <xf numFmtId="0" fontId="22" fillId="2" borderId="78" xfId="0" applyFont="1" applyFill="1" applyBorder="1" applyAlignment="1">
      <alignment horizontal="center"/>
    </xf>
    <xf numFmtId="3" fontId="23" fillId="0" borderId="79" xfId="0" applyNumberFormat="1" applyFont="1" applyFill="1" applyBorder="1" applyAlignment="1">
      <alignment horizontal="center"/>
    </xf>
    <xf numFmtId="2" fontId="23" fillId="0" borderId="80" xfId="0" applyNumberFormat="1" applyFont="1" applyFill="1" applyBorder="1" applyAlignment="1">
      <alignment horizontal="center"/>
    </xf>
    <xf numFmtId="3" fontId="23" fillId="0" borderId="81" xfId="0" applyNumberFormat="1" applyFont="1" applyFill="1" applyBorder="1" applyAlignment="1">
      <alignment horizontal="center"/>
    </xf>
    <xf numFmtId="0" fontId="23" fillId="0" borderId="0" xfId="0" applyFont="1"/>
    <xf numFmtId="164" fontId="23" fillId="0" borderId="0" xfId="0" applyNumberFormat="1" applyFont="1" applyFill="1" applyAlignment="1">
      <alignment horizontal="center"/>
    </xf>
    <xf numFmtId="2" fontId="0" fillId="0" borderId="0" xfId="0" applyNumberFormat="1"/>
    <xf numFmtId="3" fontId="23" fillId="0" borderId="82" xfId="0" applyNumberFormat="1" applyFont="1" applyFill="1" applyBorder="1" applyAlignment="1">
      <alignment horizontal="center"/>
    </xf>
    <xf numFmtId="2" fontId="23" fillId="0" borderId="83" xfId="0" applyNumberFormat="1" applyFont="1" applyFill="1" applyBorder="1" applyAlignment="1">
      <alignment horizontal="center"/>
    </xf>
    <xf numFmtId="0" fontId="23" fillId="0" borderId="0" xfId="0" applyFont="1" applyAlignment="1">
      <alignment wrapText="1"/>
    </xf>
    <xf numFmtId="0" fontId="0" fillId="0" borderId="0" xfId="0" applyAlignment="1">
      <alignment wrapText="1"/>
    </xf>
    <xf numFmtId="17" fontId="22" fillId="3" borderId="78" xfId="0" applyNumberFormat="1" applyFont="1" applyFill="1" applyBorder="1" applyAlignment="1">
      <alignment horizontal="center" vertical="center"/>
    </xf>
    <xf numFmtId="17" fontId="22" fillId="3" borderId="77" xfId="0" applyNumberFormat="1" applyFont="1" applyFill="1" applyBorder="1" applyAlignment="1">
      <alignment horizontal="center" vertical="center"/>
    </xf>
    <xf numFmtId="0" fontId="23" fillId="0" borderId="84" xfId="0" applyFont="1" applyBorder="1" applyAlignment="1">
      <alignment horizontal="center"/>
    </xf>
    <xf numFmtId="0" fontId="23" fillId="0" borderId="85" xfId="0" applyFont="1" applyFill="1" applyBorder="1" applyAlignment="1">
      <alignment horizontal="center"/>
    </xf>
    <xf numFmtId="0" fontId="23" fillId="0" borderId="85" xfId="0" applyFont="1" applyBorder="1" applyAlignment="1">
      <alignment horizontal="center"/>
    </xf>
    <xf numFmtId="0" fontId="22" fillId="3" borderId="86" xfId="0" applyFont="1" applyFill="1" applyBorder="1" applyAlignment="1">
      <alignment horizontal="center" vertical="center"/>
    </xf>
    <xf numFmtId="0" fontId="22" fillId="3" borderId="86" xfId="0" applyFont="1" applyFill="1" applyBorder="1" applyAlignment="1">
      <alignment horizontal="center"/>
    </xf>
    <xf numFmtId="1" fontId="22" fillId="3" borderId="86" xfId="0" applyNumberFormat="1" applyFont="1" applyFill="1" applyBorder="1" applyAlignment="1">
      <alignment horizontal="center"/>
    </xf>
    <xf numFmtId="0" fontId="22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5" fillId="0" borderId="0" xfId="1" applyFont="1" applyFill="1" applyAlignment="1"/>
    <xf numFmtId="0" fontId="27" fillId="0" borderId="0" xfId="0" applyFont="1" applyFill="1" applyAlignment="1">
      <alignment horizontal="right"/>
    </xf>
    <xf numFmtId="0" fontId="27" fillId="0" borderId="0" xfId="0" applyFont="1" applyFill="1" applyAlignment="1">
      <alignment horizontal="center" vertical="center"/>
    </xf>
    <xf numFmtId="1" fontId="27" fillId="0" borderId="0" xfId="0" applyNumberFormat="1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justify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Alignment="1">
      <alignment horizontal="center" vertical="center" wrapText="1"/>
    </xf>
    <xf numFmtId="0" fontId="22" fillId="0" borderId="0" xfId="5" applyFont="1" applyFill="1" applyAlignment="1"/>
    <xf numFmtId="0" fontId="22" fillId="0" borderId="0" xfId="5" applyFont="1" applyFill="1" applyAlignment="1">
      <alignment horizontal="center" vertical="center"/>
    </xf>
    <xf numFmtId="1" fontId="23" fillId="0" borderId="0" xfId="0" applyNumberFormat="1" applyFont="1"/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87" xfId="0" applyFont="1" applyBorder="1" applyAlignment="1">
      <alignment horizontal="center"/>
    </xf>
    <xf numFmtId="0" fontId="28" fillId="0" borderId="0" xfId="0" applyFont="1"/>
    <xf numFmtId="2" fontId="28" fillId="0" borderId="0" xfId="0" applyNumberFormat="1" applyFont="1"/>
    <xf numFmtId="0" fontId="29" fillId="0" borderId="0" xfId="0" applyFont="1" applyAlignment="1">
      <alignment wrapText="1"/>
    </xf>
    <xf numFmtId="0" fontId="29" fillId="0" borderId="0" xfId="0" applyFont="1" applyAlignment="1">
      <alignment horizontal="center" vertical="center" wrapText="1"/>
    </xf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1" fontId="23" fillId="0" borderId="0" xfId="0" applyNumberFormat="1" applyFont="1" applyAlignment="1">
      <alignment horizontal="center"/>
    </xf>
    <xf numFmtId="0" fontId="30" fillId="0" borderId="0" xfId="0" applyFont="1"/>
    <xf numFmtId="17" fontId="23" fillId="0" borderId="0" xfId="0" applyNumberFormat="1" applyFont="1"/>
    <xf numFmtId="2" fontId="23" fillId="0" borderId="0" xfId="0" applyNumberFormat="1" applyFont="1" applyAlignment="1">
      <alignment horizontal="center"/>
    </xf>
    <xf numFmtId="0" fontId="23" fillId="0" borderId="88" xfId="0" applyFont="1" applyBorder="1"/>
    <xf numFmtId="1" fontId="23" fillId="0" borderId="89" xfId="0" applyNumberFormat="1" applyFont="1" applyBorder="1"/>
    <xf numFmtId="0" fontId="23" fillId="0" borderId="89" xfId="0" applyFont="1" applyBorder="1"/>
    <xf numFmtId="0" fontId="23" fillId="0" borderId="90" xfId="0" applyFont="1" applyBorder="1"/>
    <xf numFmtId="0" fontId="23" fillId="0" borderId="0" xfId="0" applyFont="1" applyAlignment="1">
      <alignment vertical="center"/>
    </xf>
    <xf numFmtId="0" fontId="22" fillId="2" borderId="86" xfId="0" applyFont="1" applyFill="1" applyBorder="1" applyAlignment="1">
      <alignment horizontal="center"/>
    </xf>
    <xf numFmtId="3" fontId="23" fillId="0" borderId="91" xfId="0" applyNumberFormat="1" applyFont="1" applyFill="1" applyBorder="1" applyAlignment="1">
      <alignment horizontal="center"/>
    </xf>
    <xf numFmtId="3" fontId="23" fillId="0" borderId="80" xfId="0" applyNumberFormat="1" applyFont="1" applyFill="1" applyBorder="1" applyAlignment="1">
      <alignment horizontal="center"/>
    </xf>
    <xf numFmtId="3" fontId="23" fillId="0" borderId="92" xfId="0" applyNumberFormat="1" applyFont="1" applyFill="1" applyBorder="1" applyAlignment="1">
      <alignment horizontal="center"/>
    </xf>
    <xf numFmtId="3" fontId="23" fillId="0" borderId="83" xfId="0" applyNumberFormat="1" applyFont="1" applyFill="1" applyBorder="1" applyAlignment="1">
      <alignment horizontal="center"/>
    </xf>
    <xf numFmtId="0" fontId="22" fillId="2" borderId="93" xfId="0" applyFont="1" applyFill="1" applyBorder="1" applyAlignment="1">
      <alignment horizontal="center"/>
    </xf>
    <xf numFmtId="0" fontId="22" fillId="2" borderId="94" xfId="0" applyFont="1" applyFill="1" applyBorder="1" applyAlignment="1">
      <alignment horizontal="center"/>
    </xf>
    <xf numFmtId="2" fontId="23" fillId="0" borderId="91" xfId="0" applyNumberFormat="1" applyFont="1" applyFill="1" applyBorder="1" applyAlignment="1">
      <alignment horizontal="center"/>
    </xf>
    <xf numFmtId="3" fontId="23" fillId="0" borderId="95" xfId="0" applyNumberFormat="1" applyFont="1" applyFill="1" applyBorder="1" applyAlignment="1">
      <alignment horizontal="center"/>
    </xf>
    <xf numFmtId="1" fontId="22" fillId="0" borderId="0" xfId="0" applyNumberFormat="1" applyFont="1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15" fillId="0" borderId="0" xfId="1" applyFon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7" fontId="22" fillId="0" borderId="0" xfId="0" applyNumberFormat="1" applyFont="1" applyFill="1" applyAlignment="1">
      <alignment horizontal="center" vertical="center"/>
    </xf>
    <xf numFmtId="1" fontId="22" fillId="0" borderId="0" xfId="0" applyNumberFormat="1" applyFont="1" applyFill="1" applyAlignment="1">
      <alignment horizontal="center" vertical="center"/>
    </xf>
    <xf numFmtId="1" fontId="27" fillId="0" borderId="0" xfId="0" applyNumberFormat="1" applyFont="1" applyFill="1" applyAlignment="1">
      <alignment horizontal="center"/>
    </xf>
    <xf numFmtId="0" fontId="31" fillId="0" borderId="0" xfId="0" applyFont="1"/>
    <xf numFmtId="0" fontId="27" fillId="0" borderId="0" xfId="0" applyFont="1" applyFill="1"/>
    <xf numFmtId="0" fontId="22" fillId="0" borderId="0" xfId="5" applyFont="1" applyFill="1" applyAlignment="1">
      <alignment horizontal="left"/>
    </xf>
    <xf numFmtId="0" fontId="22" fillId="0" borderId="0" xfId="5" applyFont="1" applyFill="1" applyAlignment="1">
      <alignment horizontal="center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17" fontId="22" fillId="3" borderId="96" xfId="0" applyNumberFormat="1" applyFont="1" applyFill="1" applyBorder="1" applyAlignment="1">
      <alignment horizontal="center"/>
    </xf>
    <xf numFmtId="0" fontId="22" fillId="3" borderId="78" xfId="0" applyFont="1" applyFill="1" applyBorder="1" applyAlignment="1">
      <alignment horizontal="center"/>
    </xf>
    <xf numFmtId="1" fontId="23" fillId="0" borderId="87" xfId="0" applyNumberFormat="1" applyFont="1" applyBorder="1" applyAlignment="1">
      <alignment horizontal="center"/>
    </xf>
    <xf numFmtId="0" fontId="29" fillId="0" borderId="0" xfId="0" applyFont="1" applyFill="1" applyAlignment="1">
      <alignment horizontal="center" wrapText="1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center" wrapText="1"/>
    </xf>
    <xf numFmtId="3" fontId="23" fillId="0" borderId="86" xfId="0" applyNumberFormat="1" applyFont="1" applyFill="1" applyBorder="1" applyAlignment="1">
      <alignment horizontal="center"/>
    </xf>
    <xf numFmtId="0" fontId="22" fillId="2" borderId="97" xfId="0" applyFont="1" applyFill="1" applyBorder="1" applyAlignment="1">
      <alignment horizontal="center"/>
    </xf>
    <xf numFmtId="0" fontId="23" fillId="0" borderId="0" xfId="0" applyFont="1" applyFill="1" applyAlignment="1">
      <alignment wrapText="1"/>
    </xf>
    <xf numFmtId="1" fontId="22" fillId="3" borderId="77" xfId="0" applyNumberFormat="1" applyFont="1" applyFill="1" applyBorder="1" applyAlignment="1">
      <alignment horizontal="center"/>
    </xf>
    <xf numFmtId="0" fontId="22" fillId="0" borderId="0" xfId="0" applyFont="1" applyFill="1" applyAlignment="1">
      <alignment horizontal="right"/>
    </xf>
    <xf numFmtId="0" fontId="23" fillId="0" borderId="0" xfId="0" applyFont="1" applyFill="1" applyAlignment="1">
      <alignment horizontal="center"/>
    </xf>
    <xf numFmtId="0" fontId="23" fillId="0" borderId="0" xfId="0" applyFont="1" applyFill="1"/>
    <xf numFmtId="0" fontId="29" fillId="0" borderId="0" xfId="0" applyFont="1" applyFill="1" applyAlignment="1">
      <alignment wrapText="1"/>
    </xf>
    <xf numFmtId="0" fontId="28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7" fontId="22" fillId="3" borderId="98" xfId="0" applyNumberFormat="1" applyFont="1" applyFill="1" applyBorder="1" applyAlignment="1">
      <alignment horizontal="center" vertical="center"/>
    </xf>
    <xf numFmtId="17" fontId="22" fillId="3" borderId="98" xfId="0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left"/>
    </xf>
    <xf numFmtId="2" fontId="31" fillId="0" borderId="0" xfId="0" applyNumberFormat="1" applyFont="1"/>
    <xf numFmtId="0" fontId="22" fillId="2" borderId="98" xfId="0" applyFont="1" applyFill="1" applyBorder="1" applyAlignment="1">
      <alignment horizontal="center"/>
    </xf>
    <xf numFmtId="0" fontId="23" fillId="0" borderId="87" xfId="0" applyFont="1" applyBorder="1" applyAlignment="1">
      <alignment horizontal="center" vertical="center"/>
    </xf>
    <xf numFmtId="0" fontId="27" fillId="0" borderId="0" xfId="0" applyFont="1" applyFill="1" applyAlignment="1">
      <alignment horizontal="center"/>
    </xf>
    <xf numFmtId="164" fontId="0" fillId="0" borderId="0" xfId="0" applyNumberFormat="1" applyFill="1"/>
    <xf numFmtId="3" fontId="23" fillId="0" borderId="1" xfId="0" applyNumberFormat="1" applyFont="1" applyFill="1" applyBorder="1" applyAlignment="1">
      <alignment horizontal="center"/>
    </xf>
    <xf numFmtId="2" fontId="23" fillId="0" borderId="2" xfId="0" applyNumberFormat="1" applyFont="1" applyFill="1" applyBorder="1" applyAlignment="1">
      <alignment horizontal="center"/>
    </xf>
    <xf numFmtId="3" fontId="23" fillId="0" borderId="3" xfId="0" applyNumberFormat="1" applyFont="1" applyFill="1" applyBorder="1" applyAlignment="1">
      <alignment horizontal="center"/>
    </xf>
    <xf numFmtId="2" fontId="23" fillId="0" borderId="4" xfId="0" applyNumberFormat="1" applyFont="1" applyFill="1" applyBorder="1" applyAlignment="1">
      <alignment horizontal="center"/>
    </xf>
    <xf numFmtId="3" fontId="23" fillId="0" borderId="5" xfId="0" applyNumberFormat="1" applyFont="1" applyFill="1" applyBorder="1" applyAlignment="1">
      <alignment horizontal="center"/>
    </xf>
    <xf numFmtId="2" fontId="23" fillId="0" borderId="6" xfId="0" applyNumberFormat="1" applyFont="1" applyFill="1" applyBorder="1" applyAlignment="1">
      <alignment horizontal="center"/>
    </xf>
    <xf numFmtId="0" fontId="15" fillId="0" borderId="7" xfId="1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1" fillId="0" borderId="0" xfId="0" applyFont="1"/>
    <xf numFmtId="0" fontId="32" fillId="0" borderId="0" xfId="0" applyFont="1"/>
    <xf numFmtId="0" fontId="23" fillId="0" borderId="7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3" fillId="0" borderId="0" xfId="0" applyFont="1"/>
    <xf numFmtId="0" fontId="33" fillId="0" borderId="0" xfId="0" applyFont="1" applyAlignment="1">
      <alignment horizontal="center"/>
    </xf>
    <xf numFmtId="17" fontId="22" fillId="3" borderId="99" xfId="0" applyNumberFormat="1" applyFont="1" applyFill="1" applyBorder="1" applyAlignment="1">
      <alignment horizontal="center" vertical="center"/>
    </xf>
    <xf numFmtId="1" fontId="23" fillId="0" borderId="2" xfId="0" applyNumberFormat="1" applyFont="1" applyBorder="1" applyAlignment="1">
      <alignment horizontal="center"/>
    </xf>
    <xf numFmtId="1" fontId="23" fillId="0" borderId="4" xfId="0" applyNumberFormat="1" applyFont="1" applyBorder="1" applyAlignment="1">
      <alignment horizontal="center"/>
    </xf>
    <xf numFmtId="1" fontId="23" fillId="0" borderId="6" xfId="0" applyNumberFormat="1" applyFont="1" applyBorder="1" applyAlignment="1">
      <alignment horizontal="center"/>
    </xf>
    <xf numFmtId="0" fontId="23" fillId="0" borderId="7" xfId="0" applyFont="1" applyBorder="1" applyAlignment="1">
      <alignment horizontal="center" vertical="center"/>
    </xf>
    <xf numFmtId="0" fontId="23" fillId="0" borderId="7" xfId="0" applyFont="1" applyFill="1" applyBorder="1" applyAlignment="1">
      <alignment horizontal="center"/>
    </xf>
    <xf numFmtId="0" fontId="23" fillId="0" borderId="8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34" fillId="0" borderId="0" xfId="0" applyFont="1"/>
    <xf numFmtId="0" fontId="23" fillId="0" borderId="7" xfId="0" applyFont="1" applyFill="1" applyBorder="1" applyAlignment="1">
      <alignment horizontal="center" vertical="center"/>
    </xf>
    <xf numFmtId="0" fontId="22" fillId="3" borderId="100" xfId="0" applyFont="1" applyFill="1" applyBorder="1" applyAlignment="1">
      <alignment horizontal="center" vertical="center"/>
    </xf>
    <xf numFmtId="2" fontId="33" fillId="0" borderId="0" xfId="0" applyNumberFormat="1" applyFont="1"/>
    <xf numFmtId="1" fontId="22" fillId="3" borderId="101" xfId="0" applyNumberFormat="1" applyFont="1" applyFill="1" applyBorder="1" applyAlignment="1">
      <alignment horizontal="center" vertical="center"/>
    </xf>
    <xf numFmtId="17" fontId="22" fillId="3" borderId="102" xfId="0" applyNumberFormat="1" applyFont="1" applyFill="1" applyBorder="1" applyAlignment="1">
      <alignment horizontal="center" vertical="center"/>
    </xf>
    <xf numFmtId="0" fontId="22" fillId="3" borderId="100" xfId="0" applyFont="1" applyFill="1" applyBorder="1" applyAlignment="1">
      <alignment horizontal="center"/>
    </xf>
    <xf numFmtId="0" fontId="22" fillId="3" borderId="103" xfId="0" applyFont="1" applyFill="1" applyBorder="1" applyAlignment="1">
      <alignment horizontal="center"/>
    </xf>
    <xf numFmtId="1" fontId="31" fillId="0" borderId="0" xfId="0" applyNumberFormat="1" applyFont="1"/>
    <xf numFmtId="3" fontId="24" fillId="0" borderId="0" xfId="0" applyNumberFormat="1" applyFont="1" applyFill="1" applyBorder="1" applyAlignment="1">
      <alignment horizontal="center" vertical="center"/>
    </xf>
    <xf numFmtId="0" fontId="0" fillId="0" borderId="0" xfId="0"/>
    <xf numFmtId="0" fontId="23" fillId="0" borderId="10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2" fillId="0" borderId="13" xfId="0" applyFont="1" applyBorder="1" applyAlignment="1">
      <alignment horizontal="center"/>
    </xf>
    <xf numFmtId="1" fontId="22" fillId="0" borderId="12" xfId="0" applyNumberFormat="1" applyFont="1" applyBorder="1" applyAlignment="1">
      <alignment horizontal="center"/>
    </xf>
    <xf numFmtId="1" fontId="22" fillId="0" borderId="13" xfId="0" applyNumberFormat="1" applyFont="1" applyBorder="1" applyAlignment="1">
      <alignment horizontal="center"/>
    </xf>
    <xf numFmtId="164" fontId="22" fillId="0" borderId="84" xfId="0" applyNumberFormat="1" applyFont="1" applyBorder="1" applyAlignment="1">
      <alignment horizontal="center"/>
    </xf>
    <xf numFmtId="164" fontId="22" fillId="0" borderId="85" xfId="0" applyNumberFormat="1" applyFont="1" applyBorder="1" applyAlignment="1">
      <alignment horizontal="center"/>
    </xf>
    <xf numFmtId="1" fontId="22" fillId="0" borderId="85" xfId="0" applyNumberFormat="1" applyFont="1" applyBorder="1" applyAlignment="1">
      <alignment horizontal="center"/>
    </xf>
    <xf numFmtId="2" fontId="22" fillId="0" borderId="80" xfId="0" applyNumberFormat="1" applyFont="1" applyBorder="1" applyAlignment="1">
      <alignment horizontal="center"/>
    </xf>
    <xf numFmtId="2" fontId="22" fillId="0" borderId="92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1" fontId="22" fillId="0" borderId="85" xfId="0" applyNumberFormat="1" applyFont="1" applyBorder="1" applyAlignment="1">
      <alignment horizontal="center" vertical="center"/>
    </xf>
    <xf numFmtId="1" fontId="22" fillId="0" borderId="104" xfId="0" applyNumberFormat="1" applyFont="1" applyBorder="1" applyAlignment="1">
      <alignment horizontal="center" vertical="center"/>
    </xf>
    <xf numFmtId="3" fontId="23" fillId="0" borderId="105" xfId="0" applyNumberFormat="1" applyFont="1" applyFill="1" applyBorder="1" applyAlignment="1">
      <alignment horizontal="center"/>
    </xf>
    <xf numFmtId="3" fontId="23" fillId="0" borderId="87" xfId="0" applyNumberFormat="1" applyFont="1" applyFill="1" applyBorder="1" applyAlignment="1">
      <alignment horizontal="center"/>
    </xf>
    <xf numFmtId="3" fontId="23" fillId="0" borderId="106" xfId="0" applyNumberFormat="1" applyFont="1" applyFill="1" applyBorder="1" applyAlignment="1">
      <alignment horizontal="center"/>
    </xf>
    <xf numFmtId="3" fontId="23" fillId="0" borderId="107" xfId="0" applyNumberFormat="1" applyFont="1" applyFill="1" applyBorder="1" applyAlignment="1">
      <alignment horizontal="center"/>
    </xf>
    <xf numFmtId="2" fontId="23" fillId="0" borderId="108" xfId="0" applyNumberFormat="1" applyFont="1" applyFill="1" applyBorder="1" applyAlignment="1">
      <alignment horizontal="center"/>
    </xf>
    <xf numFmtId="2" fontId="23" fillId="0" borderId="109" xfId="0" applyNumberFormat="1" applyFont="1" applyFill="1" applyBorder="1" applyAlignment="1">
      <alignment horizontal="center"/>
    </xf>
    <xf numFmtId="2" fontId="23" fillId="0" borderId="110" xfId="0" applyNumberFormat="1" applyFont="1" applyFill="1" applyBorder="1" applyAlignment="1">
      <alignment horizontal="center"/>
    </xf>
    <xf numFmtId="1" fontId="22" fillId="0" borderId="14" xfId="0" applyNumberFormat="1" applyFont="1" applyBorder="1" applyAlignment="1">
      <alignment horizontal="center"/>
    </xf>
    <xf numFmtId="1" fontId="22" fillId="3" borderId="111" xfId="0" applyNumberFormat="1" applyFont="1" applyFill="1" applyBorder="1" applyAlignment="1">
      <alignment horizontal="center"/>
    </xf>
    <xf numFmtId="1" fontId="22" fillId="0" borderId="112" xfId="0" applyNumberFormat="1" applyFont="1" applyBorder="1" applyAlignment="1">
      <alignment horizontal="center"/>
    </xf>
    <xf numFmtId="1" fontId="22" fillId="0" borderId="113" xfId="0" applyNumberFormat="1" applyFont="1" applyBorder="1" applyAlignment="1">
      <alignment horizontal="center"/>
    </xf>
    <xf numFmtId="0" fontId="27" fillId="4" borderId="15" xfId="1" applyFont="1" applyFill="1" applyBorder="1" applyAlignment="1">
      <alignment horizontal="center" vertical="center"/>
    </xf>
    <xf numFmtId="0" fontId="15" fillId="0" borderId="16" xfId="1" applyFont="1" applyFill="1" applyBorder="1" applyAlignment="1">
      <alignment horizontal="center" vertical="center"/>
    </xf>
    <xf numFmtId="17" fontId="22" fillId="3" borderId="100" xfId="0" applyNumberFormat="1" applyFont="1" applyFill="1" applyBorder="1" applyAlignment="1">
      <alignment horizontal="center" vertical="center"/>
    </xf>
    <xf numFmtId="17" fontId="22" fillId="3" borderId="114" xfId="0" applyNumberFormat="1" applyFont="1" applyFill="1" applyBorder="1" applyAlignment="1">
      <alignment horizontal="center" vertical="center"/>
    </xf>
    <xf numFmtId="17" fontId="22" fillId="3" borderId="17" xfId="0" applyNumberFormat="1" applyFont="1" applyFill="1" applyBorder="1" applyAlignment="1">
      <alignment horizontal="center" vertical="center"/>
    </xf>
    <xf numFmtId="0" fontId="22" fillId="3" borderId="18" xfId="0" applyFont="1" applyFill="1" applyBorder="1" applyAlignment="1">
      <alignment horizontal="center" vertical="center"/>
    </xf>
    <xf numFmtId="0" fontId="22" fillId="3" borderId="18" xfId="0" applyFont="1" applyFill="1" applyBorder="1" applyAlignment="1">
      <alignment horizontal="right"/>
    </xf>
    <xf numFmtId="17" fontId="22" fillId="3" borderId="114" xfId="0" applyNumberFormat="1" applyFont="1" applyFill="1" applyBorder="1" applyAlignment="1">
      <alignment horizontal="center"/>
    </xf>
    <xf numFmtId="0" fontId="35" fillId="0" borderId="0" xfId="0" applyFont="1" applyAlignment="1">
      <alignment horizontal="center" vertical="center"/>
    </xf>
    <xf numFmtId="0" fontId="35" fillId="0" borderId="0" xfId="0" applyFont="1"/>
    <xf numFmtId="0" fontId="17" fillId="0" borderId="0" xfId="0" applyFont="1"/>
    <xf numFmtId="0" fontId="4" fillId="2" borderId="19" xfId="0" applyFont="1" applyFill="1" applyBorder="1" applyAlignment="1">
      <alignment horizontal="center"/>
    </xf>
    <xf numFmtId="17" fontId="4" fillId="5" borderId="12" xfId="0" applyNumberFormat="1" applyFont="1" applyFill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17" fontId="4" fillId="5" borderId="13" xfId="0" applyNumberFormat="1" applyFont="1" applyFill="1" applyBorder="1" applyAlignment="1">
      <alignment horizontal="center"/>
    </xf>
    <xf numFmtId="2" fontId="2" fillId="0" borderId="13" xfId="0" applyNumberFormat="1" applyFont="1" applyBorder="1" applyAlignment="1">
      <alignment horizontal="center"/>
    </xf>
    <xf numFmtId="17" fontId="4" fillId="5" borderId="20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17" fontId="36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Fill="1"/>
    <xf numFmtId="0" fontId="0" fillId="0" borderId="0" xfId="0"/>
    <xf numFmtId="3" fontId="24" fillId="0" borderId="0" xfId="0" applyNumberFormat="1" applyFont="1" applyFill="1" applyAlignment="1">
      <alignment horizontal="center" vertical="center"/>
    </xf>
    <xf numFmtId="0" fontId="37" fillId="3" borderId="115" xfId="0" applyFont="1" applyFill="1" applyBorder="1" applyAlignment="1">
      <alignment horizontal="left" vertical="center"/>
    </xf>
    <xf numFmtId="17" fontId="22" fillId="0" borderId="12" xfId="0" applyNumberFormat="1" applyFont="1" applyFill="1" applyBorder="1" applyAlignment="1">
      <alignment horizontal="center"/>
    </xf>
    <xf numFmtId="17" fontId="22" fillId="0" borderId="13" xfId="0" applyNumberFormat="1" applyFont="1" applyFill="1" applyBorder="1" applyAlignment="1">
      <alignment horizontal="center"/>
    </xf>
    <xf numFmtId="17" fontId="22" fillId="0" borderId="20" xfId="0" applyNumberFormat="1" applyFont="1" applyFill="1" applyBorder="1" applyAlignment="1">
      <alignment horizontal="center"/>
    </xf>
    <xf numFmtId="0" fontId="0" fillId="0" borderId="0" xfId="0"/>
    <xf numFmtId="2" fontId="38" fillId="3" borderId="77" xfId="0" applyNumberFormat="1" applyFont="1" applyFill="1" applyBorder="1" applyAlignment="1">
      <alignment horizontal="center" vertical="center" wrapText="1"/>
    </xf>
    <xf numFmtId="0" fontId="39" fillId="0" borderId="21" xfId="0" applyFont="1" applyBorder="1" applyAlignment="1">
      <alignment horizontal="center" vertical="center" wrapText="1"/>
    </xf>
    <xf numFmtId="17" fontId="38" fillId="6" borderId="77" xfId="0" applyNumberFormat="1" applyFont="1" applyFill="1" applyBorder="1" applyAlignment="1">
      <alignment horizontal="center" vertical="center" wrapText="1"/>
    </xf>
    <xf numFmtId="17" fontId="38" fillId="6" borderId="116" xfId="0" applyNumberFormat="1" applyFont="1" applyFill="1" applyBorder="1" applyAlignment="1">
      <alignment horizontal="center" vertical="center" wrapText="1"/>
    </xf>
    <xf numFmtId="17" fontId="38" fillId="6" borderId="98" xfId="0" applyNumberFormat="1" applyFont="1" applyFill="1" applyBorder="1" applyAlignment="1">
      <alignment horizontal="center" vertical="center" wrapText="1"/>
    </xf>
    <xf numFmtId="17" fontId="38" fillId="3" borderId="77" xfId="0" applyNumberFormat="1" applyFont="1" applyFill="1" applyBorder="1" applyAlignment="1">
      <alignment horizontal="center" vertical="center" wrapText="1"/>
    </xf>
    <xf numFmtId="0" fontId="38" fillId="3" borderId="116" xfId="0" applyNumberFormat="1" applyFont="1" applyFill="1" applyBorder="1" applyAlignment="1">
      <alignment horizontal="center" vertical="center" wrapText="1"/>
    </xf>
    <xf numFmtId="0" fontId="39" fillId="0" borderId="21" xfId="0" applyFont="1" applyBorder="1" applyAlignment="1">
      <alignment horizontal="center"/>
    </xf>
    <xf numFmtId="0" fontId="40" fillId="7" borderId="22" xfId="0" applyFont="1" applyFill="1" applyBorder="1"/>
    <xf numFmtId="0" fontId="40" fillId="7" borderId="23" xfId="0" applyFont="1" applyFill="1" applyBorder="1"/>
    <xf numFmtId="0" fontId="40" fillId="7" borderId="19" xfId="0" applyFont="1" applyFill="1" applyBorder="1"/>
    <xf numFmtId="1" fontId="40" fillId="7" borderId="24" xfId="0" applyNumberFormat="1" applyFont="1" applyFill="1" applyBorder="1"/>
    <xf numFmtId="2" fontId="40" fillId="7" borderId="19" xfId="0" applyNumberFormat="1" applyFont="1" applyFill="1" applyBorder="1"/>
    <xf numFmtId="2" fontId="40" fillId="7" borderId="25" xfId="0" applyNumberFormat="1" applyFont="1" applyFill="1" applyBorder="1"/>
    <xf numFmtId="0" fontId="40" fillId="0" borderId="26" xfId="0" applyFont="1" applyBorder="1" applyAlignment="1">
      <alignment vertical="center"/>
    </xf>
    <xf numFmtId="0" fontId="40" fillId="0" borderId="1" xfId="0" applyFont="1" applyBorder="1"/>
    <xf numFmtId="0" fontId="40" fillId="0" borderId="8" xfId="0" applyFont="1" applyBorder="1"/>
    <xf numFmtId="0" fontId="41" fillId="0" borderId="20" xfId="0" applyFont="1" applyBorder="1"/>
    <xf numFmtId="2" fontId="41" fillId="0" borderId="27" xfId="0" applyNumberFormat="1" applyFont="1" applyBorder="1"/>
    <xf numFmtId="1" fontId="41" fillId="0" borderId="18" xfId="0" applyNumberFormat="1" applyFont="1" applyBorder="1"/>
    <xf numFmtId="0" fontId="40" fillId="7" borderId="28" xfId="0" applyFont="1" applyFill="1" applyBorder="1"/>
    <xf numFmtId="0" fontId="40" fillId="7" borderId="29" xfId="0" applyFont="1" applyFill="1" applyBorder="1"/>
    <xf numFmtId="0" fontId="40" fillId="7" borderId="0" xfId="0" applyFont="1" applyFill="1" applyBorder="1"/>
    <xf numFmtId="0" fontId="40" fillId="7" borderId="30" xfId="0" applyFont="1" applyFill="1" applyBorder="1"/>
    <xf numFmtId="1" fontId="40" fillId="7" borderId="31" xfId="0" applyNumberFormat="1" applyFont="1" applyFill="1" applyBorder="1"/>
    <xf numFmtId="2" fontId="40" fillId="7" borderId="30" xfId="0" applyNumberFormat="1" applyFont="1" applyFill="1" applyBorder="1"/>
    <xf numFmtId="2" fontId="40" fillId="7" borderId="32" xfId="0" applyNumberFormat="1" applyFont="1" applyFill="1" applyBorder="1"/>
    <xf numFmtId="0" fontId="39" fillId="0" borderId="18" xfId="0" applyFont="1" applyBorder="1" applyAlignment="1">
      <alignment horizontal="center"/>
    </xf>
    <xf numFmtId="0" fontId="40" fillId="7" borderId="25" xfId="0" applyFont="1" applyFill="1" applyBorder="1"/>
    <xf numFmtId="0" fontId="40" fillId="7" borderId="13" xfId="0" applyFont="1" applyFill="1" applyBorder="1"/>
    <xf numFmtId="1" fontId="40" fillId="7" borderId="33" xfId="0" applyNumberFormat="1" applyFont="1" applyFill="1" applyBorder="1"/>
    <xf numFmtId="2" fontId="40" fillId="7" borderId="13" xfId="0" applyNumberFormat="1" applyFont="1" applyFill="1" applyBorder="1"/>
    <xf numFmtId="2" fontId="40" fillId="7" borderId="34" xfId="0" applyNumberFormat="1" applyFont="1" applyFill="1" applyBorder="1"/>
    <xf numFmtId="0" fontId="40" fillId="0" borderId="28" xfId="0" applyFont="1" applyBorder="1"/>
    <xf numFmtId="0" fontId="40" fillId="0" borderId="35" xfId="0" applyFont="1" applyBorder="1"/>
    <xf numFmtId="0" fontId="40" fillId="0" borderId="36" xfId="0" applyFont="1" applyBorder="1"/>
    <xf numFmtId="0" fontId="40" fillId="0" borderId="37" xfId="0" applyFont="1" applyBorder="1"/>
    <xf numFmtId="0" fontId="41" fillId="0" borderId="38" xfId="0" applyFont="1" applyBorder="1"/>
    <xf numFmtId="1" fontId="41" fillId="0" borderId="39" xfId="0" applyNumberFormat="1" applyFont="1" applyBorder="1"/>
    <xf numFmtId="2" fontId="41" fillId="0" borderId="38" xfId="0" applyNumberFormat="1" applyFont="1" applyBorder="1"/>
    <xf numFmtId="0" fontId="41" fillId="7" borderId="30" xfId="0" applyFont="1" applyFill="1" applyBorder="1"/>
    <xf numFmtId="1" fontId="41" fillId="7" borderId="0" xfId="0" applyNumberFormat="1" applyFont="1" applyFill="1" applyBorder="1"/>
    <xf numFmtId="2" fontId="41" fillId="7" borderId="40" xfId="0" applyNumberFormat="1" applyFont="1" applyFill="1" applyBorder="1"/>
    <xf numFmtId="2" fontId="41" fillId="7" borderId="32" xfId="0" applyNumberFormat="1" applyFont="1" applyFill="1" applyBorder="1"/>
    <xf numFmtId="0" fontId="39" fillId="8" borderId="18" xfId="0" applyFont="1" applyFill="1" applyBorder="1" applyAlignment="1">
      <alignment horizontal="left"/>
    </xf>
    <xf numFmtId="1" fontId="23" fillId="0" borderId="1" xfId="0" applyNumberFormat="1" applyFont="1" applyFill="1" applyBorder="1" applyAlignment="1">
      <alignment horizontal="center" vertical="center"/>
    </xf>
    <xf numFmtId="1" fontId="23" fillId="0" borderId="8" xfId="0" applyNumberFormat="1" applyFont="1" applyFill="1" applyBorder="1" applyAlignment="1">
      <alignment horizontal="center" vertical="center"/>
    </xf>
    <xf numFmtId="1" fontId="23" fillId="0" borderId="3" xfId="0" applyNumberFormat="1" applyFont="1" applyFill="1" applyBorder="1" applyAlignment="1">
      <alignment horizontal="center" vertical="center"/>
    </xf>
    <xf numFmtId="1" fontId="23" fillId="0" borderId="7" xfId="0" applyNumberFormat="1" applyFont="1" applyFill="1" applyBorder="1" applyAlignment="1">
      <alignment horizontal="center" vertical="center"/>
    </xf>
    <xf numFmtId="1" fontId="23" fillId="0" borderId="5" xfId="0" applyNumberFormat="1" applyFont="1" applyFill="1" applyBorder="1" applyAlignment="1">
      <alignment horizontal="center" vertical="center"/>
    </xf>
    <xf numFmtId="1" fontId="23" fillId="0" borderId="9" xfId="0" applyNumberFormat="1" applyFont="1" applyFill="1" applyBorder="1" applyAlignment="1">
      <alignment horizontal="center" vertical="center"/>
    </xf>
    <xf numFmtId="17" fontId="22" fillId="3" borderId="116" xfId="0" applyNumberFormat="1" applyFont="1" applyFill="1" applyBorder="1" applyAlignment="1">
      <alignment horizontal="center" vertical="center"/>
    </xf>
    <xf numFmtId="164" fontId="22" fillId="3" borderId="77" xfId="0" applyNumberFormat="1" applyFont="1" applyFill="1" applyBorder="1" applyAlignment="1">
      <alignment horizontal="center" vertical="center"/>
    </xf>
    <xf numFmtId="0" fontId="22" fillId="3" borderId="78" xfId="0" applyFont="1" applyFill="1" applyBorder="1" applyAlignment="1">
      <alignment horizontal="center" vertical="center" wrapText="1"/>
    </xf>
    <xf numFmtId="0" fontId="22" fillId="3" borderId="77" xfId="0" applyFont="1" applyFill="1" applyBorder="1" applyAlignment="1">
      <alignment horizontal="left" vertical="center"/>
    </xf>
    <xf numFmtId="0" fontId="22" fillId="3" borderId="77" xfId="0" applyFont="1" applyFill="1" applyBorder="1" applyAlignment="1">
      <alignment horizontal="center" vertical="center"/>
    </xf>
    <xf numFmtId="0" fontId="0" fillId="0" borderId="0" xfId="0" applyFont="1"/>
    <xf numFmtId="0" fontId="27" fillId="0" borderId="26" xfId="0" applyFont="1" applyBorder="1" applyAlignment="1">
      <alignment horizontal="left"/>
    </xf>
    <xf numFmtId="0" fontId="27" fillId="0" borderId="14" xfId="0" applyFont="1" applyBorder="1" applyAlignment="1">
      <alignment horizontal="left"/>
    </xf>
    <xf numFmtId="0" fontId="27" fillId="0" borderId="41" xfId="0" applyFont="1" applyBorder="1" applyAlignment="1">
      <alignment horizontal="left"/>
    </xf>
    <xf numFmtId="0" fontId="22" fillId="0" borderId="91" xfId="0" applyFont="1" applyBorder="1"/>
    <xf numFmtId="0" fontId="22" fillId="0" borderId="80" xfId="0" applyFont="1" applyBorder="1"/>
    <xf numFmtId="0" fontId="42" fillId="0" borderId="0" xfId="0" applyFont="1"/>
    <xf numFmtId="0" fontId="22" fillId="3" borderId="117" xfId="0" applyFont="1" applyFill="1" applyBorder="1" applyAlignment="1">
      <alignment horizontal="center" vertical="center"/>
    </xf>
    <xf numFmtId="0" fontId="38" fillId="2" borderId="78" xfId="0" applyFont="1" applyFill="1" applyBorder="1" applyAlignment="1">
      <alignment horizontal="center"/>
    </xf>
    <xf numFmtId="0" fontId="40" fillId="0" borderId="0" xfId="0" applyFont="1"/>
    <xf numFmtId="0" fontId="38" fillId="2" borderId="77" xfId="0" applyFont="1" applyFill="1" applyBorder="1" applyAlignment="1">
      <alignment horizontal="center"/>
    </xf>
    <xf numFmtId="3" fontId="29" fillId="0" borderId="79" xfId="0" applyNumberFormat="1" applyFont="1" applyFill="1" applyBorder="1" applyAlignment="1">
      <alignment horizontal="center"/>
    </xf>
    <xf numFmtId="2" fontId="29" fillId="0" borderId="80" xfId="0" applyNumberFormat="1" applyFont="1" applyFill="1" applyBorder="1" applyAlignment="1">
      <alignment horizontal="center"/>
    </xf>
    <xf numFmtId="3" fontId="29" fillId="0" borderId="81" xfId="0" applyNumberFormat="1" applyFont="1" applyFill="1" applyBorder="1" applyAlignment="1">
      <alignment horizontal="center"/>
    </xf>
    <xf numFmtId="3" fontId="29" fillId="0" borderId="118" xfId="0" applyNumberFormat="1" applyFont="1" applyFill="1" applyBorder="1" applyAlignment="1">
      <alignment horizontal="center"/>
    </xf>
    <xf numFmtId="3" fontId="29" fillId="0" borderId="82" xfId="0" applyNumberFormat="1" applyFont="1" applyFill="1" applyBorder="1" applyAlignment="1">
      <alignment horizontal="center"/>
    </xf>
    <xf numFmtId="2" fontId="29" fillId="0" borderId="83" xfId="0" applyNumberFormat="1" applyFont="1" applyFill="1" applyBorder="1" applyAlignment="1">
      <alignment horizontal="center"/>
    </xf>
    <xf numFmtId="0" fontId="43" fillId="0" borderId="0" xfId="0" applyFont="1" applyAlignment="1">
      <alignment wrapText="1"/>
    </xf>
    <xf numFmtId="0" fontId="39" fillId="0" borderId="35" xfId="0" applyFont="1" applyBorder="1" applyAlignment="1">
      <alignment horizontal="left" wrapText="1"/>
    </xf>
    <xf numFmtId="0" fontId="39" fillId="0" borderId="36" xfId="0" applyFont="1" applyBorder="1" applyAlignment="1">
      <alignment horizontal="left" wrapText="1"/>
    </xf>
    <xf numFmtId="0" fontId="39" fillId="0" borderId="42" xfId="0" applyFont="1" applyBorder="1" applyAlignment="1">
      <alignment horizontal="left" wrapText="1"/>
    </xf>
    <xf numFmtId="0" fontId="39" fillId="0" borderId="18" xfId="0" applyFont="1" applyBorder="1" applyAlignment="1">
      <alignment wrapText="1"/>
    </xf>
    <xf numFmtId="0" fontId="43" fillId="7" borderId="43" xfId="0" applyFont="1" applyFill="1" applyBorder="1" applyAlignment="1">
      <alignment wrapText="1"/>
    </xf>
    <xf numFmtId="0" fontId="39" fillId="4" borderId="35" xfId="0" applyFont="1" applyFill="1" applyBorder="1" applyAlignment="1">
      <alignment horizontal="center"/>
    </xf>
    <xf numFmtId="0" fontId="39" fillId="4" borderId="18" xfId="0" applyFont="1" applyFill="1" applyBorder="1" applyAlignment="1">
      <alignment horizontal="center"/>
    </xf>
    <xf numFmtId="0" fontId="43" fillId="7" borderId="43" xfId="0" applyFont="1" applyFill="1" applyBorder="1" applyAlignment="1">
      <alignment horizontal="left" wrapText="1"/>
    </xf>
    <xf numFmtId="0" fontId="43" fillId="7" borderId="16" xfId="0" applyFont="1" applyFill="1" applyBorder="1"/>
    <xf numFmtId="0" fontId="43" fillId="7" borderId="44" xfId="0" applyFont="1" applyFill="1" applyBorder="1"/>
    <xf numFmtId="0" fontId="43" fillId="7" borderId="45" xfId="0" applyFont="1" applyFill="1" applyBorder="1"/>
    <xf numFmtId="0" fontId="43" fillId="7" borderId="43" xfId="0" applyFont="1" applyFill="1" applyBorder="1"/>
    <xf numFmtId="0" fontId="39" fillId="9" borderId="35" xfId="0" applyFont="1" applyFill="1" applyBorder="1" applyAlignment="1">
      <alignment horizontal="center"/>
    </xf>
    <xf numFmtId="0" fontId="39" fillId="9" borderId="18" xfId="0" applyFont="1" applyFill="1" applyBorder="1" applyAlignment="1">
      <alignment horizontal="center"/>
    </xf>
    <xf numFmtId="2" fontId="44" fillId="3" borderId="77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45" fillId="0" borderId="0" xfId="0" applyFont="1" applyAlignment="1">
      <alignment horizontal="left"/>
    </xf>
    <xf numFmtId="0" fontId="23" fillId="0" borderId="16" xfId="0" applyFont="1" applyBorder="1" applyAlignment="1">
      <alignment horizontal="center"/>
    </xf>
    <xf numFmtId="2" fontId="41" fillId="0" borderId="46" xfId="0" applyNumberFormat="1" applyFont="1" applyBorder="1"/>
    <xf numFmtId="0" fontId="43" fillId="7" borderId="47" xfId="0" applyFont="1" applyFill="1" applyBorder="1" applyAlignment="1">
      <alignment horizontal="left" wrapText="1"/>
    </xf>
    <xf numFmtId="0" fontId="39" fillId="4" borderId="48" xfId="0" applyFont="1" applyFill="1" applyBorder="1" applyAlignment="1">
      <alignment horizontal="center"/>
    </xf>
    <xf numFmtId="0" fontId="39" fillId="4" borderId="49" xfId="0" applyFont="1" applyFill="1" applyBorder="1" applyAlignment="1">
      <alignment horizontal="center"/>
    </xf>
    <xf numFmtId="0" fontId="43" fillId="0" borderId="12" xfId="0" applyFont="1" applyFill="1" applyBorder="1" applyAlignment="1">
      <alignment wrapText="1"/>
    </xf>
    <xf numFmtId="0" fontId="43" fillId="0" borderId="13" xfId="0" applyFont="1" applyFill="1" applyBorder="1" applyAlignment="1">
      <alignment wrapText="1"/>
    </xf>
    <xf numFmtId="0" fontId="43" fillId="0" borderId="20" xfId="0" applyFont="1" applyFill="1" applyBorder="1" applyAlignment="1">
      <alignment wrapText="1"/>
    </xf>
    <xf numFmtId="0" fontId="43" fillId="0" borderId="8" xfId="0" applyFont="1" applyFill="1" applyBorder="1" applyAlignment="1">
      <alignment horizontal="center" wrapText="1"/>
    </xf>
    <xf numFmtId="0" fontId="43" fillId="0" borderId="10" xfId="0" applyFont="1" applyFill="1" applyBorder="1" applyAlignment="1">
      <alignment horizontal="center" wrapText="1"/>
    </xf>
    <xf numFmtId="0" fontId="43" fillId="0" borderId="7" xfId="0" applyFont="1" applyFill="1" applyBorder="1" applyAlignment="1">
      <alignment horizontal="center" wrapText="1"/>
    </xf>
    <xf numFmtId="0" fontId="43" fillId="0" borderId="11" xfId="0" applyFont="1" applyFill="1" applyBorder="1" applyAlignment="1">
      <alignment horizontal="center" wrapText="1"/>
    </xf>
    <xf numFmtId="0" fontId="43" fillId="0" borderId="9" xfId="0" applyFont="1" applyFill="1" applyBorder="1" applyAlignment="1">
      <alignment horizontal="center" wrapText="1"/>
    </xf>
    <xf numFmtId="0" fontId="43" fillId="0" borderId="50" xfId="0" applyFont="1" applyFill="1" applyBorder="1" applyAlignment="1">
      <alignment horizontal="center" wrapText="1"/>
    </xf>
    <xf numFmtId="0" fontId="43" fillId="0" borderId="8" xfId="0" applyFont="1" applyFill="1" applyBorder="1" applyAlignment="1">
      <alignment horizontal="center"/>
    </xf>
    <xf numFmtId="0" fontId="43" fillId="0" borderId="7" xfId="0" applyFont="1" applyFill="1" applyBorder="1" applyAlignment="1">
      <alignment horizontal="center"/>
    </xf>
    <xf numFmtId="0" fontId="43" fillId="0" borderId="9" xfId="0" applyFont="1" applyFill="1" applyBorder="1" applyAlignment="1">
      <alignment horizontal="center"/>
    </xf>
    <xf numFmtId="0" fontId="43" fillId="0" borderId="10" xfId="0" applyFont="1" applyFill="1" applyBorder="1" applyAlignment="1">
      <alignment horizontal="center"/>
    </xf>
    <xf numFmtId="0" fontId="43" fillId="0" borderId="11" xfId="0" applyFont="1" applyFill="1" applyBorder="1" applyAlignment="1">
      <alignment horizontal="center"/>
    </xf>
    <xf numFmtId="0" fontId="43" fillId="0" borderId="50" xfId="0" applyFont="1" applyFill="1" applyBorder="1" applyAlignment="1">
      <alignment horizontal="center"/>
    </xf>
    <xf numFmtId="0" fontId="43" fillId="0" borderId="12" xfId="0" applyFont="1" applyFill="1" applyBorder="1"/>
    <xf numFmtId="0" fontId="43" fillId="0" borderId="13" xfId="0" applyFont="1" applyFill="1" applyBorder="1"/>
    <xf numFmtId="0" fontId="43" fillId="0" borderId="20" xfId="0" applyFont="1" applyFill="1" applyBorder="1"/>
    <xf numFmtId="0" fontId="39" fillId="4" borderId="51" xfId="0" applyFont="1" applyFill="1" applyBorder="1" applyAlignment="1">
      <alignment horizontal="center"/>
    </xf>
    <xf numFmtId="0" fontId="46" fillId="10" borderId="18" xfId="0" applyFont="1" applyFill="1" applyBorder="1" applyAlignment="1">
      <alignment horizontal="right" vertical="center" wrapText="1"/>
    </xf>
    <xf numFmtId="0" fontId="27" fillId="0" borderId="13" xfId="1" applyFont="1" applyFill="1" applyBorder="1" applyAlignment="1">
      <alignment horizontal="center" vertical="center"/>
    </xf>
    <xf numFmtId="2" fontId="23" fillId="0" borderId="81" xfId="0" applyNumberFormat="1" applyFont="1" applyFill="1" applyBorder="1" applyAlignment="1">
      <alignment horizontal="center"/>
    </xf>
    <xf numFmtId="2" fontId="23" fillId="0" borderId="82" xfId="0" applyNumberFormat="1" applyFont="1" applyFill="1" applyBorder="1" applyAlignment="1">
      <alignment horizontal="center"/>
    </xf>
    <xf numFmtId="17" fontId="22" fillId="3" borderId="18" xfId="0" applyNumberFormat="1" applyFont="1" applyFill="1" applyBorder="1" applyAlignment="1">
      <alignment horizontal="center"/>
    </xf>
    <xf numFmtId="0" fontId="0" fillId="0" borderId="0" xfId="0"/>
    <xf numFmtId="0" fontId="0" fillId="0" borderId="0" xfId="0"/>
    <xf numFmtId="2" fontId="41" fillId="7" borderId="52" xfId="0" applyNumberFormat="1" applyFont="1" applyFill="1" applyBorder="1"/>
    <xf numFmtId="2" fontId="41" fillId="7" borderId="38" xfId="0" applyNumberFormat="1" applyFont="1" applyFill="1" applyBorder="1"/>
    <xf numFmtId="2" fontId="41" fillId="7" borderId="18" xfId="0" applyNumberFormat="1" applyFont="1" applyFill="1" applyBorder="1"/>
    <xf numFmtId="0" fontId="39" fillId="8" borderId="53" xfId="0" applyFont="1" applyFill="1" applyBorder="1"/>
    <xf numFmtId="0" fontId="39" fillId="8" borderId="54" xfId="0" applyFont="1" applyFill="1" applyBorder="1"/>
    <xf numFmtId="0" fontId="41" fillId="0" borderId="48" xfId="0" applyFont="1" applyBorder="1"/>
    <xf numFmtId="0" fontId="40" fillId="0" borderId="7" xfId="0" applyFont="1" applyBorder="1"/>
    <xf numFmtId="0" fontId="40" fillId="0" borderId="3" xfId="0" applyFont="1" applyBorder="1"/>
    <xf numFmtId="0" fontId="40" fillId="0" borderId="5" xfId="0" applyFont="1" applyBorder="1"/>
    <xf numFmtId="0" fontId="40" fillId="0" borderId="9" xfId="0" applyFont="1" applyBorder="1"/>
    <xf numFmtId="1" fontId="41" fillId="0" borderId="12" xfId="0" applyNumberFormat="1" applyFont="1" applyBorder="1"/>
    <xf numFmtId="0" fontId="40" fillId="0" borderId="10" xfId="0" applyFont="1" applyBorder="1"/>
    <xf numFmtId="0" fontId="40" fillId="0" borderId="11" xfId="0" applyFont="1" applyBorder="1"/>
    <xf numFmtId="0" fontId="40" fillId="0" borderId="50" xfId="0" applyFont="1" applyBorder="1"/>
    <xf numFmtId="0" fontId="40" fillId="4" borderId="55" xfId="0" applyFont="1" applyFill="1" applyBorder="1"/>
    <xf numFmtId="0" fontId="40" fillId="4" borderId="54" xfId="0" applyFont="1" applyFill="1" applyBorder="1"/>
    <xf numFmtId="2" fontId="41" fillId="4" borderId="38" xfId="0" applyNumberFormat="1" applyFont="1" applyFill="1" applyBorder="1"/>
    <xf numFmtId="0" fontId="0" fillId="0" borderId="0" xfId="0"/>
    <xf numFmtId="3" fontId="36" fillId="0" borderId="18" xfId="0" applyNumberFormat="1" applyFont="1" applyBorder="1"/>
    <xf numFmtId="1" fontId="22" fillId="0" borderId="56" xfId="0" applyNumberFormat="1" applyFont="1" applyBorder="1" applyAlignment="1">
      <alignment horizontal="center"/>
    </xf>
    <xf numFmtId="1" fontId="22" fillId="0" borderId="57" xfId="0" applyNumberFormat="1" applyFont="1" applyBorder="1" applyAlignment="1">
      <alignment horizontal="center"/>
    </xf>
    <xf numFmtId="0" fontId="22" fillId="3" borderId="15" xfId="0" applyFont="1" applyFill="1" applyBorder="1" applyAlignment="1">
      <alignment horizontal="center" vertical="center"/>
    </xf>
    <xf numFmtId="0" fontId="22" fillId="3" borderId="103" xfId="0" applyFont="1" applyFill="1" applyBorder="1" applyAlignment="1">
      <alignment horizontal="center" vertical="center"/>
    </xf>
    <xf numFmtId="0" fontId="22" fillId="0" borderId="108" xfId="0" applyFont="1" applyBorder="1" applyAlignment="1">
      <alignment horizontal="center" vertical="center"/>
    </xf>
    <xf numFmtId="0" fontId="22" fillId="0" borderId="48" xfId="0" applyFont="1" applyBorder="1" applyAlignment="1">
      <alignment horizontal="center" vertical="center"/>
    </xf>
    <xf numFmtId="0" fontId="22" fillId="6" borderId="18" xfId="0" applyFont="1" applyFill="1" applyBorder="1" applyAlignment="1">
      <alignment horizontal="center"/>
    </xf>
    <xf numFmtId="0" fontId="0" fillId="0" borderId="0" xfId="0"/>
    <xf numFmtId="0" fontId="21" fillId="11" borderId="119" xfId="0" applyFont="1" applyFill="1" applyBorder="1" applyAlignment="1">
      <alignment wrapText="1"/>
    </xf>
    <xf numFmtId="0" fontId="21" fillId="11" borderId="119" xfId="0" applyFont="1" applyFill="1" applyBorder="1"/>
    <xf numFmtId="0" fontId="20" fillId="8" borderId="76" xfId="9" applyFill="1" applyAlignment="1">
      <alignment horizontal="left" wrapText="1"/>
    </xf>
    <xf numFmtId="0" fontId="20" fillId="8" borderId="76" xfId="9" applyFill="1"/>
    <xf numFmtId="0" fontId="20" fillId="0" borderId="76" xfId="9" applyAlignment="1">
      <alignment horizontal="left" wrapText="1"/>
    </xf>
    <xf numFmtId="0" fontId="20" fillId="12" borderId="76" xfId="9" applyFill="1" applyAlignment="1">
      <alignment horizontal="left" wrapText="1"/>
    </xf>
    <xf numFmtId="0" fontId="21" fillId="11" borderId="120" xfId="0" applyFont="1" applyFill="1" applyBorder="1" applyAlignment="1">
      <alignment horizontal="left" wrapText="1"/>
    </xf>
    <xf numFmtId="0" fontId="21" fillId="11" borderId="120" xfId="0" applyNumberFormat="1" applyFont="1" applyFill="1" applyBorder="1"/>
    <xf numFmtId="0" fontId="0" fillId="0" borderId="0" xfId="0"/>
    <xf numFmtId="0" fontId="0" fillId="0" borderId="13" xfId="0" applyFill="1" applyBorder="1" applyAlignment="1">
      <alignment wrapText="1"/>
    </xf>
    <xf numFmtId="0" fontId="0" fillId="0" borderId="52" xfId="0" applyFill="1" applyBorder="1" applyAlignment="1">
      <alignment wrapText="1"/>
    </xf>
    <xf numFmtId="0" fontId="0" fillId="0" borderId="13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27" fillId="0" borderId="14" xfId="0" applyFont="1" applyFill="1" applyBorder="1" applyAlignment="1">
      <alignment horizontal="center" wrapText="1"/>
    </xf>
    <xf numFmtId="0" fontId="27" fillId="0" borderId="41" xfId="0" applyFont="1" applyFill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27" fillId="3" borderId="18" xfId="0" applyFont="1" applyFill="1" applyBorder="1" applyAlignment="1">
      <alignment horizontal="center"/>
    </xf>
    <xf numFmtId="0" fontId="23" fillId="0" borderId="0" xfId="0" applyFont="1" applyBorder="1" applyAlignment="1">
      <alignment horizontal="left"/>
    </xf>
    <xf numFmtId="0" fontId="23" fillId="0" borderId="0" xfId="0" applyFont="1" applyBorder="1" applyAlignment="1">
      <alignment horizontal="center" vertical="center"/>
    </xf>
    <xf numFmtId="0" fontId="0" fillId="0" borderId="0" xfId="0" applyBorder="1"/>
    <xf numFmtId="0" fontId="23" fillId="0" borderId="0" xfId="0" applyFont="1" applyFill="1" applyBorder="1" applyAlignment="1">
      <alignment horizontal="left"/>
    </xf>
    <xf numFmtId="0" fontId="23" fillId="0" borderId="0" xfId="0" applyFont="1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15" fillId="0" borderId="0" xfId="1" applyFont="1"/>
    <xf numFmtId="0" fontId="31" fillId="0" borderId="0" xfId="1" applyFont="1"/>
    <xf numFmtId="0" fontId="27" fillId="0" borderId="0" xfId="0" applyFont="1" applyAlignment="1">
      <alignment horizontal="right"/>
    </xf>
    <xf numFmtId="0" fontId="3" fillId="0" borderId="0" xfId="0" applyFont="1"/>
    <xf numFmtId="0" fontId="1" fillId="0" borderId="0" xfId="1" applyFont="1"/>
    <xf numFmtId="0" fontId="32" fillId="0" borderId="0" xfId="0" applyFont="1" applyAlignment="1">
      <alignment horizontal="center" vertical="center"/>
    </xf>
    <xf numFmtId="0" fontId="22" fillId="0" borderId="0" xfId="5" applyFont="1"/>
    <xf numFmtId="0" fontId="47" fillId="0" borderId="0" xfId="0" applyFont="1" applyAlignment="1">
      <alignment wrapText="1"/>
    </xf>
    <xf numFmtId="0" fontId="47" fillId="0" borderId="0" xfId="0" applyFont="1" applyAlignment="1">
      <alignment horizontal="center" wrapText="1"/>
    </xf>
    <xf numFmtId="0" fontId="47" fillId="0" borderId="0" xfId="0" applyFont="1"/>
    <xf numFmtId="0" fontId="47" fillId="0" borderId="0" xfId="0" applyFont="1" applyAlignment="1">
      <alignment horizontal="center"/>
    </xf>
    <xf numFmtId="164" fontId="22" fillId="0" borderId="108" xfId="0" applyNumberFormat="1" applyFont="1" applyBorder="1" applyAlignment="1">
      <alignment horizontal="center" vertical="center"/>
    </xf>
    <xf numFmtId="164" fontId="22" fillId="0" borderId="109" xfId="0" applyNumberFormat="1" applyFont="1" applyBorder="1" applyAlignment="1">
      <alignment horizontal="center" vertical="center"/>
    </xf>
    <xf numFmtId="164" fontId="22" fillId="3" borderId="121" xfId="0" applyNumberFormat="1" applyFont="1" applyFill="1" applyBorder="1" applyAlignment="1">
      <alignment horizontal="center"/>
    </xf>
    <xf numFmtId="0" fontId="48" fillId="13" borderId="58" xfId="0" applyFont="1" applyFill="1" applyBorder="1" applyAlignment="1">
      <alignment horizontal="center" wrapText="1"/>
    </xf>
    <xf numFmtId="0" fontId="48" fillId="13" borderId="18" xfId="0" applyFont="1" applyFill="1" applyBorder="1" applyAlignment="1">
      <alignment horizontal="center" wrapText="1"/>
    </xf>
    <xf numFmtId="0" fontId="48" fillId="13" borderId="18" xfId="0" applyFont="1" applyFill="1" applyBorder="1" applyAlignment="1">
      <alignment wrapText="1"/>
    </xf>
    <xf numFmtId="0" fontId="32" fillId="13" borderId="18" xfId="0" applyFont="1" applyFill="1" applyBorder="1" applyAlignment="1">
      <alignment wrapText="1"/>
    </xf>
    <xf numFmtId="0" fontId="32" fillId="13" borderId="59" xfId="0" applyFont="1" applyFill="1" applyBorder="1" applyAlignment="1">
      <alignment horizontal="center" wrapText="1"/>
    </xf>
    <xf numFmtId="164" fontId="38" fillId="4" borderId="77" xfId="0" applyNumberFormat="1" applyFont="1" applyFill="1" applyBorder="1" applyAlignment="1">
      <alignment horizontal="center" vertical="center" wrapText="1"/>
    </xf>
    <xf numFmtId="164" fontId="22" fillId="4" borderId="12" xfId="0" applyNumberFormat="1" applyFont="1" applyFill="1" applyBorder="1" applyAlignment="1">
      <alignment horizontal="center" vertical="center" wrapText="1"/>
    </xf>
    <xf numFmtId="2" fontId="27" fillId="4" borderId="12" xfId="0" applyNumberFormat="1" applyFont="1" applyFill="1" applyBorder="1" applyAlignment="1">
      <alignment horizontal="center" vertical="center"/>
    </xf>
    <xf numFmtId="0" fontId="32" fillId="0" borderId="0" xfId="0" applyFont="1" applyFill="1"/>
    <xf numFmtId="0" fontId="33" fillId="0" borderId="0" xfId="0" applyFont="1" applyFill="1"/>
    <xf numFmtId="3" fontId="33" fillId="0" borderId="0" xfId="0" applyNumberFormat="1" applyFont="1" applyFill="1"/>
    <xf numFmtId="1" fontId="49" fillId="14" borderId="77" xfId="0" applyNumberFormat="1" applyFont="1" applyFill="1" applyBorder="1" applyAlignment="1">
      <alignment horizontal="center" vertical="center" wrapText="1"/>
    </xf>
    <xf numFmtId="0" fontId="32" fillId="0" borderId="0" xfId="0" applyFont="1" applyFill="1" applyAlignment="1">
      <alignment wrapText="1"/>
    </xf>
    <xf numFmtId="0" fontId="0" fillId="0" borderId="0" xfId="0"/>
    <xf numFmtId="1" fontId="49" fillId="3" borderId="98" xfId="0" applyNumberFormat="1" applyFont="1" applyFill="1" applyBorder="1" applyAlignment="1">
      <alignment horizontal="center" vertical="center" wrapText="1"/>
    </xf>
    <xf numFmtId="0" fontId="36" fillId="0" borderId="15" xfId="0" applyFont="1" applyBorder="1" applyAlignment="1">
      <alignment horizontal="right"/>
    </xf>
    <xf numFmtId="0" fontId="0" fillId="0" borderId="0" xfId="0"/>
    <xf numFmtId="0" fontId="0" fillId="0" borderId="0" xfId="0"/>
    <xf numFmtId="164" fontId="38" fillId="3" borderId="98" xfId="0" applyNumberFormat="1" applyFont="1" applyFill="1" applyBorder="1" applyAlignment="1">
      <alignment horizontal="center" wrapText="1"/>
    </xf>
    <xf numFmtId="17" fontId="38" fillId="3" borderId="18" xfId="0" applyNumberFormat="1" applyFont="1" applyFill="1" applyBorder="1" applyAlignment="1">
      <alignment horizontal="center" vertical="center"/>
    </xf>
    <xf numFmtId="17" fontId="38" fillId="3" borderId="114" xfId="0" applyNumberFormat="1" applyFont="1" applyFill="1" applyBorder="1" applyAlignment="1">
      <alignment horizontal="center" vertical="center"/>
    </xf>
    <xf numFmtId="17" fontId="38" fillId="3" borderId="60" xfId="0" applyNumberFormat="1" applyFont="1" applyFill="1" applyBorder="1" applyAlignment="1">
      <alignment horizontal="center" vertical="center"/>
    </xf>
    <xf numFmtId="17" fontId="38" fillId="3" borderId="103" xfId="0" applyNumberFormat="1" applyFont="1" applyFill="1" applyBorder="1" applyAlignment="1">
      <alignment horizontal="center" vertical="center"/>
    </xf>
    <xf numFmtId="0" fontId="23" fillId="0" borderId="45" xfId="0" applyFont="1" applyBorder="1" applyAlignment="1">
      <alignment horizontal="center"/>
    </xf>
    <xf numFmtId="1" fontId="22" fillId="0" borderId="122" xfId="0" applyNumberFormat="1" applyFont="1" applyBorder="1" applyAlignment="1">
      <alignment horizontal="center" vertical="center"/>
    </xf>
    <xf numFmtId="0" fontId="22" fillId="3" borderId="123" xfId="0" applyFont="1" applyFill="1" applyBorder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/>
    </xf>
    <xf numFmtId="0" fontId="36" fillId="4" borderId="15" xfId="0" applyFont="1" applyFill="1" applyBorder="1" applyAlignment="1">
      <alignment horizontal="right"/>
    </xf>
    <xf numFmtId="0" fontId="36" fillId="4" borderId="18" xfId="0" applyFont="1" applyFill="1" applyBorder="1" applyAlignment="1">
      <alignment horizontal="right"/>
    </xf>
    <xf numFmtId="0" fontId="50" fillId="0" borderId="0" xfId="0" applyFont="1" applyAlignment="1">
      <alignment horizontal="right"/>
    </xf>
    <xf numFmtId="0" fontId="50" fillId="0" borderId="0" xfId="0" applyFont="1" applyAlignment="1">
      <alignment horizontal="center"/>
    </xf>
    <xf numFmtId="0" fontId="22" fillId="3" borderId="117" xfId="0" applyFont="1" applyFill="1" applyBorder="1" applyAlignment="1">
      <alignment horizontal="right"/>
    </xf>
    <xf numFmtId="0" fontId="30" fillId="0" borderId="0" xfId="0" applyFont="1" applyAlignment="1">
      <alignment wrapText="1"/>
    </xf>
    <xf numFmtId="0" fontId="0" fillId="0" borderId="0" xfId="0"/>
    <xf numFmtId="0" fontId="0" fillId="0" borderId="0" xfId="0"/>
    <xf numFmtId="0" fontId="21" fillId="0" borderId="18" xfId="0" applyFont="1" applyBorder="1" applyAlignment="1">
      <alignment horizontal="right"/>
    </xf>
    <xf numFmtId="0" fontId="0" fillId="0" borderId="45" xfId="0" applyFill="1" applyBorder="1" applyAlignment="1">
      <alignment horizontal="center" vertical="center"/>
    </xf>
    <xf numFmtId="0" fontId="27" fillId="6" borderId="18" xfId="0" applyFont="1" applyFill="1" applyBorder="1" applyAlignment="1">
      <alignment horizontal="right"/>
    </xf>
    <xf numFmtId="0" fontId="40" fillId="0" borderId="11" xfId="0" applyFont="1" applyBorder="1" applyAlignment="1">
      <alignment vertical="center"/>
    </xf>
    <xf numFmtId="0" fontId="40" fillId="0" borderId="28" xfId="0" applyFont="1" applyBorder="1" applyAlignment="1">
      <alignment horizontal="left"/>
    </xf>
    <xf numFmtId="0" fontId="51" fillId="4" borderId="18" xfId="0" applyFont="1" applyFill="1" applyBorder="1" applyAlignment="1">
      <alignment horizontal="left" wrapText="1"/>
    </xf>
    <xf numFmtId="0" fontId="21" fillId="0" borderId="48" xfId="0" applyFont="1" applyBorder="1" applyAlignment="1">
      <alignment horizontal="right"/>
    </xf>
    <xf numFmtId="0" fontId="15" fillId="0" borderId="45" xfId="1" applyFont="1" applyFill="1" applyBorder="1" applyAlignment="1">
      <alignment horizontal="center" vertical="center"/>
    </xf>
    <xf numFmtId="0" fontId="27" fillId="0" borderId="52" xfId="1" applyFont="1" applyFill="1" applyBorder="1" applyAlignment="1">
      <alignment horizontal="center" vertical="center"/>
    </xf>
    <xf numFmtId="2" fontId="27" fillId="4" borderId="18" xfId="0" applyNumberFormat="1" applyFont="1" applyFill="1" applyBorder="1" applyAlignment="1">
      <alignment horizontal="center" vertical="center"/>
    </xf>
    <xf numFmtId="3" fontId="23" fillId="0" borderId="46" xfId="0" applyNumberFormat="1" applyFont="1" applyFill="1" applyBorder="1" applyAlignment="1">
      <alignment horizontal="center"/>
    </xf>
    <xf numFmtId="3" fontId="23" fillId="0" borderId="34" xfId="0" applyNumberFormat="1" applyFont="1" applyFill="1" applyBorder="1" applyAlignment="1">
      <alignment horizontal="center"/>
    </xf>
    <xf numFmtId="3" fontId="23" fillId="0" borderId="27" xfId="0" applyNumberFormat="1" applyFont="1" applyFill="1" applyBorder="1" applyAlignment="1">
      <alignment horizontal="center"/>
    </xf>
    <xf numFmtId="17" fontId="22" fillId="2" borderId="12" xfId="0" applyNumberFormat="1" applyFont="1" applyFill="1" applyBorder="1" applyAlignment="1">
      <alignment horizontal="center"/>
    </xf>
    <xf numFmtId="17" fontId="22" fillId="2" borderId="13" xfId="0" applyNumberFormat="1" applyFont="1" applyFill="1" applyBorder="1" applyAlignment="1">
      <alignment horizontal="center"/>
    </xf>
    <xf numFmtId="17" fontId="22" fillId="2" borderId="20" xfId="0" applyNumberFormat="1" applyFont="1" applyFill="1" applyBorder="1" applyAlignment="1">
      <alignment horizontal="center"/>
    </xf>
    <xf numFmtId="1" fontId="22" fillId="0" borderId="108" xfId="0" applyNumberFormat="1" applyFont="1" applyBorder="1" applyAlignment="1">
      <alignment horizontal="center" vertical="center"/>
    </xf>
    <xf numFmtId="1" fontId="22" fillId="0" borderId="109" xfId="0" applyNumberFormat="1" applyFont="1" applyBorder="1" applyAlignment="1">
      <alignment horizontal="center" vertical="center"/>
    </xf>
    <xf numFmtId="1" fontId="22" fillId="0" borderId="110" xfId="0" applyNumberFormat="1" applyFont="1" applyBorder="1" applyAlignment="1">
      <alignment horizontal="center" vertical="center"/>
    </xf>
    <xf numFmtId="0" fontId="36" fillId="4" borderId="48" xfId="0" applyFont="1" applyFill="1" applyBorder="1" applyAlignment="1">
      <alignment horizontal="right"/>
    </xf>
    <xf numFmtId="17" fontId="38" fillId="2" borderId="12" xfId="0" applyNumberFormat="1" applyFont="1" applyFill="1" applyBorder="1" applyAlignment="1">
      <alignment horizontal="center"/>
    </xf>
    <xf numFmtId="17" fontId="38" fillId="2" borderId="13" xfId="0" applyNumberFormat="1" applyFont="1" applyFill="1" applyBorder="1" applyAlignment="1">
      <alignment horizontal="center"/>
    </xf>
    <xf numFmtId="17" fontId="38" fillId="2" borderId="20" xfId="0" applyNumberFormat="1" applyFont="1" applyFill="1" applyBorder="1" applyAlignment="1">
      <alignment horizontal="center"/>
    </xf>
    <xf numFmtId="0" fontId="22" fillId="0" borderId="0" xfId="5" applyFont="1" applyFill="1" applyAlignment="1"/>
    <xf numFmtId="1" fontId="35" fillId="0" borderId="0" xfId="0" applyNumberFormat="1" applyFont="1" applyAlignment="1">
      <alignment horizontal="center" vertical="center"/>
    </xf>
    <xf numFmtId="164" fontId="35" fillId="0" borderId="0" xfId="0" applyNumberFormat="1" applyFont="1" applyAlignment="1">
      <alignment horizontal="center" vertical="center"/>
    </xf>
    <xf numFmtId="0" fontId="52" fillId="0" borderId="0" xfId="0" applyFont="1" applyAlignment="1">
      <alignment horizontal="center" vertical="center" wrapText="1"/>
    </xf>
    <xf numFmtId="0" fontId="35" fillId="0" borderId="0" xfId="0" applyFont="1" applyAlignment="1">
      <alignment horizontal="center"/>
    </xf>
    <xf numFmtId="0" fontId="36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164" fontId="53" fillId="4" borderId="18" xfId="0" applyNumberFormat="1" applyFont="1" applyFill="1" applyBorder="1" applyAlignment="1">
      <alignment horizontal="center" vertical="center" wrapText="1"/>
    </xf>
    <xf numFmtId="164" fontId="54" fillId="0" borderId="13" xfId="0" applyNumberFormat="1" applyFont="1" applyBorder="1" applyAlignment="1">
      <alignment horizontal="center" vertical="center"/>
    </xf>
    <xf numFmtId="164" fontId="53" fillId="4" borderId="18" xfId="0" applyNumberFormat="1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/>
    </xf>
    <xf numFmtId="0" fontId="7" fillId="4" borderId="48" xfId="0" applyFont="1" applyFill="1" applyBorder="1" applyAlignment="1">
      <alignment horizontal="right" vertical="center" wrapText="1"/>
    </xf>
    <xf numFmtId="0" fontId="23" fillId="0" borderId="122" xfId="0" applyFont="1" applyFill="1" applyBorder="1" applyAlignment="1">
      <alignment horizontal="center"/>
    </xf>
    <xf numFmtId="0" fontId="23" fillId="0" borderId="45" xfId="0" applyFont="1" applyFill="1" applyBorder="1" applyAlignment="1">
      <alignment horizontal="center"/>
    </xf>
    <xf numFmtId="0" fontId="23" fillId="0" borderId="45" xfId="0" applyFont="1" applyBorder="1" applyAlignment="1">
      <alignment horizontal="center" vertical="center"/>
    </xf>
    <xf numFmtId="0" fontId="23" fillId="0" borderId="61" xfId="0" applyFont="1" applyBorder="1" applyAlignment="1">
      <alignment horizontal="center"/>
    </xf>
    <xf numFmtId="0" fontId="22" fillId="0" borderId="52" xfId="0" applyFont="1" applyBorder="1" applyAlignment="1">
      <alignment horizontal="center"/>
    </xf>
    <xf numFmtId="164" fontId="22" fillId="0" borderId="122" xfId="0" applyNumberFormat="1" applyFont="1" applyBorder="1" applyAlignment="1">
      <alignment horizontal="center"/>
    </xf>
    <xf numFmtId="1" fontId="22" fillId="0" borderId="52" xfId="0" applyNumberFormat="1" applyFont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32" fillId="0" borderId="0" xfId="1" applyFont="1" applyAlignment="1">
      <alignment horizontal="center" vertical="center"/>
    </xf>
    <xf numFmtId="1" fontId="22" fillId="0" borderId="124" xfId="0" applyNumberFormat="1" applyFont="1" applyBorder="1" applyAlignment="1">
      <alignment horizontal="center"/>
    </xf>
    <xf numFmtId="0" fontId="7" fillId="4" borderId="48" xfId="0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54" fillId="0" borderId="7" xfId="0" applyFont="1" applyBorder="1" applyAlignment="1">
      <alignment horizontal="center" vertical="center"/>
    </xf>
    <xf numFmtId="0" fontId="0" fillId="7" borderId="125" xfId="0" applyFill="1" applyBorder="1"/>
    <xf numFmtId="1" fontId="0" fillId="7" borderId="126" xfId="0" applyNumberFormat="1" applyFill="1" applyBorder="1"/>
    <xf numFmtId="0" fontId="6" fillId="4" borderId="62" xfId="0" applyFont="1" applyFill="1" applyBorder="1" applyAlignment="1">
      <alignment horizontal="justify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63" xfId="0" applyFont="1" applyFill="1" applyBorder="1" applyAlignment="1">
      <alignment horizontal="center" vertical="center" wrapText="1"/>
    </xf>
    <xf numFmtId="0" fontId="0" fillId="0" borderId="127" xfId="0" applyBorder="1"/>
    <xf numFmtId="1" fontId="0" fillId="0" borderId="128" xfId="0" applyNumberFormat="1" applyBorder="1"/>
    <xf numFmtId="0" fontId="35" fillId="7" borderId="3" xfId="0" applyFont="1" applyFill="1" applyBorder="1"/>
    <xf numFmtId="0" fontId="35" fillId="7" borderId="7" xfId="0" applyFont="1" applyFill="1" applyBorder="1"/>
    <xf numFmtId="0" fontId="35" fillId="7" borderId="11" xfId="0" applyFont="1" applyFill="1" applyBorder="1"/>
    <xf numFmtId="0" fontId="35" fillId="7" borderId="64" xfId="0" applyFont="1" applyFill="1" applyBorder="1"/>
    <xf numFmtId="0" fontId="0" fillId="7" borderId="129" xfId="0" applyFill="1" applyBorder="1"/>
    <xf numFmtId="1" fontId="0" fillId="7" borderId="130" xfId="0" applyNumberFormat="1" applyFill="1" applyBorder="1"/>
    <xf numFmtId="0" fontId="0" fillId="7" borderId="131" xfId="0" applyFill="1" applyBorder="1"/>
    <xf numFmtId="1" fontId="0" fillId="7" borderId="132" xfId="0" applyNumberFormat="1" applyFill="1" applyBorder="1"/>
    <xf numFmtId="0" fontId="6" fillId="15" borderId="133" xfId="0" applyFont="1" applyFill="1" applyBorder="1" applyAlignment="1">
      <alignment horizontal="justify" vertical="center" wrapText="1"/>
    </xf>
    <xf numFmtId="0" fontId="6" fillId="15" borderId="134" xfId="0" applyFont="1" applyFill="1" applyBorder="1" applyAlignment="1">
      <alignment horizontal="center" vertical="center" wrapText="1"/>
    </xf>
    <xf numFmtId="0" fontId="6" fillId="15" borderId="135" xfId="0" applyFont="1" applyFill="1" applyBorder="1" applyAlignment="1">
      <alignment horizontal="center" vertical="center" wrapText="1"/>
    </xf>
    <xf numFmtId="0" fontId="0" fillId="0" borderId="136" xfId="0" applyBorder="1"/>
    <xf numFmtId="0" fontId="5" fillId="15" borderId="137" xfId="0" applyFont="1" applyFill="1" applyBorder="1" applyAlignment="1">
      <alignment horizontal="right" vertical="center" wrapText="1"/>
    </xf>
    <xf numFmtId="0" fontId="5" fillId="15" borderId="138" xfId="0" applyFont="1" applyFill="1" applyBorder="1" applyAlignment="1">
      <alignment horizontal="center" vertical="center" wrapText="1"/>
    </xf>
    <xf numFmtId="0" fontId="5" fillId="15" borderId="139" xfId="0" applyFont="1" applyFill="1" applyBorder="1" applyAlignment="1">
      <alignment horizontal="center" vertical="center" wrapText="1"/>
    </xf>
    <xf numFmtId="0" fontId="5" fillId="15" borderId="140" xfId="0" applyFont="1" applyFill="1" applyBorder="1" applyAlignment="1">
      <alignment horizontal="center" vertical="center" wrapText="1"/>
    </xf>
    <xf numFmtId="0" fontId="5" fillId="15" borderId="141" xfId="0" applyFont="1" applyFill="1" applyBorder="1" applyAlignment="1">
      <alignment horizontal="center" vertical="center" wrapText="1"/>
    </xf>
    <xf numFmtId="0" fontId="0" fillId="0" borderId="142" xfId="0" applyBorder="1"/>
    <xf numFmtId="1" fontId="0" fillId="0" borderId="143" xfId="0" applyNumberFormat="1" applyBorder="1"/>
    <xf numFmtId="0" fontId="5" fillId="15" borderId="144" xfId="0" applyFont="1" applyFill="1" applyBorder="1" applyAlignment="1">
      <alignment horizontal="right" vertical="center" wrapText="1"/>
    </xf>
    <xf numFmtId="0" fontId="5" fillId="15" borderId="145" xfId="0" applyFont="1" applyFill="1" applyBorder="1" applyAlignment="1">
      <alignment horizontal="center" vertical="center" wrapText="1"/>
    </xf>
    <xf numFmtId="0" fontId="5" fillId="15" borderId="146" xfId="0" applyFont="1" applyFill="1" applyBorder="1" applyAlignment="1">
      <alignment horizontal="center" vertical="center" wrapText="1"/>
    </xf>
    <xf numFmtId="0" fontId="5" fillId="15" borderId="147" xfId="0" applyFont="1" applyFill="1" applyBorder="1" applyAlignment="1">
      <alignment horizontal="center" vertical="center" wrapText="1"/>
    </xf>
    <xf numFmtId="0" fontId="5" fillId="15" borderId="148" xfId="0" applyFont="1" applyFill="1" applyBorder="1" applyAlignment="1">
      <alignment horizontal="center" vertical="center" wrapText="1"/>
    </xf>
    <xf numFmtId="0" fontId="0" fillId="0" borderId="149" xfId="0" applyBorder="1"/>
    <xf numFmtId="1" fontId="0" fillId="0" borderId="150" xfId="0" applyNumberFormat="1" applyBorder="1"/>
    <xf numFmtId="0" fontId="35" fillId="7" borderId="65" xfId="0" applyFont="1" applyFill="1" applyBorder="1"/>
    <xf numFmtId="0" fontId="35" fillId="7" borderId="43" xfId="0" applyFont="1" applyFill="1" applyBorder="1"/>
    <xf numFmtId="0" fontId="35" fillId="7" borderId="66" xfId="0" applyFont="1" applyFill="1" applyBorder="1"/>
    <xf numFmtId="0" fontId="6" fillId="16" borderId="151" xfId="0" applyFont="1" applyFill="1" applyBorder="1" applyAlignment="1">
      <alignment horizontal="left" vertical="center"/>
    </xf>
    <xf numFmtId="0" fontId="6" fillId="16" borderId="152" xfId="0" applyFont="1" applyFill="1" applyBorder="1" applyAlignment="1">
      <alignment horizontal="center" vertical="center"/>
    </xf>
    <xf numFmtId="0" fontId="6" fillId="16" borderId="153" xfId="0" applyFont="1" applyFill="1" applyBorder="1" applyAlignment="1">
      <alignment horizontal="center" vertical="center"/>
    </xf>
    <xf numFmtId="0" fontId="6" fillId="16" borderId="153" xfId="0" applyFont="1" applyFill="1" applyBorder="1" applyAlignment="1">
      <alignment horizontal="center" vertical="center" wrapText="1"/>
    </xf>
    <xf numFmtId="0" fontId="6" fillId="16" borderId="154" xfId="0" applyFont="1" applyFill="1" applyBorder="1" applyAlignment="1">
      <alignment horizontal="center" vertical="center" wrapText="1"/>
    </xf>
    <xf numFmtId="0" fontId="6" fillId="17" borderId="151" xfId="0" applyFont="1" applyFill="1" applyBorder="1" applyAlignment="1">
      <alignment horizontal="justify" vertical="center" wrapText="1"/>
    </xf>
    <xf numFmtId="0" fontId="6" fillId="17" borderId="154" xfId="0" applyFont="1" applyFill="1" applyBorder="1" applyAlignment="1">
      <alignment horizontal="center" vertical="center" wrapText="1"/>
    </xf>
    <xf numFmtId="0" fontId="5" fillId="17" borderId="155" xfId="0" applyFont="1" applyFill="1" applyBorder="1" applyAlignment="1">
      <alignment horizontal="right" vertical="center" wrapText="1"/>
    </xf>
    <xf numFmtId="0" fontId="5" fillId="17" borderId="156" xfId="0" applyFont="1" applyFill="1" applyBorder="1" applyAlignment="1">
      <alignment horizontal="center" vertical="center" wrapText="1"/>
    </xf>
    <xf numFmtId="0" fontId="5" fillId="17" borderId="157" xfId="0" applyFont="1" applyFill="1" applyBorder="1" applyAlignment="1">
      <alignment horizontal="center" vertical="center" wrapText="1"/>
    </xf>
    <xf numFmtId="0" fontId="5" fillId="17" borderId="158" xfId="0" applyFont="1" applyFill="1" applyBorder="1" applyAlignment="1">
      <alignment horizontal="center" vertical="center" wrapText="1"/>
    </xf>
    <xf numFmtId="0" fontId="5" fillId="17" borderId="159" xfId="0" applyFont="1" applyFill="1" applyBorder="1" applyAlignment="1">
      <alignment horizontal="center" vertical="center" wrapText="1"/>
    </xf>
    <xf numFmtId="0" fontId="5" fillId="17" borderId="160" xfId="0" applyFont="1" applyFill="1" applyBorder="1" applyAlignment="1">
      <alignment horizontal="center" vertical="center" wrapText="1"/>
    </xf>
    <xf numFmtId="0" fontId="0" fillId="0" borderId="161" xfId="0" applyBorder="1"/>
    <xf numFmtId="1" fontId="0" fillId="0" borderId="161" xfId="0" applyNumberFormat="1" applyBorder="1"/>
    <xf numFmtId="0" fontId="5" fillId="17" borderId="162" xfId="0" applyFont="1" applyFill="1" applyBorder="1" applyAlignment="1">
      <alignment horizontal="right" vertical="center" wrapText="1"/>
    </xf>
    <xf numFmtId="0" fontId="5" fillId="17" borderId="163" xfId="0" applyFont="1" applyFill="1" applyBorder="1" applyAlignment="1">
      <alignment horizontal="center" vertical="center" wrapText="1"/>
    </xf>
    <xf numFmtId="0" fontId="5" fillId="17" borderId="164" xfId="0" applyFont="1" applyFill="1" applyBorder="1" applyAlignment="1">
      <alignment horizontal="center" vertical="center" wrapText="1"/>
    </xf>
    <xf numFmtId="0" fontId="5" fillId="17" borderId="165" xfId="0" applyFont="1" applyFill="1" applyBorder="1" applyAlignment="1">
      <alignment horizontal="center" vertical="center" wrapText="1"/>
    </xf>
    <xf numFmtId="0" fontId="5" fillId="17" borderId="166" xfId="0" applyFont="1" applyFill="1" applyBorder="1" applyAlignment="1">
      <alignment horizontal="center" vertical="center" wrapText="1"/>
    </xf>
    <xf numFmtId="0" fontId="0" fillId="0" borderId="167" xfId="0" applyBorder="1"/>
    <xf numFmtId="1" fontId="0" fillId="0" borderId="168" xfId="0" applyNumberFormat="1" applyBorder="1"/>
    <xf numFmtId="0" fontId="6" fillId="18" borderId="169" xfId="0" applyFont="1" applyFill="1" applyBorder="1" applyAlignment="1">
      <alignment horizontal="justify" vertical="center" wrapText="1"/>
    </xf>
    <xf numFmtId="0" fontId="6" fillId="18" borderId="170" xfId="0" applyFont="1" applyFill="1" applyBorder="1" applyAlignment="1">
      <alignment horizontal="center" vertical="center" wrapText="1"/>
    </xf>
    <xf numFmtId="0" fontId="6" fillId="18" borderId="171" xfId="0" applyFont="1" applyFill="1" applyBorder="1" applyAlignment="1">
      <alignment horizontal="center" vertical="center" wrapText="1"/>
    </xf>
    <xf numFmtId="0" fontId="6" fillId="18" borderId="172" xfId="0" applyFont="1" applyFill="1" applyBorder="1" applyAlignment="1">
      <alignment horizontal="center" vertical="center" wrapText="1"/>
    </xf>
    <xf numFmtId="0" fontId="0" fillId="0" borderId="128" xfId="0" applyBorder="1"/>
    <xf numFmtId="0" fontId="6" fillId="19" borderId="173" xfId="0" applyFont="1" applyFill="1" applyBorder="1" applyAlignment="1">
      <alignment horizontal="justify" vertical="center" wrapText="1"/>
    </xf>
    <xf numFmtId="0" fontId="6" fillId="19" borderId="171" xfId="0" applyFont="1" applyFill="1" applyBorder="1" applyAlignment="1">
      <alignment horizontal="center" vertical="center" wrapText="1"/>
    </xf>
    <xf numFmtId="0" fontId="6" fillId="19" borderId="172" xfId="0" applyFont="1" applyFill="1" applyBorder="1" applyAlignment="1">
      <alignment horizontal="center" vertical="center" wrapText="1"/>
    </xf>
    <xf numFmtId="0" fontId="0" fillId="0" borderId="136" xfId="0" applyBorder="1" applyAlignment="1">
      <alignment horizontal="right"/>
    </xf>
    <xf numFmtId="1" fontId="0" fillId="0" borderId="128" xfId="0" applyNumberFormat="1" applyBorder="1" applyAlignment="1">
      <alignment horizontal="right"/>
    </xf>
    <xf numFmtId="0" fontId="5" fillId="19" borderId="174" xfId="0" applyFont="1" applyFill="1" applyBorder="1" applyAlignment="1">
      <alignment horizontal="right" vertical="center" wrapText="1"/>
    </xf>
    <xf numFmtId="0" fontId="5" fillId="19" borderId="175" xfId="0" applyFont="1" applyFill="1" applyBorder="1" applyAlignment="1">
      <alignment horizontal="center" vertical="center" wrapText="1"/>
    </xf>
    <xf numFmtId="0" fontId="5" fillId="19" borderId="176" xfId="0" applyFont="1" applyFill="1" applyBorder="1" applyAlignment="1">
      <alignment horizontal="center" vertical="center" wrapText="1"/>
    </xf>
    <xf numFmtId="0" fontId="5" fillId="19" borderId="177" xfId="0" applyFont="1" applyFill="1" applyBorder="1" applyAlignment="1">
      <alignment horizontal="center" vertical="center" wrapText="1"/>
    </xf>
    <xf numFmtId="0" fontId="5" fillId="19" borderId="178" xfId="0" applyFont="1" applyFill="1" applyBorder="1" applyAlignment="1">
      <alignment horizontal="center" vertical="center" wrapText="1"/>
    </xf>
    <xf numFmtId="0" fontId="0" fillId="0" borderId="161" xfId="0" applyBorder="1" applyAlignment="1">
      <alignment horizontal="right"/>
    </xf>
    <xf numFmtId="1" fontId="0" fillId="0" borderId="161" xfId="0" applyNumberFormat="1" applyBorder="1" applyAlignment="1">
      <alignment horizontal="right"/>
    </xf>
    <xf numFmtId="0" fontId="5" fillId="19" borderId="179" xfId="0" applyFont="1" applyFill="1" applyBorder="1" applyAlignment="1">
      <alignment horizontal="right" vertical="center" wrapText="1"/>
    </xf>
    <xf numFmtId="0" fontId="5" fillId="19" borderId="180" xfId="0" applyFont="1" applyFill="1" applyBorder="1" applyAlignment="1">
      <alignment horizontal="center" vertical="center" wrapText="1"/>
    </xf>
    <xf numFmtId="0" fontId="5" fillId="19" borderId="181" xfId="0" applyFont="1" applyFill="1" applyBorder="1" applyAlignment="1">
      <alignment horizontal="center" vertical="center" wrapText="1"/>
    </xf>
    <xf numFmtId="0" fontId="5" fillId="19" borderId="182" xfId="0" applyFont="1" applyFill="1" applyBorder="1" applyAlignment="1">
      <alignment horizontal="center" vertical="center" wrapText="1"/>
    </xf>
    <xf numFmtId="0" fontId="0" fillId="0" borderId="167" xfId="0" applyBorder="1" applyAlignment="1">
      <alignment horizontal="right"/>
    </xf>
    <xf numFmtId="1" fontId="0" fillId="0" borderId="168" xfId="0" applyNumberFormat="1" applyBorder="1" applyAlignment="1">
      <alignment horizontal="right"/>
    </xf>
    <xf numFmtId="0" fontId="6" fillId="18" borderId="183" xfId="0" applyFont="1" applyFill="1" applyBorder="1" applyAlignment="1">
      <alignment horizontal="justify" vertical="center" wrapText="1"/>
    </xf>
    <xf numFmtId="0" fontId="0" fillId="0" borderId="128" xfId="0" applyBorder="1" applyAlignment="1">
      <alignment horizontal="right"/>
    </xf>
    <xf numFmtId="1" fontId="0" fillId="0" borderId="184" xfId="0" applyNumberFormat="1" applyBorder="1" applyAlignment="1">
      <alignment horizontal="right"/>
    </xf>
    <xf numFmtId="0" fontId="35" fillId="18" borderId="185" xfId="0" applyFont="1" applyFill="1" applyBorder="1"/>
    <xf numFmtId="0" fontId="35" fillId="18" borderId="185" xfId="0" applyFont="1" applyFill="1" applyBorder="1" applyAlignment="1">
      <alignment horizontal="center"/>
    </xf>
    <xf numFmtId="0" fontId="35" fillId="18" borderId="186" xfId="0" applyFont="1" applyFill="1" applyBorder="1" applyAlignment="1">
      <alignment horizontal="center"/>
    </xf>
    <xf numFmtId="0" fontId="0" fillId="0" borderId="149" xfId="0" applyBorder="1" applyAlignment="1">
      <alignment horizontal="right"/>
    </xf>
    <xf numFmtId="0" fontId="35" fillId="7" borderId="62" xfId="0" applyFont="1" applyFill="1" applyBorder="1"/>
    <xf numFmtId="0" fontId="35" fillId="7" borderId="16" xfId="0" applyFont="1" applyFill="1" applyBorder="1"/>
    <xf numFmtId="0" fontId="35" fillId="7" borderId="63" xfId="0" applyFont="1" applyFill="1" applyBorder="1"/>
    <xf numFmtId="0" fontId="0" fillId="7" borderId="131" xfId="0" applyFill="1" applyBorder="1" applyAlignment="1">
      <alignment horizontal="right"/>
    </xf>
    <xf numFmtId="1" fontId="0" fillId="7" borderId="126" xfId="0" applyNumberFormat="1" applyFill="1" applyBorder="1" applyAlignment="1">
      <alignment horizontal="right"/>
    </xf>
    <xf numFmtId="0" fontId="0" fillId="7" borderId="187" xfId="0" applyFill="1" applyBorder="1" applyAlignment="1">
      <alignment horizontal="right"/>
    </xf>
    <xf numFmtId="1" fontId="0" fillId="7" borderId="188" xfId="0" applyNumberFormat="1" applyFill="1" applyBorder="1" applyAlignment="1">
      <alignment horizontal="right"/>
    </xf>
    <xf numFmtId="0" fontId="6" fillId="20" borderId="189" xfId="0" applyFont="1" applyFill="1" applyBorder="1" applyAlignment="1">
      <alignment horizontal="justify" vertical="center" wrapText="1"/>
    </xf>
    <xf numFmtId="0" fontId="6" fillId="20" borderId="190" xfId="0" applyFont="1" applyFill="1" applyBorder="1" applyAlignment="1">
      <alignment horizontal="center" vertical="center" wrapText="1"/>
    </xf>
    <xf numFmtId="0" fontId="6" fillId="20" borderId="191" xfId="0" applyFont="1" applyFill="1" applyBorder="1" applyAlignment="1">
      <alignment horizontal="center" vertical="center" wrapText="1"/>
    </xf>
    <xf numFmtId="0" fontId="6" fillId="20" borderId="192" xfId="0" applyFont="1" applyFill="1" applyBorder="1" applyAlignment="1">
      <alignment horizontal="center" vertical="center" wrapText="1"/>
    </xf>
    <xf numFmtId="0" fontId="0" fillId="0" borderId="193" xfId="0" applyBorder="1" applyAlignment="1">
      <alignment horizontal="right"/>
    </xf>
    <xf numFmtId="0" fontId="6" fillId="21" borderId="194" xfId="0" applyFont="1" applyFill="1" applyBorder="1" applyAlignment="1">
      <alignment horizontal="justify" vertical="center" wrapText="1"/>
    </xf>
    <xf numFmtId="0" fontId="6" fillId="21" borderId="192" xfId="0" applyFont="1" applyFill="1" applyBorder="1" applyAlignment="1">
      <alignment horizontal="center" vertical="center" wrapText="1"/>
    </xf>
    <xf numFmtId="0" fontId="6" fillId="21" borderId="195" xfId="0" applyFont="1" applyFill="1" applyBorder="1" applyAlignment="1">
      <alignment horizontal="center" vertical="center" wrapText="1"/>
    </xf>
    <xf numFmtId="0" fontId="6" fillId="21" borderId="196" xfId="0" applyFont="1" applyFill="1" applyBorder="1" applyAlignment="1">
      <alignment horizontal="center" vertical="center" wrapText="1"/>
    </xf>
    <xf numFmtId="0" fontId="5" fillId="21" borderId="197" xfId="0" applyFont="1" applyFill="1" applyBorder="1" applyAlignment="1">
      <alignment horizontal="right" vertical="center" wrapText="1"/>
    </xf>
    <xf numFmtId="0" fontId="5" fillId="21" borderId="198" xfId="0" applyFont="1" applyFill="1" applyBorder="1" applyAlignment="1">
      <alignment horizontal="center" vertical="center" wrapText="1"/>
    </xf>
    <xf numFmtId="0" fontId="5" fillId="21" borderId="199" xfId="0" applyFont="1" applyFill="1" applyBorder="1" applyAlignment="1">
      <alignment horizontal="center" vertical="center" wrapText="1"/>
    </xf>
    <xf numFmtId="0" fontId="5" fillId="21" borderId="200" xfId="0" applyFont="1" applyFill="1" applyBorder="1" applyAlignment="1">
      <alignment horizontal="center" vertical="center" wrapText="1"/>
    </xf>
    <xf numFmtId="0" fontId="5" fillId="21" borderId="201" xfId="0" applyFont="1" applyFill="1" applyBorder="1" applyAlignment="1">
      <alignment horizontal="center" vertical="center" wrapText="1"/>
    </xf>
    <xf numFmtId="0" fontId="5" fillId="21" borderId="202" xfId="0" applyFont="1" applyFill="1" applyBorder="1" applyAlignment="1">
      <alignment horizontal="right" vertical="center" wrapText="1"/>
    </xf>
    <xf numFmtId="0" fontId="5" fillId="21" borderId="203" xfId="0" applyFont="1" applyFill="1" applyBorder="1" applyAlignment="1">
      <alignment horizontal="center" vertical="center" wrapText="1"/>
    </xf>
    <xf numFmtId="0" fontId="5" fillId="21" borderId="204" xfId="0" applyFont="1" applyFill="1" applyBorder="1" applyAlignment="1">
      <alignment horizontal="center" vertical="center" wrapText="1"/>
    </xf>
    <xf numFmtId="0" fontId="5" fillId="21" borderId="205" xfId="0" applyFont="1" applyFill="1" applyBorder="1" applyAlignment="1">
      <alignment horizontal="center" vertical="center" wrapText="1"/>
    </xf>
    <xf numFmtId="0" fontId="5" fillId="21" borderId="206" xfId="0" applyFont="1" applyFill="1" applyBorder="1" applyAlignment="1">
      <alignment horizontal="center" vertical="center" wrapText="1"/>
    </xf>
    <xf numFmtId="0" fontId="6" fillId="7" borderId="65" xfId="0" applyFont="1" applyFill="1" applyBorder="1" applyAlignment="1">
      <alignment horizontal="center" vertical="center" wrapText="1"/>
    </xf>
    <xf numFmtId="17" fontId="6" fillId="0" borderId="43" xfId="0" applyNumberFormat="1" applyFont="1" applyBorder="1" applyAlignment="1">
      <alignment horizontal="center" vertical="center" wrapText="1"/>
    </xf>
    <xf numFmtId="17" fontId="3" fillId="0" borderId="66" xfId="0" applyNumberFormat="1" applyFont="1" applyBorder="1" applyAlignment="1">
      <alignment horizontal="center" vertical="center" wrapText="1"/>
    </xf>
    <xf numFmtId="0" fontId="21" fillId="0" borderId="168" xfId="0" applyFont="1" applyBorder="1" applyAlignment="1">
      <alignment horizontal="center"/>
    </xf>
    <xf numFmtId="1" fontId="21" fillId="0" borderId="168" xfId="0" applyNumberFormat="1" applyFont="1" applyBorder="1" applyAlignment="1">
      <alignment horizontal="center"/>
    </xf>
    <xf numFmtId="0" fontId="0" fillId="0" borderId="0" xfId="0"/>
    <xf numFmtId="1" fontId="23" fillId="0" borderId="11" xfId="0" applyNumberFormat="1" applyFont="1" applyFill="1" applyBorder="1" applyAlignment="1">
      <alignment horizontal="center" vertical="center"/>
    </xf>
    <xf numFmtId="0" fontId="11" fillId="18" borderId="207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164" fontId="54" fillId="0" borderId="20" xfId="0" applyNumberFormat="1" applyFont="1" applyBorder="1" applyAlignment="1">
      <alignment horizontal="center" vertical="center"/>
    </xf>
    <xf numFmtId="0" fontId="32" fillId="0" borderId="0" xfId="0" applyFont="1" applyAlignment="1">
      <alignment horizontal="left"/>
    </xf>
    <xf numFmtId="1" fontId="23" fillId="0" borderId="16" xfId="0" applyNumberFormat="1" applyFont="1" applyBorder="1" applyAlignment="1">
      <alignment horizontal="center"/>
    </xf>
    <xf numFmtId="1" fontId="23" fillId="0" borderId="7" xfId="0" applyNumberFormat="1" applyFont="1" applyBorder="1" applyAlignment="1">
      <alignment horizontal="center"/>
    </xf>
    <xf numFmtId="1" fontId="23" fillId="0" borderId="7" xfId="0" applyNumberFormat="1" applyFont="1" applyFill="1" applyBorder="1" applyAlignment="1">
      <alignment horizontal="center"/>
    </xf>
    <xf numFmtId="0" fontId="0" fillId="0" borderId="0" xfId="0"/>
    <xf numFmtId="0" fontId="27" fillId="3" borderId="18" xfId="0" applyFont="1" applyFill="1" applyBorder="1" applyAlignment="1">
      <alignment horizontal="right"/>
    </xf>
    <xf numFmtId="1" fontId="22" fillId="0" borderId="12" xfId="0" applyNumberFormat="1" applyFont="1" applyBorder="1" applyAlignment="1">
      <alignment horizontal="center" vertical="center"/>
    </xf>
    <xf numFmtId="1" fontId="22" fillId="0" borderId="13" xfId="0" applyNumberFormat="1" applyFont="1" applyBorder="1" applyAlignment="1">
      <alignment horizontal="center" vertical="center"/>
    </xf>
    <xf numFmtId="1" fontId="22" fillId="0" borderId="20" xfId="0" applyNumberFormat="1" applyFont="1" applyBorder="1" applyAlignment="1">
      <alignment horizontal="center" vertical="center"/>
    </xf>
    <xf numFmtId="1" fontId="35" fillId="0" borderId="0" xfId="0" applyNumberFormat="1" applyFont="1"/>
    <xf numFmtId="1" fontId="17" fillId="0" borderId="0" xfId="0" applyNumberFormat="1" applyFont="1"/>
    <xf numFmtId="1" fontId="54" fillId="0" borderId="33" xfId="0" applyNumberFormat="1" applyFont="1" applyBorder="1" applyAlignment="1">
      <alignment horizontal="center" vertical="center"/>
    </xf>
    <xf numFmtId="1" fontId="54" fillId="0" borderId="67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164" fontId="53" fillId="0" borderId="0" xfId="0" applyNumberFormat="1" applyFont="1" applyFill="1" applyBorder="1" applyAlignment="1">
      <alignment horizontal="center" vertical="center"/>
    </xf>
    <xf numFmtId="0" fontId="0" fillId="0" borderId="0" xfId="0"/>
    <xf numFmtId="1" fontId="22" fillId="0" borderId="68" xfId="0" applyNumberFormat="1" applyFont="1" applyBorder="1" applyAlignment="1">
      <alignment horizontal="center" vertical="center"/>
    </xf>
    <xf numFmtId="1" fontId="22" fillId="0" borderId="33" xfId="0" applyNumberFormat="1" applyFont="1" applyBorder="1" applyAlignment="1">
      <alignment horizontal="center" vertical="center"/>
    </xf>
    <xf numFmtId="1" fontId="22" fillId="0" borderId="67" xfId="0" applyNumberFormat="1" applyFont="1" applyBorder="1" applyAlignment="1">
      <alignment horizontal="center" vertical="center"/>
    </xf>
    <xf numFmtId="1" fontId="54" fillId="0" borderId="39" xfId="0" applyNumberFormat="1" applyFont="1" applyBorder="1" applyAlignment="1">
      <alignment horizontal="center" vertical="center"/>
    </xf>
    <xf numFmtId="164" fontId="54" fillId="0" borderId="52" xfId="0" applyNumberFormat="1" applyFont="1" applyBorder="1" applyAlignment="1">
      <alignment horizontal="center" vertical="center"/>
    </xf>
    <xf numFmtId="0" fontId="54" fillId="0" borderId="45" xfId="0" applyFont="1" applyBorder="1" applyAlignment="1">
      <alignment horizontal="center"/>
    </xf>
    <xf numFmtId="17" fontId="22" fillId="3" borderId="100" xfId="0" applyNumberFormat="1" applyFont="1" applyFill="1" applyBorder="1"/>
    <xf numFmtId="0" fontId="15" fillId="0" borderId="69" xfId="1" applyFont="1" applyFill="1" applyBorder="1" applyAlignment="1">
      <alignment horizontal="center" vertical="center"/>
    </xf>
    <xf numFmtId="0" fontId="15" fillId="0" borderId="64" xfId="1" applyFont="1" applyFill="1" applyBorder="1" applyAlignment="1">
      <alignment horizontal="center" vertical="center"/>
    </xf>
    <xf numFmtId="1" fontId="27" fillId="3" borderId="17" xfId="0" applyNumberFormat="1" applyFont="1" applyFill="1" applyBorder="1" applyAlignment="1">
      <alignment horizontal="center" vertical="center"/>
    </xf>
    <xf numFmtId="1" fontId="27" fillId="3" borderId="15" xfId="0" applyNumberFormat="1" applyFont="1" applyFill="1" applyBorder="1" applyAlignment="1">
      <alignment horizontal="center"/>
    </xf>
    <xf numFmtId="0" fontId="42" fillId="0" borderId="0" xfId="0" applyFont="1" applyAlignment="1">
      <alignment horizontal="center"/>
    </xf>
    <xf numFmtId="0" fontId="0" fillId="0" borderId="0" xfId="0"/>
    <xf numFmtId="164" fontId="22" fillId="4" borderId="18" xfId="0" applyNumberFormat="1" applyFont="1" applyFill="1" applyBorder="1" applyAlignment="1">
      <alignment horizontal="center" vertical="center" wrapText="1"/>
    </xf>
    <xf numFmtId="0" fontId="0" fillId="0" borderId="64" xfId="0" applyFill="1" applyBorder="1" applyAlignment="1">
      <alignment horizontal="center" vertical="center"/>
    </xf>
    <xf numFmtId="0" fontId="27" fillId="0" borderId="30" xfId="1" applyFont="1" applyFill="1" applyBorder="1" applyAlignment="1">
      <alignment horizontal="center" vertical="center"/>
    </xf>
    <xf numFmtId="17" fontId="22" fillId="6" borderId="103" xfId="0" applyNumberFormat="1" applyFont="1" applyFill="1" applyBorder="1" applyAlignment="1">
      <alignment horizontal="center" vertical="center"/>
    </xf>
    <xf numFmtId="17" fontId="22" fillId="6" borderId="123" xfId="0" applyNumberFormat="1" applyFont="1" applyFill="1" applyBorder="1" applyAlignment="1">
      <alignment horizontal="center" vertical="center"/>
    </xf>
    <xf numFmtId="17" fontId="22" fillId="6" borderId="114" xfId="0" applyNumberFormat="1" applyFont="1" applyFill="1" applyBorder="1" applyAlignment="1">
      <alignment horizontal="center" vertical="center"/>
    </xf>
    <xf numFmtId="17" fontId="22" fillId="3" borderId="103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/>
    </xf>
    <xf numFmtId="0" fontId="27" fillId="6" borderId="115" xfId="0" applyFont="1" applyFill="1" applyBorder="1" applyAlignment="1">
      <alignment horizontal="left"/>
    </xf>
    <xf numFmtId="0" fontId="0" fillId="0" borderId="44" xfId="0" applyFill="1" applyBorder="1" applyAlignment="1">
      <alignment horizontal="center" vertical="center"/>
    </xf>
    <xf numFmtId="0" fontId="27" fillId="3" borderId="114" xfId="0" applyFont="1" applyFill="1" applyBorder="1" applyAlignment="1">
      <alignment horizontal="center" vertical="center"/>
    </xf>
    <xf numFmtId="0" fontId="27" fillId="3" borderId="60" xfId="0" applyFont="1" applyFill="1" applyBorder="1" applyAlignment="1">
      <alignment horizontal="center" vertical="center"/>
    </xf>
    <xf numFmtId="17" fontId="22" fillId="3" borderId="70" xfId="0" applyNumberFormat="1" applyFont="1" applyFill="1" applyBorder="1" applyAlignment="1">
      <alignment horizontal="center" vertical="center"/>
    </xf>
    <xf numFmtId="17" fontId="22" fillId="3" borderId="60" xfId="0" applyNumberFormat="1" applyFont="1" applyFill="1" applyBorder="1" applyAlignment="1">
      <alignment horizontal="center" vertical="center"/>
    </xf>
    <xf numFmtId="17" fontId="22" fillId="3" borderId="35" xfId="0" applyNumberFormat="1" applyFont="1" applyFill="1" applyBorder="1" applyAlignment="1">
      <alignment horizontal="center" vertical="center"/>
    </xf>
    <xf numFmtId="17" fontId="22" fillId="3" borderId="36" xfId="0" applyNumberFormat="1" applyFont="1" applyFill="1" applyBorder="1" applyAlignment="1">
      <alignment horizontal="center" vertical="center"/>
    </xf>
    <xf numFmtId="17" fontId="22" fillId="3" borderId="37" xfId="0" applyNumberFormat="1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center"/>
    </xf>
    <xf numFmtId="0" fontId="22" fillId="3" borderId="123" xfId="0" applyFont="1" applyFill="1" applyBorder="1" applyAlignment="1">
      <alignment horizontal="center"/>
    </xf>
    <xf numFmtId="0" fontId="54" fillId="0" borderId="45" xfId="0" applyFont="1" applyBorder="1"/>
    <xf numFmtId="0" fontId="0" fillId="0" borderId="0" xfId="0"/>
    <xf numFmtId="0" fontId="43" fillId="0" borderId="71" xfId="0" applyFont="1" applyFill="1" applyBorder="1" applyAlignment="1">
      <alignment horizontal="center" wrapText="1"/>
    </xf>
    <xf numFmtId="0" fontId="43" fillId="0" borderId="64" xfId="0" applyFont="1" applyFill="1" applyBorder="1" applyAlignment="1">
      <alignment horizontal="center" wrapText="1"/>
    </xf>
    <xf numFmtId="0" fontId="43" fillId="0" borderId="72" xfId="0" applyFont="1" applyFill="1" applyBorder="1" applyAlignment="1">
      <alignment horizontal="center" wrapText="1"/>
    </xf>
    <xf numFmtId="0" fontId="46" fillId="8" borderId="19" xfId="0" applyFont="1" applyFill="1" applyBorder="1" applyAlignment="1">
      <alignment horizontal="center" wrapText="1"/>
    </xf>
    <xf numFmtId="0" fontId="39" fillId="4" borderId="73" xfId="0" applyFont="1" applyFill="1" applyBorder="1" applyAlignment="1">
      <alignment horizontal="right" wrapText="1"/>
    </xf>
    <xf numFmtId="17" fontId="39" fillId="8" borderId="12" xfId="0" applyNumberFormat="1" applyFont="1" applyFill="1" applyBorder="1" applyAlignment="1">
      <alignment horizontal="center" wrapText="1"/>
    </xf>
    <xf numFmtId="17" fontId="39" fillId="8" borderId="13" xfId="0" applyNumberFormat="1" applyFont="1" applyFill="1" applyBorder="1" applyAlignment="1">
      <alignment horizontal="center" wrapText="1"/>
    </xf>
    <xf numFmtId="17" fontId="39" fillId="8" borderId="20" xfId="0" applyNumberFormat="1" applyFont="1" applyFill="1" applyBorder="1" applyAlignment="1">
      <alignment horizontal="center" wrapText="1"/>
    </xf>
    <xf numFmtId="0" fontId="43" fillId="0" borderId="71" xfId="0" applyFont="1" applyFill="1" applyBorder="1" applyAlignment="1">
      <alignment horizontal="center"/>
    </xf>
    <xf numFmtId="0" fontId="43" fillId="0" borderId="64" xfId="0" applyFont="1" applyFill="1" applyBorder="1" applyAlignment="1">
      <alignment horizontal="center"/>
    </xf>
    <xf numFmtId="0" fontId="43" fillId="0" borderId="72" xfId="0" applyFont="1" applyFill="1" applyBorder="1" applyAlignment="1">
      <alignment horizontal="center"/>
    </xf>
    <xf numFmtId="0" fontId="39" fillId="4" borderId="48" xfId="0" applyFont="1" applyFill="1" applyBorder="1" applyAlignment="1">
      <alignment horizontal="right" vertical="center" wrapText="1"/>
    </xf>
    <xf numFmtId="0" fontId="15" fillId="0" borderId="13" xfId="1" applyFont="1" applyFill="1" applyBorder="1" applyAlignment="1"/>
    <xf numFmtId="0" fontId="0" fillId="0" borderId="13" xfId="0" applyFill="1" applyBorder="1"/>
    <xf numFmtId="0" fontId="0" fillId="0" borderId="20" xfId="0" applyFill="1" applyBorder="1"/>
    <xf numFmtId="0" fontId="15" fillId="0" borderId="30" xfId="1" applyFont="1" applyFill="1" applyBorder="1" applyAlignment="1"/>
    <xf numFmtId="164" fontId="54" fillId="0" borderId="0" xfId="0" applyNumberFormat="1" applyFont="1" applyBorder="1" applyAlignment="1">
      <alignment horizontal="center" vertical="center"/>
    </xf>
    <xf numFmtId="164" fontId="53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34" fillId="0" borderId="0" xfId="0" applyFont="1" applyAlignment="1">
      <alignment horizontal="left"/>
    </xf>
    <xf numFmtId="1" fontId="34" fillId="0" borderId="0" xfId="0" applyNumberFormat="1" applyFont="1" applyAlignment="1">
      <alignment horizontal="left" vertical="center"/>
    </xf>
    <xf numFmtId="1" fontId="23" fillId="0" borderId="10" xfId="0" applyNumberFormat="1" applyFont="1" applyFill="1" applyBorder="1" applyAlignment="1">
      <alignment horizontal="center" vertical="center"/>
    </xf>
    <xf numFmtId="1" fontId="23" fillId="0" borderId="50" xfId="0" applyNumberFormat="1" applyFont="1" applyFill="1" applyBorder="1" applyAlignment="1">
      <alignment horizontal="center" vertical="center"/>
    </xf>
    <xf numFmtId="0" fontId="0" fillId="0" borderId="0" xfId="0"/>
    <xf numFmtId="17" fontId="22" fillId="3" borderId="23" xfId="0" applyNumberFormat="1" applyFont="1" applyFill="1" applyBorder="1" applyAlignment="1">
      <alignment horizontal="center" vertical="center"/>
    </xf>
    <xf numFmtId="0" fontId="41" fillId="0" borderId="26" xfId="0" applyFont="1" applyBorder="1"/>
    <xf numFmtId="0" fontId="41" fillId="0" borderId="14" xfId="0" applyFont="1" applyBorder="1"/>
    <xf numFmtId="0" fontId="41" fillId="0" borderId="41" xfId="0" applyFont="1" applyBorder="1"/>
    <xf numFmtId="0" fontId="40" fillId="4" borderId="73" xfId="0" applyFont="1" applyFill="1" applyBorder="1"/>
    <xf numFmtId="2" fontId="41" fillId="7" borderId="29" xfId="0" applyNumberFormat="1" applyFont="1" applyFill="1" applyBorder="1"/>
    <xf numFmtId="1" fontId="41" fillId="0" borderId="13" xfId="0" applyNumberFormat="1" applyFont="1" applyBorder="1"/>
    <xf numFmtId="1" fontId="41" fillId="0" borderId="20" xfId="0" applyNumberFormat="1" applyFont="1" applyBorder="1"/>
    <xf numFmtId="0" fontId="55" fillId="0" borderId="0" xfId="0" applyFont="1"/>
    <xf numFmtId="1" fontId="49" fillId="14" borderId="19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1" fontId="15" fillId="0" borderId="16" xfId="1" applyNumberFormat="1" applyFont="1" applyFill="1" applyBorder="1" applyAlignment="1">
      <alignment horizontal="center" vertical="center"/>
    </xf>
    <xf numFmtId="1" fontId="15" fillId="0" borderId="7" xfId="1" applyNumberFormat="1" applyFont="1" applyFill="1" applyBorder="1" applyAlignment="1">
      <alignment horizontal="center" vertical="center"/>
    </xf>
    <xf numFmtId="1" fontId="0" fillId="0" borderId="7" xfId="0" applyNumberFormat="1" applyFill="1" applyBorder="1" applyAlignment="1">
      <alignment horizontal="center" vertical="center"/>
    </xf>
    <xf numFmtId="1" fontId="0" fillId="0" borderId="45" xfId="0" applyNumberFormat="1" applyFill="1" applyBorder="1" applyAlignment="1">
      <alignment horizontal="center" vertical="center"/>
    </xf>
    <xf numFmtId="1" fontId="27" fillId="3" borderId="11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1" fontId="8" fillId="0" borderId="7" xfId="0" applyNumberFormat="1" applyFont="1" applyBorder="1" applyAlignment="1">
      <alignment horizontal="center" vertical="center"/>
    </xf>
    <xf numFmtId="1" fontId="7" fillId="0" borderId="7" xfId="0" applyNumberFormat="1" applyFont="1" applyFill="1" applyBorder="1" applyAlignment="1">
      <alignment horizontal="center" vertical="center"/>
    </xf>
    <xf numFmtId="1" fontId="54" fillId="0" borderId="45" xfId="0" applyNumberFormat="1" applyFont="1" applyBorder="1" applyAlignment="1">
      <alignment horizontal="center"/>
    </xf>
    <xf numFmtId="1" fontId="7" fillId="0" borderId="9" xfId="0" applyNumberFormat="1" applyFont="1" applyFill="1" applyBorder="1" applyAlignment="1">
      <alignment horizontal="center" vertical="center"/>
    </xf>
    <xf numFmtId="0" fontId="0" fillId="0" borderId="7" xfId="0" applyBorder="1"/>
    <xf numFmtId="0" fontId="0" fillId="0" borderId="16" xfId="0" applyBorder="1"/>
    <xf numFmtId="17" fontId="22" fillId="3" borderId="18" xfId="0" applyNumberFormat="1" applyFont="1" applyFill="1" applyBorder="1" applyAlignment="1">
      <alignment horizontal="center" vertical="center"/>
    </xf>
    <xf numFmtId="3" fontId="22" fillId="3" borderId="73" xfId="0" applyNumberFormat="1" applyFont="1" applyFill="1" applyBorder="1" applyAlignment="1">
      <alignment horizontal="center" vertical="center"/>
    </xf>
    <xf numFmtId="0" fontId="0" fillId="0" borderId="45" xfId="0" applyBorder="1"/>
    <xf numFmtId="3" fontId="22" fillId="3" borderId="18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29" fillId="0" borderId="7" xfId="0" applyFont="1" applyBorder="1"/>
    <xf numFmtId="0" fontId="27" fillId="3" borderId="15" xfId="0" applyFont="1" applyFill="1" applyBorder="1" applyAlignment="1">
      <alignment horizontal="center" vertical="center"/>
    </xf>
    <xf numFmtId="0" fontId="27" fillId="3" borderId="18" xfId="0" applyFont="1" applyFill="1" applyBorder="1" applyAlignment="1">
      <alignment horizontal="center" vertical="center"/>
    </xf>
    <xf numFmtId="17" fontId="22" fillId="6" borderId="60" xfId="0" applyNumberFormat="1" applyFont="1" applyFill="1" applyBorder="1" applyAlignment="1">
      <alignment horizontal="center" vertical="center"/>
    </xf>
    <xf numFmtId="17" fontId="22" fillId="6" borderId="18" xfId="0" applyNumberFormat="1" applyFont="1" applyFill="1" applyBorder="1" applyAlignment="1">
      <alignment horizontal="center" vertical="center"/>
    </xf>
    <xf numFmtId="1" fontId="0" fillId="0" borderId="7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5" fillId="0" borderId="7" xfId="2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2" fillId="3" borderId="111" xfId="0" applyFont="1" applyFill="1" applyBorder="1" applyAlignment="1">
      <alignment horizontal="center" vertical="center"/>
    </xf>
    <xf numFmtId="0" fontId="23" fillId="0" borderId="16" xfId="0" applyFont="1" applyBorder="1"/>
    <xf numFmtId="0" fontId="23" fillId="0" borderId="7" xfId="0" applyFont="1" applyBorder="1"/>
    <xf numFmtId="0" fontId="23" fillId="0" borderId="45" xfId="0" applyFont="1" applyBorder="1"/>
    <xf numFmtId="1" fontId="23" fillId="0" borderId="64" xfId="0" applyNumberFormat="1" applyFont="1" applyBorder="1"/>
    <xf numFmtId="1" fontId="23" fillId="0" borderId="7" xfId="0" applyNumberFormat="1" applyFont="1" applyBorder="1" applyAlignment="1">
      <alignment horizontal="center" vertical="center"/>
    </xf>
    <xf numFmtId="0" fontId="29" fillId="0" borderId="7" xfId="0" applyFont="1" applyBorder="1" applyAlignment="1">
      <alignment horizontal="center"/>
    </xf>
    <xf numFmtId="1" fontId="23" fillId="0" borderId="7" xfId="0" applyNumberFormat="1" applyFont="1" applyBorder="1"/>
    <xf numFmtId="1" fontId="23" fillId="0" borderId="44" xfId="0" applyNumberFormat="1" applyFont="1" applyBorder="1"/>
    <xf numFmtId="1" fontId="23" fillId="0" borderId="45" xfId="0" applyNumberFormat="1" applyFont="1" applyBorder="1" applyAlignment="1">
      <alignment horizontal="center"/>
    </xf>
    <xf numFmtId="1" fontId="22" fillId="0" borderId="122" xfId="0" applyNumberFormat="1" applyFont="1" applyBorder="1" applyAlignment="1">
      <alignment horizontal="center"/>
    </xf>
    <xf numFmtId="0" fontId="22" fillId="3" borderId="101" xfId="0" applyFont="1" applyFill="1" applyBorder="1" applyAlignment="1">
      <alignment horizontal="center" vertical="center"/>
    </xf>
    <xf numFmtId="1" fontId="22" fillId="3" borderId="18" xfId="0" applyNumberFormat="1" applyFont="1" applyFill="1" applyBorder="1" applyAlignment="1">
      <alignment horizontal="center" vertical="center"/>
    </xf>
    <xf numFmtId="1" fontId="23" fillId="0" borderId="69" xfId="0" applyNumberFormat="1" applyFont="1" applyBorder="1"/>
    <xf numFmtId="1" fontId="23" fillId="0" borderId="16" xfId="0" applyNumberFormat="1" applyFont="1" applyBorder="1" applyAlignment="1">
      <alignment horizontal="center" vertical="center"/>
    </xf>
    <xf numFmtId="17" fontId="22" fillId="3" borderId="15" xfId="0" applyNumberFormat="1" applyFont="1" applyFill="1" applyBorder="1" applyAlignment="1">
      <alignment horizontal="center" vertical="center"/>
    </xf>
    <xf numFmtId="1" fontId="8" fillId="0" borderId="7" xfId="0" applyNumberFormat="1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17" fontId="7" fillId="4" borderId="18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/>
    </xf>
    <xf numFmtId="1" fontId="27" fillId="0" borderId="57" xfId="0" applyNumberFormat="1" applyFont="1" applyBorder="1" applyAlignment="1">
      <alignment horizontal="center" vertical="center"/>
    </xf>
    <xf numFmtId="1" fontId="22" fillId="3" borderId="123" xfId="0" applyNumberFormat="1" applyFont="1" applyFill="1" applyBorder="1" applyAlignment="1">
      <alignment horizontal="center" vertical="center"/>
    </xf>
    <xf numFmtId="1" fontId="27" fillId="0" borderId="56" xfId="0" applyNumberFormat="1" applyFont="1" applyBorder="1" applyAlignment="1">
      <alignment horizontal="center" vertical="center"/>
    </xf>
    <xf numFmtId="1" fontId="27" fillId="0" borderId="14" xfId="0" applyNumberFormat="1" applyFont="1" applyBorder="1" applyAlignment="1">
      <alignment horizontal="center" vertical="center"/>
    </xf>
    <xf numFmtId="2" fontId="22" fillId="3" borderId="208" xfId="0" applyNumberFormat="1" applyFont="1" applyFill="1" applyBorder="1" applyAlignment="1">
      <alignment horizontal="center" vertical="center"/>
    </xf>
    <xf numFmtId="2" fontId="27" fillId="0" borderId="209" xfId="1" applyNumberFormat="1" applyFont="1" applyFill="1" applyBorder="1" applyAlignment="1">
      <alignment horizontal="center" vertical="center"/>
    </xf>
    <xf numFmtId="2" fontId="27" fillId="0" borderId="40" xfId="1" applyNumberFormat="1" applyFont="1" applyFill="1" applyBorder="1" applyAlignment="1">
      <alignment horizontal="center" vertical="center"/>
    </xf>
    <xf numFmtId="2" fontId="27" fillId="0" borderId="52" xfId="1" applyNumberFormat="1" applyFont="1" applyFill="1" applyBorder="1" applyAlignment="1">
      <alignment horizontal="center" vertical="center"/>
    </xf>
    <xf numFmtId="2" fontId="27" fillId="3" borderId="18" xfId="1" applyNumberFormat="1" applyFont="1" applyFill="1" applyBorder="1" applyAlignment="1">
      <alignment horizontal="center" vertical="center"/>
    </xf>
    <xf numFmtId="0" fontId="22" fillId="3" borderId="19" xfId="0" applyFont="1" applyFill="1" applyBorder="1" applyAlignment="1">
      <alignment horizontal="center"/>
    </xf>
    <xf numFmtId="17" fontId="22" fillId="3" borderId="25" xfId="0" applyNumberFormat="1" applyFont="1" applyFill="1" applyBorder="1" applyAlignment="1">
      <alignment horizontal="center" vertical="center"/>
    </xf>
    <xf numFmtId="0" fontId="56" fillId="0" borderId="0" xfId="0" applyFont="1"/>
    <xf numFmtId="0" fontId="56" fillId="0" borderId="0" xfId="0" applyFont="1" applyAlignment="1">
      <alignment horizontal="center"/>
    </xf>
    <xf numFmtId="2" fontId="12" fillId="0" borderId="0" xfId="0" applyNumberFormat="1" applyFont="1" applyFill="1" applyBorder="1" applyAlignment="1">
      <alignment horizontal="center"/>
    </xf>
    <xf numFmtId="0" fontId="13" fillId="0" borderId="0" xfId="0" applyFont="1"/>
    <xf numFmtId="0" fontId="51" fillId="0" borderId="16" xfId="0" applyFont="1" applyBorder="1" applyAlignment="1">
      <alignment horizontal="center" vertical="center"/>
    </xf>
    <xf numFmtId="0" fontId="51" fillId="0" borderId="7" xfId="0" applyFont="1" applyBorder="1" applyAlignment="1">
      <alignment horizontal="center" vertical="center"/>
    </xf>
    <xf numFmtId="0" fontId="51" fillId="0" borderId="45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0" fillId="0" borderId="0" xfId="0"/>
    <xf numFmtId="0" fontId="32" fillId="0" borderId="0" xfId="0" applyFont="1" applyBorder="1"/>
    <xf numFmtId="17" fontId="22" fillId="6" borderId="15" xfId="0" applyNumberFormat="1" applyFont="1" applyFill="1" applyBorder="1" applyAlignment="1">
      <alignment horizontal="center"/>
    </xf>
    <xf numFmtId="3" fontId="36" fillId="0" borderId="18" xfId="0" applyNumberFormat="1" applyFont="1" applyBorder="1" applyAlignment="1">
      <alignment horizontal="center"/>
    </xf>
    <xf numFmtId="0" fontId="27" fillId="3" borderId="18" xfId="1" applyFont="1" applyFill="1" applyBorder="1" applyAlignment="1">
      <alignment horizontal="center" vertical="center"/>
    </xf>
    <xf numFmtId="17" fontId="22" fillId="4" borderId="18" xfId="0" applyNumberFormat="1" applyFont="1" applyFill="1" applyBorder="1" applyAlignment="1">
      <alignment horizontal="center"/>
    </xf>
    <xf numFmtId="0" fontId="22" fillId="3" borderId="18" xfId="0" applyFont="1" applyFill="1" applyBorder="1" applyAlignment="1">
      <alignment horizontal="center"/>
    </xf>
    <xf numFmtId="1" fontId="22" fillId="3" borderId="18" xfId="0" applyNumberFormat="1" applyFont="1" applyFill="1" applyBorder="1" applyAlignment="1">
      <alignment horizontal="center"/>
    </xf>
    <xf numFmtId="1" fontId="22" fillId="0" borderId="15" xfId="0" applyNumberFormat="1" applyFont="1" applyBorder="1" applyAlignment="1">
      <alignment horizontal="center"/>
    </xf>
    <xf numFmtId="1" fontId="22" fillId="0" borderId="101" xfId="0" applyNumberFormat="1" applyFont="1" applyBorder="1" applyAlignment="1">
      <alignment horizontal="center"/>
    </xf>
    <xf numFmtId="1" fontId="22" fillId="3" borderId="17" xfId="0" applyNumberFormat="1" applyFont="1" applyFill="1" applyBorder="1" applyAlignment="1">
      <alignment horizontal="center"/>
    </xf>
    <xf numFmtId="1" fontId="22" fillId="3" borderId="51" xfId="0" applyNumberFormat="1" applyFont="1" applyFill="1" applyBorder="1" applyAlignment="1">
      <alignment horizontal="center" vertical="center"/>
    </xf>
    <xf numFmtId="0" fontId="35" fillId="18" borderId="210" xfId="0" applyFont="1" applyFill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Fill="1"/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 vertical="center" wrapText="1"/>
    </xf>
    <xf numFmtId="1" fontId="2" fillId="0" borderId="0" xfId="0" applyNumberFormat="1" applyFont="1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4" fillId="0" borderId="0" xfId="0" applyFont="1"/>
    <xf numFmtId="17" fontId="2" fillId="0" borderId="0" xfId="0" applyNumberFormat="1" applyFont="1"/>
    <xf numFmtId="2" fontId="2" fillId="0" borderId="0" xfId="0" applyNumberFormat="1" applyFont="1" applyAlignment="1">
      <alignment horizontal="center"/>
    </xf>
    <xf numFmtId="0" fontId="33" fillId="0" borderId="0" xfId="0" applyFont="1" applyAlignment="1">
      <alignment horizontal="center" vertical="center"/>
    </xf>
    <xf numFmtId="0" fontId="22" fillId="3" borderId="1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1" fontId="22" fillId="0" borderId="46" xfId="0" applyNumberFormat="1" applyFont="1" applyBorder="1" applyAlignment="1">
      <alignment horizontal="center"/>
    </xf>
    <xf numFmtId="1" fontId="22" fillId="0" borderId="34" xfId="0" applyNumberFormat="1" applyFont="1" applyBorder="1" applyAlignment="1">
      <alignment horizontal="center"/>
    </xf>
    <xf numFmtId="1" fontId="22" fillId="0" borderId="27" xfId="0" applyNumberFormat="1" applyFont="1" applyBorder="1" applyAlignment="1">
      <alignment horizontal="center"/>
    </xf>
    <xf numFmtId="17" fontId="22" fillId="3" borderId="99" xfId="0" applyNumberFormat="1" applyFont="1" applyFill="1" applyBorder="1" applyAlignment="1">
      <alignment horizontal="center"/>
    </xf>
    <xf numFmtId="0" fontId="23" fillId="0" borderId="71" xfId="0" applyFont="1" applyBorder="1" applyAlignment="1">
      <alignment horizontal="center"/>
    </xf>
    <xf numFmtId="0" fontId="23" fillId="0" borderId="69" xfId="0" applyFont="1" applyBorder="1" applyAlignment="1">
      <alignment horizontal="center"/>
    </xf>
    <xf numFmtId="0" fontId="23" fillId="0" borderId="64" xfId="0" applyFont="1" applyBorder="1" applyAlignment="1">
      <alignment horizontal="center"/>
    </xf>
    <xf numFmtId="0" fontId="23" fillId="0" borderId="64" xfId="0" applyFont="1" applyFill="1" applyBorder="1" applyAlignment="1">
      <alignment horizontal="center"/>
    </xf>
    <xf numFmtId="0" fontId="23" fillId="0" borderId="72" xfId="0" applyFont="1" applyBorder="1" applyAlignment="1">
      <alignment horizontal="center"/>
    </xf>
    <xf numFmtId="0" fontId="23" fillId="0" borderId="7" xfId="0" applyFont="1" applyBorder="1" applyAlignment="1">
      <alignment horizontal="left"/>
    </xf>
    <xf numFmtId="0" fontId="23" fillId="0" borderId="45" xfId="0" applyFont="1" applyBorder="1" applyAlignment="1">
      <alignment horizontal="left"/>
    </xf>
    <xf numFmtId="0" fontId="22" fillId="3" borderId="18" xfId="0" applyFont="1" applyFill="1" applyBorder="1" applyAlignment="1">
      <alignment horizontal="left"/>
    </xf>
    <xf numFmtId="0" fontId="23" fillId="0" borderId="16" xfId="0" applyFont="1" applyBorder="1" applyAlignment="1">
      <alignment horizontal="left"/>
    </xf>
    <xf numFmtId="1" fontId="23" fillId="0" borderId="64" xfId="0" applyNumberFormat="1" applyFont="1" applyFill="1" applyBorder="1" applyAlignment="1">
      <alignment horizontal="center"/>
    </xf>
    <xf numFmtId="17" fontId="38" fillId="3" borderId="17" xfId="0" applyNumberFormat="1" applyFont="1" applyFill="1" applyBorder="1" applyAlignment="1">
      <alignment horizontal="center" vertical="center"/>
    </xf>
    <xf numFmtId="0" fontId="22" fillId="3" borderId="15" xfId="0" applyFont="1" applyFill="1" applyBorder="1" applyAlignment="1">
      <alignment horizontal="left"/>
    </xf>
    <xf numFmtId="1" fontId="22" fillId="3" borderId="17" xfId="0" applyNumberFormat="1" applyFont="1" applyFill="1" applyBorder="1" applyAlignment="1">
      <alignment horizontal="center" vertical="center"/>
    </xf>
    <xf numFmtId="0" fontId="27" fillId="2" borderId="15" xfId="0" applyFont="1" applyFill="1" applyBorder="1" applyAlignment="1">
      <alignment horizontal="right"/>
    </xf>
    <xf numFmtId="1" fontId="22" fillId="2" borderId="18" xfId="0" applyNumberFormat="1" applyFont="1" applyFill="1" applyBorder="1" applyAlignment="1">
      <alignment horizontal="center"/>
    </xf>
    <xf numFmtId="0" fontId="27" fillId="3" borderId="15" xfId="0" applyFont="1" applyFill="1" applyBorder="1" applyAlignment="1">
      <alignment horizontal="center"/>
    </xf>
    <xf numFmtId="3" fontId="22" fillId="0" borderId="18" xfId="0" applyNumberFormat="1" applyFont="1" applyFill="1" applyBorder="1" applyAlignment="1">
      <alignment horizontal="center" vertical="center"/>
    </xf>
    <xf numFmtId="3" fontId="22" fillId="0" borderId="17" xfId="0" applyNumberFormat="1" applyFont="1" applyFill="1" applyBorder="1" applyAlignment="1">
      <alignment horizontal="center" vertical="center"/>
    </xf>
    <xf numFmtId="2" fontId="22" fillId="0" borderId="18" xfId="0" applyNumberFormat="1" applyFont="1" applyFill="1" applyBorder="1" applyAlignment="1">
      <alignment horizontal="center" vertical="center"/>
    </xf>
    <xf numFmtId="3" fontId="22" fillId="14" borderId="18" xfId="0" applyNumberFormat="1" applyFont="1" applyFill="1" applyBorder="1" applyAlignment="1">
      <alignment horizontal="center" vertical="center"/>
    </xf>
    <xf numFmtId="3" fontId="22" fillId="4" borderId="17" xfId="0" applyNumberFormat="1" applyFont="1" applyFill="1" applyBorder="1" applyAlignment="1">
      <alignment horizontal="center" vertical="center"/>
    </xf>
    <xf numFmtId="2" fontId="22" fillId="4" borderId="18" xfId="0" applyNumberFormat="1" applyFont="1" applyFill="1" applyBorder="1" applyAlignment="1">
      <alignment horizontal="center" vertical="center"/>
    </xf>
    <xf numFmtId="3" fontId="22" fillId="4" borderId="18" xfId="0" applyNumberFormat="1" applyFont="1" applyFill="1" applyBorder="1" applyAlignment="1">
      <alignment horizontal="center" vertical="center"/>
    </xf>
    <xf numFmtId="3" fontId="22" fillId="14" borderId="59" xfId="0" applyNumberFormat="1" applyFont="1" applyFill="1" applyBorder="1" applyAlignment="1">
      <alignment horizontal="center" vertical="center"/>
    </xf>
    <xf numFmtId="3" fontId="23" fillId="0" borderId="17" xfId="0" applyNumberFormat="1" applyFont="1" applyBorder="1" applyAlignment="1">
      <alignment horizontal="center"/>
    </xf>
    <xf numFmtId="3" fontId="23" fillId="0" borderId="59" xfId="0" applyNumberFormat="1" applyFont="1" applyBorder="1" applyAlignment="1">
      <alignment horizontal="center"/>
    </xf>
    <xf numFmtId="1" fontId="27" fillId="0" borderId="93" xfId="0" applyNumberFormat="1" applyFont="1" applyBorder="1" applyAlignment="1">
      <alignment horizontal="center" vertical="center"/>
    </xf>
    <xf numFmtId="1" fontId="27" fillId="0" borderId="18" xfId="0" applyNumberFormat="1" applyFont="1" applyBorder="1" applyAlignment="1">
      <alignment horizontal="center" vertical="center"/>
    </xf>
    <xf numFmtId="0" fontId="15" fillId="0" borderId="12" xfId="1" applyFont="1" applyFill="1" applyBorder="1" applyAlignment="1">
      <alignment horizontal="center"/>
    </xf>
    <xf numFmtId="0" fontId="15" fillId="0" borderId="18" xfId="1" applyFont="1" applyFill="1" applyBorder="1" applyAlignment="1">
      <alignment horizontal="center"/>
    </xf>
    <xf numFmtId="2" fontId="22" fillId="4" borderId="12" xfId="0" applyNumberFormat="1" applyFont="1" applyFill="1" applyBorder="1" applyAlignment="1">
      <alignment horizontal="center" vertical="center"/>
    </xf>
    <xf numFmtId="0" fontId="23" fillId="0" borderId="66" xfId="0" applyFont="1" applyBorder="1" applyAlignment="1">
      <alignment horizontal="left"/>
    </xf>
    <xf numFmtId="17" fontId="53" fillId="4" borderId="18" xfId="0" applyNumberFormat="1" applyFont="1" applyFill="1" applyBorder="1" applyAlignment="1">
      <alignment horizontal="center" vertical="center" wrapText="1"/>
    </xf>
    <xf numFmtId="0" fontId="57" fillId="0" borderId="0" xfId="0" applyFont="1" applyAlignment="1">
      <alignment horizontal="center"/>
    </xf>
    <xf numFmtId="0" fontId="57" fillId="0" borderId="0" xfId="0" applyFont="1"/>
    <xf numFmtId="0" fontId="23" fillId="0" borderId="16" xfId="0" applyNumberFormat="1" applyFont="1" applyBorder="1" applyAlignment="1">
      <alignment horizontal="center"/>
    </xf>
    <xf numFmtId="0" fontId="23" fillId="0" borderId="7" xfId="0" applyNumberFormat="1" applyFont="1" applyBorder="1" applyAlignment="1">
      <alignment horizontal="center"/>
    </xf>
    <xf numFmtId="0" fontId="23" fillId="0" borderId="45" xfId="0" applyNumberFormat="1" applyFont="1" applyBorder="1" applyAlignment="1">
      <alignment horizontal="center"/>
    </xf>
    <xf numFmtId="0" fontId="22" fillId="3" borderId="60" xfId="0" applyFont="1" applyFill="1" applyBorder="1" applyAlignment="1">
      <alignment horizontal="center" vertical="center"/>
    </xf>
    <xf numFmtId="3" fontId="23" fillId="0" borderId="0" xfId="0" applyNumberFormat="1" applyFont="1" applyAlignment="1">
      <alignment horizontal="center"/>
    </xf>
    <xf numFmtId="0" fontId="58" fillId="0" borderId="7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58" fillId="0" borderId="45" xfId="0" applyFont="1" applyBorder="1" applyAlignment="1">
      <alignment horizontal="center"/>
    </xf>
    <xf numFmtId="0" fontId="58" fillId="0" borderId="7" xfId="0" applyFont="1" applyBorder="1" applyAlignment="1">
      <alignment horizontal="left"/>
    </xf>
    <xf numFmtId="0" fontId="1" fillId="0" borderId="0" xfId="0" applyFont="1" applyFill="1"/>
    <xf numFmtId="0" fontId="42" fillId="0" borderId="0" xfId="0" applyFont="1" applyAlignment="1">
      <alignment horizontal="left"/>
    </xf>
    <xf numFmtId="0" fontId="42" fillId="0" borderId="0" xfId="0" applyFont="1" applyAlignment="1">
      <alignment horizontal="center" vertical="center"/>
    </xf>
    <xf numFmtId="1" fontId="42" fillId="0" borderId="0" xfId="0" applyNumberFormat="1" applyFont="1" applyAlignment="1">
      <alignment horizontal="center"/>
    </xf>
    <xf numFmtId="0" fontId="23" fillId="0" borderId="31" xfId="0" applyFont="1" applyBorder="1" applyAlignment="1">
      <alignment horizontal="center"/>
    </xf>
    <xf numFmtId="0" fontId="23" fillId="0" borderId="33" xfId="0" applyFont="1" applyBorder="1" applyAlignment="1">
      <alignment horizontal="center"/>
    </xf>
    <xf numFmtId="0" fontId="23" fillId="0" borderId="39" xfId="0" applyFont="1" applyBorder="1" applyAlignment="1">
      <alignment horizontal="center"/>
    </xf>
    <xf numFmtId="0" fontId="8" fillId="0" borderId="16" xfId="0" applyFont="1" applyBorder="1" applyAlignment="1">
      <alignment horizontal="center" vertical="center"/>
    </xf>
    <xf numFmtId="0" fontId="54" fillId="0" borderId="16" xfId="0" applyFont="1" applyBorder="1" applyAlignment="1">
      <alignment horizontal="center" vertical="center"/>
    </xf>
    <xf numFmtId="1" fontId="54" fillId="0" borderId="31" xfId="0" applyNumberFormat="1" applyFont="1" applyBorder="1" applyAlignment="1">
      <alignment horizontal="center" vertical="center"/>
    </xf>
    <xf numFmtId="164" fontId="54" fillId="0" borderId="30" xfId="0" applyNumberFormat="1" applyFont="1" applyBorder="1" applyAlignment="1">
      <alignment horizontal="center" vertical="center"/>
    </xf>
    <xf numFmtId="0" fontId="7" fillId="4" borderId="18" xfId="0" applyFont="1" applyFill="1" applyBorder="1" applyAlignment="1">
      <alignment horizontal="left" vertical="center" wrapText="1"/>
    </xf>
    <xf numFmtId="1" fontId="53" fillId="4" borderId="15" xfId="0" applyNumberFormat="1" applyFont="1" applyFill="1" applyBorder="1" applyAlignment="1">
      <alignment horizontal="center" vertical="center" wrapText="1"/>
    </xf>
    <xf numFmtId="0" fontId="51" fillId="0" borderId="63" xfId="0" applyFont="1" applyBorder="1" applyAlignment="1">
      <alignment horizontal="center" vertical="center"/>
    </xf>
    <xf numFmtId="0" fontId="51" fillId="0" borderId="11" xfId="0" applyFont="1" applyBorder="1" applyAlignment="1">
      <alignment horizontal="center" vertical="center" wrapText="1"/>
    </xf>
    <xf numFmtId="0" fontId="51" fillId="0" borderId="61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1" fillId="0" borderId="16" xfId="0" applyFont="1" applyFill="1" applyBorder="1" applyAlignment="1">
      <alignment horizontal="center" vertical="center" wrapText="1"/>
    </xf>
    <xf numFmtId="0" fontId="51" fillId="0" borderId="7" xfId="0" applyFont="1" applyFill="1" applyBorder="1" applyAlignment="1">
      <alignment horizontal="center" vertical="center" wrapText="1"/>
    </xf>
    <xf numFmtId="0" fontId="51" fillId="0" borderId="45" xfId="0" applyFont="1" applyFill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/>
    </xf>
    <xf numFmtId="0" fontId="7" fillId="0" borderId="64" xfId="0" applyFont="1" applyFill="1" applyBorder="1" applyAlignment="1">
      <alignment horizontal="center" vertical="center"/>
    </xf>
    <xf numFmtId="0" fontId="54" fillId="0" borderId="44" xfId="0" applyFont="1" applyBorder="1"/>
    <xf numFmtId="0" fontId="7" fillId="0" borderId="7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wrapText="1"/>
    </xf>
    <xf numFmtId="0" fontId="8" fillId="0" borderId="13" xfId="7" applyFont="1" applyFill="1" applyBorder="1" applyAlignment="1">
      <alignment horizont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3" xfId="7" applyFont="1" applyFill="1" applyBorder="1" applyAlignment="1">
      <alignment horizontal="center" vertical="center" wrapText="1"/>
    </xf>
    <xf numFmtId="0" fontId="51" fillId="0" borderId="13" xfId="0" applyFont="1" applyBorder="1" applyAlignment="1">
      <alignment horizontal="center" wrapText="1"/>
    </xf>
    <xf numFmtId="0" fontId="51" fillId="0" borderId="13" xfId="0" applyFont="1" applyFill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8" fillId="0" borderId="13" xfId="0" applyFont="1" applyBorder="1" applyAlignment="1">
      <alignment horizontal="center"/>
    </xf>
    <xf numFmtId="0" fontId="54" fillId="0" borderId="13" xfId="0" applyFont="1" applyBorder="1" applyAlignment="1">
      <alignment horizontal="center"/>
    </xf>
    <xf numFmtId="0" fontId="8" fillId="0" borderId="20" xfId="0" applyFont="1" applyFill="1" applyBorder="1" applyAlignment="1">
      <alignment horizontal="center" vertical="center" wrapText="1"/>
    </xf>
    <xf numFmtId="1" fontId="55" fillId="0" borderId="0" xfId="0" applyNumberFormat="1" applyFont="1" applyFill="1" applyAlignment="1">
      <alignment horizontal="left" vertical="center"/>
    </xf>
    <xf numFmtId="0" fontId="55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1" fontId="19" fillId="0" borderId="0" xfId="0" applyNumberFormat="1" applyFont="1" applyFill="1" applyAlignment="1">
      <alignment horizontal="center" vertical="center"/>
    </xf>
    <xf numFmtId="0" fontId="35" fillId="0" borderId="0" xfId="0" applyFont="1" applyBorder="1" applyAlignment="1">
      <alignment horizontal="center"/>
    </xf>
    <xf numFmtId="0" fontId="59" fillId="0" borderId="0" xfId="0" applyFont="1" applyFill="1" applyBorder="1" applyAlignment="1">
      <alignment horizontal="center" wrapText="1"/>
    </xf>
    <xf numFmtId="17" fontId="60" fillId="0" borderId="0" xfId="0" applyNumberFormat="1" applyFont="1" applyBorder="1"/>
    <xf numFmtId="17" fontId="59" fillId="0" borderId="0" xfId="0" applyNumberFormat="1" applyFont="1" applyBorder="1" applyAlignment="1">
      <alignment horizontal="center" vertical="center"/>
    </xf>
    <xf numFmtId="17" fontId="60" fillId="0" borderId="0" xfId="0" applyNumberFormat="1" applyFont="1" applyBorder="1" applyAlignment="1">
      <alignment horizontal="center" vertical="center"/>
    </xf>
    <xf numFmtId="17" fontId="59" fillId="0" borderId="0" xfId="0" applyNumberFormat="1" applyFont="1" applyFill="1" applyBorder="1" applyAlignment="1">
      <alignment horizontal="center" vertical="center" wrapText="1"/>
    </xf>
    <xf numFmtId="164" fontId="60" fillId="0" borderId="0" xfId="0" applyNumberFormat="1" applyFont="1" applyBorder="1" applyAlignment="1">
      <alignment horizontal="center" vertical="center"/>
    </xf>
    <xf numFmtId="0" fontId="59" fillId="0" borderId="0" xfId="7" applyFont="1" applyFill="1" applyBorder="1" applyAlignment="1">
      <alignment horizontal="center" wrapText="1"/>
    </xf>
    <xf numFmtId="0" fontId="60" fillId="0" borderId="0" xfId="0" applyFont="1" applyBorder="1"/>
    <xf numFmtId="0" fontId="60" fillId="0" borderId="0" xfId="0" applyFont="1" applyBorder="1" applyAlignment="1">
      <alignment horizontal="center"/>
    </xf>
    <xf numFmtId="1" fontId="60" fillId="0" borderId="0" xfId="0" applyNumberFormat="1" applyFont="1" applyBorder="1" applyAlignment="1">
      <alignment horizontal="center"/>
    </xf>
    <xf numFmtId="0" fontId="60" fillId="0" borderId="0" xfId="0" applyFont="1" applyBorder="1" applyAlignment="1">
      <alignment horizontal="center" vertical="center"/>
    </xf>
    <xf numFmtId="0" fontId="61" fillId="0" borderId="0" xfId="0" applyFont="1" applyBorder="1" applyAlignment="1">
      <alignment horizontal="center" vertical="center"/>
    </xf>
    <xf numFmtId="0" fontId="59" fillId="0" borderId="0" xfId="0" applyFont="1" applyFill="1" applyBorder="1" applyAlignment="1">
      <alignment horizontal="center" vertical="center" wrapText="1"/>
    </xf>
    <xf numFmtId="0" fontId="59" fillId="0" borderId="0" xfId="0" applyFont="1" applyBorder="1" applyAlignment="1">
      <alignment horizontal="center" vertical="center" wrapText="1"/>
    </xf>
    <xf numFmtId="0" fontId="59" fillId="0" borderId="0" xfId="0" applyFont="1" applyBorder="1" applyAlignment="1">
      <alignment horizontal="center" vertical="center"/>
    </xf>
    <xf numFmtId="0" fontId="59" fillId="0" borderId="0" xfId="0" applyFont="1" applyBorder="1" applyAlignment="1">
      <alignment horizontal="center" wrapText="1"/>
    </xf>
    <xf numFmtId="164" fontId="60" fillId="0" borderId="0" xfId="0" applyNumberFormat="1" applyFont="1" applyBorder="1" applyAlignment="1">
      <alignment horizontal="center"/>
    </xf>
    <xf numFmtId="0" fontId="7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" fontId="1" fillId="0" borderId="0" xfId="0" applyNumberFormat="1" applyFont="1" applyAlignment="1">
      <alignment horizontal="center" vertical="center"/>
    </xf>
    <xf numFmtId="164" fontId="35" fillId="0" borderId="0" xfId="0" applyNumberFormat="1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1" fontId="1" fillId="0" borderId="0" xfId="0" applyNumberFormat="1" applyFont="1" applyAlignment="1">
      <alignment horizontal="left" vertical="center"/>
    </xf>
    <xf numFmtId="164" fontId="62" fillId="0" borderId="0" xfId="0" applyNumberFormat="1" applyFont="1" applyBorder="1" applyAlignment="1">
      <alignment horizontal="center" vertical="center"/>
    </xf>
    <xf numFmtId="3" fontId="2" fillId="0" borderId="68" xfId="0" applyNumberFormat="1" applyFont="1" applyBorder="1" applyAlignment="1">
      <alignment horizontal="center"/>
    </xf>
    <xf numFmtId="3" fontId="2" fillId="0" borderId="33" xfId="0" applyNumberFormat="1" applyFont="1" applyBorder="1" applyAlignment="1">
      <alignment horizontal="center"/>
    </xf>
    <xf numFmtId="3" fontId="2" fillId="0" borderId="39" xfId="0" applyNumberFormat="1" applyFont="1" applyBorder="1" applyAlignment="1">
      <alignment horizontal="center"/>
    </xf>
    <xf numFmtId="3" fontId="2" fillId="0" borderId="67" xfId="0" applyNumberFormat="1" applyFont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2" fontId="2" fillId="0" borderId="20" xfId="0" applyNumberFormat="1" applyFont="1" applyBorder="1" applyAlignment="1">
      <alignment horizontal="center"/>
    </xf>
    <xf numFmtId="1" fontId="53" fillId="4" borderId="67" xfId="0" applyNumberFormat="1" applyFont="1" applyFill="1" applyBorder="1" applyAlignment="1">
      <alignment horizontal="center" vertical="center"/>
    </xf>
    <xf numFmtId="1" fontId="22" fillId="3" borderId="123" xfId="0" applyNumberFormat="1" applyFont="1" applyFill="1" applyBorder="1" applyAlignment="1">
      <alignment horizontal="center"/>
    </xf>
    <xf numFmtId="1" fontId="22" fillId="4" borderId="18" xfId="0" applyNumberFormat="1" applyFont="1" applyFill="1" applyBorder="1" applyAlignment="1">
      <alignment horizontal="center"/>
    </xf>
    <xf numFmtId="1" fontId="27" fillId="4" borderId="18" xfId="0" applyNumberFormat="1" applyFont="1" applyFill="1" applyBorder="1" applyAlignment="1">
      <alignment horizontal="center" vertical="center"/>
    </xf>
    <xf numFmtId="2" fontId="22" fillId="3" borderId="211" xfId="0" applyNumberFormat="1" applyFont="1" applyFill="1" applyBorder="1" applyAlignment="1">
      <alignment horizontal="center"/>
    </xf>
    <xf numFmtId="1" fontId="22" fillId="3" borderId="60" xfId="0" applyNumberFormat="1" applyFont="1" applyFill="1" applyBorder="1" applyAlignment="1">
      <alignment horizontal="center"/>
    </xf>
    <xf numFmtId="1" fontId="22" fillId="4" borderId="18" xfId="0" applyNumberFormat="1" applyFont="1" applyFill="1" applyBorder="1" applyAlignment="1">
      <alignment horizontal="center" vertical="center"/>
    </xf>
    <xf numFmtId="0" fontId="56" fillId="0" borderId="0" xfId="0" applyFont="1" applyFill="1"/>
    <xf numFmtId="0" fontId="27" fillId="21" borderId="14" xfId="0" applyFont="1" applyFill="1" applyBorder="1" applyAlignment="1">
      <alignment horizontal="center" wrapText="1"/>
    </xf>
    <xf numFmtId="0" fontId="0" fillId="21" borderId="13" xfId="0" applyFill="1" applyBorder="1" applyAlignment="1">
      <alignment wrapText="1"/>
    </xf>
    <xf numFmtId="0" fontId="0" fillId="21" borderId="13" xfId="0" applyFill="1" applyBorder="1" applyAlignment="1">
      <alignment horizontal="center" wrapText="1"/>
    </xf>
    <xf numFmtId="0" fontId="27" fillId="0" borderId="19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wrapText="1"/>
    </xf>
    <xf numFmtId="0" fontId="0" fillId="0" borderId="12" xfId="0" applyFill="1" applyBorder="1" applyAlignment="1">
      <alignment horizontal="center" wrapText="1"/>
    </xf>
    <xf numFmtId="0" fontId="23" fillId="0" borderId="7" xfId="0" applyNumberFormat="1" applyFont="1" applyBorder="1" applyAlignment="1">
      <alignment horizontal="center" vertical="top"/>
    </xf>
    <xf numFmtId="0" fontId="23" fillId="0" borderId="7" xfId="0" applyNumberFormat="1" applyFont="1" applyBorder="1" applyAlignment="1">
      <alignment horizontal="center" vertical="center"/>
    </xf>
    <xf numFmtId="0" fontId="23" fillId="0" borderId="7" xfId="0" applyNumberFormat="1" applyFont="1" applyFill="1" applyBorder="1" applyAlignment="1">
      <alignment horizontal="center"/>
    </xf>
    <xf numFmtId="0" fontId="0" fillId="0" borderId="7" xfId="0" applyNumberFormat="1" applyBorder="1" applyAlignment="1">
      <alignment horizontal="center"/>
    </xf>
    <xf numFmtId="0" fontId="0" fillId="0" borderId="7" xfId="0" applyNumberFormat="1" applyFill="1" applyBorder="1" applyAlignment="1">
      <alignment horizontal="center"/>
    </xf>
    <xf numFmtId="0" fontId="29" fillId="0" borderId="7" xfId="0" applyFont="1" applyFill="1" applyBorder="1"/>
    <xf numFmtId="0" fontId="29" fillId="0" borderId="7" xfId="0" applyFont="1" applyBorder="1" applyAlignment="1">
      <alignment horizontal="left"/>
    </xf>
    <xf numFmtId="0" fontId="22" fillId="0" borderId="209" xfId="0" applyFont="1" applyBorder="1" applyAlignment="1">
      <alignment horizontal="center" vertical="center"/>
    </xf>
    <xf numFmtId="0" fontId="58" fillId="0" borderId="7" xfId="0" applyFont="1" applyFill="1" applyBorder="1"/>
    <xf numFmtId="0" fontId="58" fillId="0" borderId="7" xfId="0" applyNumberFormat="1" applyFont="1" applyBorder="1" applyAlignment="1">
      <alignment horizontal="center"/>
    </xf>
    <xf numFmtId="0" fontId="58" fillId="0" borderId="45" xfId="0" applyFont="1" applyFill="1" applyBorder="1"/>
    <xf numFmtId="0" fontId="58" fillId="0" borderId="45" xfId="0" applyNumberFormat="1" applyFont="1" applyBorder="1" applyAlignment="1">
      <alignment horizontal="center"/>
    </xf>
    <xf numFmtId="0" fontId="58" fillId="0" borderId="16" xfId="0" applyFont="1" applyFill="1" applyBorder="1"/>
    <xf numFmtId="0" fontId="58" fillId="0" borderId="16" xfId="0" applyNumberFormat="1" applyFont="1" applyBorder="1" applyAlignment="1">
      <alignment horizontal="center"/>
    </xf>
    <xf numFmtId="0" fontId="32" fillId="0" borderId="0" xfId="0" applyFont="1" applyAlignment="1">
      <alignment wrapText="1"/>
    </xf>
    <xf numFmtId="1" fontId="41" fillId="12" borderId="18" xfId="0" applyNumberFormat="1" applyFont="1" applyFill="1" applyBorder="1"/>
    <xf numFmtId="1" fontId="41" fillId="0" borderId="0" xfId="0" applyNumberFormat="1" applyFont="1" applyBorder="1"/>
    <xf numFmtId="0" fontId="51" fillId="22" borderId="7" xfId="0" applyFont="1" applyFill="1" applyBorder="1" applyAlignment="1">
      <alignment horizontal="center" vertical="center"/>
    </xf>
    <xf numFmtId="0" fontId="51" fillId="22" borderId="7" xfId="0" applyFont="1" applyFill="1" applyBorder="1" applyAlignment="1">
      <alignment horizontal="center" vertical="center" wrapText="1"/>
    </xf>
    <xf numFmtId="0" fontId="8" fillId="22" borderId="7" xfId="0" applyFont="1" applyFill="1" applyBorder="1" applyAlignment="1">
      <alignment horizontal="center" vertical="center" wrapText="1"/>
    </xf>
    <xf numFmtId="0" fontId="51" fillId="22" borderId="16" xfId="0" applyFont="1" applyFill="1" applyBorder="1" applyAlignment="1">
      <alignment horizontal="center" vertical="center"/>
    </xf>
    <xf numFmtId="0" fontId="51" fillId="22" borderId="45" xfId="0" applyFont="1" applyFill="1" applyBorder="1" applyAlignment="1">
      <alignment horizontal="center" vertical="center" wrapText="1"/>
    </xf>
    <xf numFmtId="0" fontId="35" fillId="0" borderId="0" xfId="0" applyFont="1" applyFill="1"/>
    <xf numFmtId="1" fontId="62" fillId="0" borderId="0" xfId="0" applyNumberFormat="1" applyFont="1" applyBorder="1" applyAlignment="1">
      <alignment horizontal="center" vertical="center"/>
    </xf>
    <xf numFmtId="1" fontId="62" fillId="0" borderId="0" xfId="0" applyNumberFormat="1" applyFont="1" applyBorder="1" applyAlignment="1">
      <alignment horizontal="center"/>
    </xf>
    <xf numFmtId="0" fontId="17" fillId="0" borderId="0" xfId="0" applyFont="1" applyBorder="1"/>
    <xf numFmtId="17" fontId="17" fillId="0" borderId="0" xfId="0" applyNumberFormat="1" applyFont="1" applyBorder="1" applyAlignment="1">
      <alignment horizontal="center"/>
    </xf>
    <xf numFmtId="17" fontId="17" fillId="0" borderId="0" xfId="0" applyNumberFormat="1" applyFont="1" applyBorder="1" applyAlignment="1">
      <alignment horizontal="center" vertical="center"/>
    </xf>
    <xf numFmtId="164" fontId="17" fillId="0" borderId="0" xfId="0" applyNumberFormat="1" applyFont="1" applyBorder="1" applyAlignment="1">
      <alignment horizontal="center" vertical="center"/>
    </xf>
    <xf numFmtId="0" fontId="63" fillId="0" borderId="0" xfId="7" applyFont="1" applyFill="1" applyBorder="1" applyAlignment="1">
      <alignment horizontal="center" wrapText="1"/>
    </xf>
    <xf numFmtId="0" fontId="63" fillId="0" borderId="0" xfId="0" applyFont="1" applyBorder="1" applyAlignment="1">
      <alignment horizontal="center" vertical="center"/>
    </xf>
    <xf numFmtId="1" fontId="63" fillId="0" borderId="0" xfId="0" applyNumberFormat="1" applyFont="1" applyBorder="1" applyAlignment="1">
      <alignment horizontal="center" vertical="center"/>
    </xf>
    <xf numFmtId="0" fontId="64" fillId="0" borderId="0" xfId="0" applyFont="1" applyBorder="1" applyAlignment="1">
      <alignment horizontal="center" vertical="center"/>
    </xf>
    <xf numFmtId="0" fontId="63" fillId="0" borderId="0" xfId="0" applyFont="1" applyFill="1" applyBorder="1" applyAlignment="1">
      <alignment horizontal="center" vertical="center" wrapText="1"/>
    </xf>
    <xf numFmtId="0" fontId="63" fillId="0" borderId="0" xfId="0" applyFont="1" applyBorder="1" applyAlignment="1">
      <alignment horizontal="center" vertical="center" wrapText="1"/>
    </xf>
    <xf numFmtId="0" fontId="65" fillId="0" borderId="0" xfId="0" applyFont="1" applyFill="1" applyBorder="1" applyAlignment="1">
      <alignment horizontal="center" vertical="center"/>
    </xf>
    <xf numFmtId="1" fontId="65" fillId="0" borderId="0" xfId="0" applyNumberFormat="1" applyFont="1" applyFill="1" applyBorder="1" applyAlignment="1">
      <alignment horizontal="center" vertical="center"/>
    </xf>
    <xf numFmtId="0" fontId="63" fillId="0" borderId="0" xfId="0" applyFont="1" applyFill="1" applyBorder="1" applyAlignment="1">
      <alignment horizontal="center" vertical="center"/>
    </xf>
    <xf numFmtId="0" fontId="63" fillId="0" borderId="0" xfId="7" applyFont="1" applyFill="1" applyBorder="1" applyAlignment="1">
      <alignment horizontal="center" vertical="center" wrapText="1"/>
    </xf>
    <xf numFmtId="0" fontId="63" fillId="0" borderId="0" xfId="0" applyFont="1" applyBorder="1" applyAlignment="1">
      <alignment horizontal="center" wrapText="1"/>
    </xf>
    <xf numFmtId="0" fontId="63" fillId="0" borderId="0" xfId="0" applyFont="1" applyBorder="1" applyAlignment="1">
      <alignment horizontal="center"/>
    </xf>
    <xf numFmtId="1" fontId="63" fillId="0" borderId="0" xfId="0" applyNumberFormat="1" applyFont="1" applyFill="1" applyBorder="1" applyAlignment="1">
      <alignment horizontal="center" vertical="center"/>
    </xf>
    <xf numFmtId="0" fontId="64" fillId="0" borderId="0" xfId="0" applyFont="1" applyBorder="1" applyAlignment="1">
      <alignment horizontal="center"/>
    </xf>
    <xf numFmtId="0" fontId="64" fillId="0" borderId="0" xfId="0" applyFont="1" applyBorder="1"/>
    <xf numFmtId="1" fontId="64" fillId="0" borderId="0" xfId="0" applyNumberFormat="1" applyFont="1" applyBorder="1" applyAlignment="1">
      <alignment horizontal="center"/>
    </xf>
    <xf numFmtId="0" fontId="63" fillId="0" borderId="0" xfId="0" applyFont="1" applyFill="1" applyBorder="1" applyAlignment="1">
      <alignment horizontal="center" wrapText="1"/>
    </xf>
    <xf numFmtId="0" fontId="63" fillId="0" borderId="0" xfId="0" applyFont="1" applyFill="1" applyBorder="1" applyAlignment="1">
      <alignment horizontal="left" vertical="center" wrapText="1"/>
    </xf>
    <xf numFmtId="17" fontId="17" fillId="0" borderId="0" xfId="0" applyNumberFormat="1" applyFont="1" applyFill="1" applyBorder="1" applyAlignment="1">
      <alignment horizontal="center" vertical="center"/>
    </xf>
    <xf numFmtId="17" fontId="59" fillId="0" borderId="0" xfId="0" applyNumberFormat="1" applyFont="1" applyFill="1" applyBorder="1" applyAlignment="1">
      <alignment horizontal="center" vertical="center"/>
    </xf>
    <xf numFmtId="0" fontId="60" fillId="0" borderId="0" xfId="0" applyFont="1" applyFill="1" applyBorder="1" applyAlignment="1">
      <alignment horizontal="center" vertical="center"/>
    </xf>
    <xf numFmtId="0" fontId="64" fillId="0" borderId="0" xfId="0" applyFont="1" applyFill="1" applyBorder="1" applyAlignment="1">
      <alignment horizontal="center" vertical="center"/>
    </xf>
    <xf numFmtId="0" fontId="35" fillId="0" borderId="0" xfId="0" applyFont="1" applyFill="1" applyAlignment="1">
      <alignment horizontal="center"/>
    </xf>
    <xf numFmtId="0" fontId="35" fillId="0" borderId="0" xfId="0" applyFont="1" applyFill="1" applyAlignment="1">
      <alignment horizontal="center" vertical="center"/>
    </xf>
    <xf numFmtId="0" fontId="36" fillId="0" borderId="0" xfId="0" applyFont="1" applyFill="1" applyAlignment="1">
      <alignment horizontal="center" vertical="center"/>
    </xf>
    <xf numFmtId="1" fontId="35" fillId="0" borderId="0" xfId="0" applyNumberFormat="1" applyFont="1" applyFill="1" applyAlignment="1">
      <alignment horizontal="center" vertical="center"/>
    </xf>
    <xf numFmtId="164" fontId="35" fillId="0" borderId="0" xfId="0" applyNumberFormat="1" applyFont="1" applyFill="1" applyAlignment="1">
      <alignment horizontal="center" vertical="center"/>
    </xf>
    <xf numFmtId="0" fontId="36" fillId="0" borderId="48" xfId="0" applyFont="1" applyBorder="1" applyAlignment="1">
      <alignment horizontal="right"/>
    </xf>
    <xf numFmtId="0" fontId="0" fillId="0" borderId="0" xfId="0" applyFill="1" applyBorder="1"/>
    <xf numFmtId="0" fontId="0" fillId="0" borderId="0" xfId="0" applyFill="1" applyAlignment="1">
      <alignment horizontal="left" wrapText="1"/>
    </xf>
    <xf numFmtId="0" fontId="30" fillId="0" borderId="0" xfId="0" applyFont="1" applyAlignment="1">
      <alignment wrapText="1"/>
    </xf>
    <xf numFmtId="0" fontId="0" fillId="0" borderId="0" xfId="0" applyAlignment="1"/>
    <xf numFmtId="0" fontId="12" fillId="0" borderId="0" xfId="0" applyFont="1" applyAlignment="1">
      <alignment wrapText="1"/>
    </xf>
    <xf numFmtId="0" fontId="1" fillId="0" borderId="0" xfId="0" applyFont="1" applyAlignment="1"/>
    <xf numFmtId="2" fontId="22" fillId="0" borderId="78" xfId="0" applyNumberFormat="1" applyFont="1" applyFill="1" applyBorder="1" applyAlignment="1">
      <alignment horizontal="center" vertical="center" wrapText="1"/>
    </xf>
    <xf numFmtId="2" fontId="22" fillId="0" borderId="78" xfId="0" applyNumberFormat="1" applyFont="1" applyFill="1" applyBorder="1" applyAlignment="1">
      <alignment horizontal="center" vertical="center"/>
    </xf>
    <xf numFmtId="0" fontId="23" fillId="0" borderId="91" xfId="0" applyFont="1" applyFill="1" applyBorder="1" applyAlignment="1"/>
    <xf numFmtId="0" fontId="22" fillId="0" borderId="78" xfId="0" applyFont="1" applyFill="1" applyBorder="1" applyAlignment="1">
      <alignment horizontal="center" vertical="center" wrapText="1"/>
    </xf>
    <xf numFmtId="0" fontId="29" fillId="0" borderId="0" xfId="0" applyFont="1" applyAlignment="1">
      <alignment wrapText="1"/>
    </xf>
    <xf numFmtId="0" fontId="0" fillId="0" borderId="0" xfId="0"/>
    <xf numFmtId="0" fontId="22" fillId="0" borderId="78" xfId="0" applyFont="1" applyFill="1" applyBorder="1" applyAlignment="1">
      <alignment horizontal="center"/>
    </xf>
    <xf numFmtId="0" fontId="0" fillId="0" borderId="0" xfId="0" applyFill="1"/>
    <xf numFmtId="0" fontId="41" fillId="0" borderId="78" xfId="0" applyFont="1" applyFill="1" applyBorder="1" applyAlignment="1">
      <alignment horizontal="center"/>
    </xf>
    <xf numFmtId="0" fontId="36" fillId="23" borderId="74" xfId="0" applyFont="1" applyFill="1" applyBorder="1" applyAlignment="1">
      <alignment horizontal="center"/>
    </xf>
    <xf numFmtId="0" fontId="21" fillId="23" borderId="45" xfId="0" applyFont="1" applyFill="1" applyBorder="1" applyAlignment="1">
      <alignment horizontal="center"/>
    </xf>
    <xf numFmtId="0" fontId="21" fillId="23" borderId="61" xfId="0" applyFont="1" applyFill="1" applyBorder="1" applyAlignment="1">
      <alignment horizontal="center"/>
    </xf>
    <xf numFmtId="0" fontId="21" fillId="0" borderId="136" xfId="0" applyFont="1" applyBorder="1" applyAlignment="1">
      <alignment horizontal="center"/>
    </xf>
    <xf numFmtId="0" fontId="0" fillId="0" borderId="212" xfId="0" applyBorder="1" applyAlignment="1">
      <alignment horizontal="center"/>
    </xf>
    <xf numFmtId="0" fontId="0" fillId="0" borderId="212" xfId="0" applyBorder="1"/>
    <xf numFmtId="0" fontId="0" fillId="0" borderId="213" xfId="0" applyBorder="1"/>
    <xf numFmtId="0" fontId="36" fillId="0" borderId="15" xfId="0" applyFont="1" applyBorder="1" applyAlignment="1">
      <alignment horizontal="center"/>
    </xf>
    <xf numFmtId="0" fontId="36" fillId="0" borderId="60" xfId="0" applyFont="1" applyBorder="1" applyAlignment="1">
      <alignment horizontal="center"/>
    </xf>
    <xf numFmtId="0" fontId="36" fillId="0" borderId="17" xfId="0" applyFont="1" applyBorder="1" applyAlignment="1">
      <alignment horizontal="center"/>
    </xf>
    <xf numFmtId="0" fontId="21" fillId="9" borderId="35" xfId="0" applyFont="1" applyFill="1" applyBorder="1" applyAlignment="1">
      <alignment horizontal="center"/>
    </xf>
    <xf numFmtId="0" fontId="21" fillId="9" borderId="36" xfId="0" applyFont="1" applyFill="1" applyBorder="1" applyAlignment="1">
      <alignment horizontal="center"/>
    </xf>
    <xf numFmtId="0" fontId="21" fillId="9" borderId="42" xfId="0" applyFont="1" applyFill="1" applyBorder="1" applyAlignment="1">
      <alignment horizontal="center"/>
    </xf>
    <xf numFmtId="0" fontId="21" fillId="24" borderId="214" xfId="0" applyFont="1" applyFill="1" applyBorder="1" applyAlignment="1">
      <alignment horizontal="center"/>
    </xf>
    <xf numFmtId="0" fontId="21" fillId="24" borderId="45" xfId="0" applyFont="1" applyFill="1" applyBorder="1" applyAlignment="1">
      <alignment horizontal="center"/>
    </xf>
    <xf numFmtId="0" fontId="21" fillId="24" borderId="61" xfId="0" applyFont="1" applyFill="1" applyBorder="1" applyAlignment="1">
      <alignment horizontal="center"/>
    </xf>
    <xf numFmtId="0" fontId="36" fillId="25" borderId="21" xfId="0" applyFont="1" applyFill="1" applyBorder="1" applyAlignment="1">
      <alignment horizontal="center" vertical="center"/>
    </xf>
    <xf numFmtId="0" fontId="21" fillId="25" borderId="75" xfId="0" applyFont="1" applyFill="1" applyBorder="1" applyAlignment="1">
      <alignment horizontal="center" vertical="center"/>
    </xf>
    <xf numFmtId="0" fontId="21" fillId="25" borderId="23" xfId="0" applyFont="1" applyFill="1" applyBorder="1" applyAlignment="1">
      <alignment horizontal="center" vertical="center"/>
    </xf>
    <xf numFmtId="0" fontId="36" fillId="26" borderId="21" xfId="0" applyFont="1" applyFill="1" applyBorder="1" applyAlignment="1">
      <alignment horizontal="center"/>
    </xf>
    <xf numFmtId="0" fontId="21" fillId="26" borderId="75" xfId="0" applyFont="1" applyFill="1" applyBorder="1" applyAlignment="1">
      <alignment horizontal="center"/>
    </xf>
    <xf numFmtId="0" fontId="21" fillId="26" borderId="23" xfId="0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</cellXfs>
  <cellStyles count="11">
    <cellStyle name="Normal" xfId="0" builtinId="0" customBuiltin="1"/>
    <cellStyle name="Normal 2" xfId="1"/>
    <cellStyle name="Normal 2 2" xfId="2"/>
    <cellStyle name="Normal 3" xfId="3"/>
    <cellStyle name="Normal 3 2" xfId="4"/>
    <cellStyle name="Normal 4" xfId="5"/>
    <cellStyle name="Normal 5" xfId="6"/>
    <cellStyle name="Normal 6" xfId="7"/>
    <cellStyle name="Normal 7" xfId="8"/>
    <cellStyle name="Título 3" xfId="9" builtinId="18"/>
    <cellStyle name="Vírgula 2" xfId="10"/>
  </cellStyles>
  <dxfs count="7"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</dxfs>
  <tableStyles count="1" defaultTableStyle="TableStyleMedium2" defaultPivotStyle="PivotStyleLight16">
    <tableStyle name="Invisible" pivot="0" table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Canais de entrada - MARÇO/2023</a:t>
            </a:r>
          </a:p>
        </c:rich>
      </c:tx>
      <c:layout/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10987897346165063"/>
          <c:y val="0.19418903602958718"/>
          <c:w val="0.51925561388159813"/>
          <c:h val="0.72232164161298018"/>
        </c:manualLayout>
      </c:layout>
      <c:barChart>
        <c:barDir val="bar"/>
        <c:grouping val="clustered"/>
        <c:varyColors val="0"/>
        <c:ser>
          <c:idx val="11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Canais_atendimento!$K$5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FD-4827-A3F6-D835152C1345}"/>
            </c:ext>
          </c:extLst>
        </c:ser>
        <c:ser>
          <c:idx val="0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Canais_atendimento!$K$6</c:f>
              <c:numCache>
                <c:formatCode>General</c:formatCode>
                <c:ptCount val="1"/>
                <c:pt idx="0">
                  <c:v>1921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6FD-4827-A3F6-D835152C1345}"/>
            </c:ext>
          </c:extLst>
        </c:ser>
        <c:ser>
          <c:idx val="1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Canais_atendimento!$K$7</c:f>
              <c:numCache>
                <c:formatCode>General</c:formatCode>
                <c:ptCount val="1"/>
                <c:pt idx="0">
                  <c:v>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6FD-4827-A3F6-D835152C1345}"/>
            </c:ext>
          </c:extLst>
        </c:ser>
        <c:ser>
          <c:idx val="2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Canais_atendimento!$K$8</c:f>
              <c:numCache>
                <c:formatCode>General</c:formatCode>
                <c:ptCount val="1"/>
                <c:pt idx="0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FD-4827-A3F6-D835152C1345}"/>
            </c:ext>
          </c:extLst>
        </c:ser>
        <c:ser>
          <c:idx val="3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</c:spPr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Canais_atendimento!$K$9</c:f>
              <c:numCache>
                <c:formatCode>General</c:formatCode>
                <c:ptCount val="1"/>
                <c:pt idx="0">
                  <c:v>2696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6FD-4827-A3F6-D835152C1345}"/>
            </c:ext>
          </c:extLst>
        </c:ser>
        <c:ser>
          <c:idx val="4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numRef>
              <c:f>Canais_atendimento!$K$4</c:f>
              <c:numCache>
                <c:formatCode>mmm\-yy</c:formatCode>
                <c:ptCount val="1"/>
                <c:pt idx="0">
                  <c:v>44986</c:v>
                </c:pt>
              </c:numCache>
            </c:numRef>
          </c:cat>
          <c:val>
            <c:numRef>
              <c:f>Canais_atendimento!$K$10</c:f>
              <c:numCache>
                <c:formatCode>General</c:formatCode>
                <c:ptCount val="1"/>
                <c:pt idx="0">
                  <c:v>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6FD-4827-A3F6-D835152C13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2967263"/>
        <c:axId val="1"/>
      </c:barChart>
      <c:dateAx>
        <c:axId val="2042967263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days"/>
      </c:dateAx>
      <c:valAx>
        <c:axId val="1"/>
        <c:scaling>
          <c:orientation val="minMax"/>
          <c:max val="2200"/>
          <c:min val="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67263"/>
        <c:crosses val="autoZero"/>
        <c:crossBetween val="between"/>
        <c:majorUnit val="2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489584072261231"/>
          <c:y val="0.17317349905252874"/>
          <c:w val="0.32595379631600097"/>
          <c:h val="0.8173675599967045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- canais de entrada - 2023</a:t>
            </a:r>
          </a:p>
        </c:rich>
      </c:tx>
      <c:layout>
        <c:manualLayout>
          <c:xMode val="edge"/>
          <c:yMode val="edge"/>
          <c:x val="0.1093049999766072"/>
          <c:y val="2.9535761154855639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1191958770605324E-2"/>
          <c:y val="0.16890952063827844"/>
          <c:w val="0.62906888619905077"/>
          <c:h val="0.6623849257648764"/>
        </c:manualLayout>
      </c:layout>
      <c:lineChart>
        <c:grouping val="standard"/>
        <c:varyColors val="0"/>
        <c:ser>
          <c:idx val="11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ln>
              <a:solidFill>
                <a:srgbClr val="6600FF"/>
              </a:solidFill>
            </a:ln>
          </c:spPr>
          <c:marker>
            <c:symbol val="none"/>
          </c:marker>
          <c:dPt>
            <c:idx val="0"/>
            <c:marker>
              <c:symbol val="triangle"/>
              <c:size val="6"/>
              <c:spPr>
                <a:solidFill>
                  <a:srgbClr val="FF0000"/>
                </a:solidFill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1-288D-45ED-9F0D-4B1C3AC8BF71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Canais_atendimento!$B$5:$M$5</c:f>
              <c:numCache>
                <c:formatCode>General</c:formatCode>
                <c:ptCount val="12"/>
                <c:pt idx="9">
                  <c:v>9</c:v>
                </c:pt>
                <c:pt idx="10">
                  <c:v>12</c:v>
                </c:pt>
                <c:pt idx="11" formatCode="0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88D-45ED-9F0D-4B1C3AC8BF71}"/>
            </c:ext>
          </c:extLst>
        </c:ser>
        <c:ser>
          <c:idx val="0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diamond"/>
            <c:size val="9"/>
            <c:spPr>
              <a:solidFill>
                <a:srgbClr val="92D050"/>
              </a:solidFill>
              <a:ln>
                <a:noFill/>
              </a:ln>
            </c:spPr>
          </c:marker>
          <c:trendline>
            <c:spPr>
              <a:ln>
                <a:solidFill>
                  <a:schemeClr val="accent6">
                    <a:lumMod val="50000"/>
                  </a:schemeClr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Canais_atendimento!$B$6:$M$6</c:f>
              <c:numCache>
                <c:formatCode>General</c:formatCode>
                <c:ptCount val="12"/>
                <c:pt idx="9">
                  <c:v>1921</c:v>
                </c:pt>
                <c:pt idx="10">
                  <c:v>1612</c:v>
                </c:pt>
                <c:pt idx="11" formatCode="0">
                  <c:v>1490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88D-45ED-9F0D-4B1C3AC8BF71}"/>
            </c:ext>
          </c:extLst>
        </c:ser>
        <c:ser>
          <c:idx val="1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ln>
              <a:solidFill>
                <a:srgbClr val="00B0F0"/>
              </a:solidFill>
            </a:ln>
          </c:spPr>
          <c:marker>
            <c:symbol val="circle"/>
            <c:size val="7"/>
            <c:spPr>
              <a:solidFill>
                <a:srgbClr val="00B0F0"/>
              </a:solidFill>
              <a:ln>
                <a:noFill/>
              </a:ln>
            </c:spPr>
          </c:marker>
          <c:trendline>
            <c:spPr>
              <a:ln>
                <a:solidFill>
                  <a:schemeClr val="accent1">
                    <a:lumMod val="75000"/>
                  </a:schemeClr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Canais_atendimento!$B$7:$M$7</c:f>
              <c:numCache>
                <c:formatCode>General</c:formatCode>
                <c:ptCount val="12"/>
                <c:pt idx="9">
                  <c:v>895</c:v>
                </c:pt>
                <c:pt idx="10">
                  <c:v>799</c:v>
                </c:pt>
                <c:pt idx="11" formatCode="0">
                  <c:v>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88D-45ED-9F0D-4B1C3AC8BF71}"/>
            </c:ext>
          </c:extLst>
        </c:ser>
        <c:ser>
          <c:idx val="2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triangle"/>
            <c:size val="7"/>
            <c:spPr>
              <a:solidFill>
                <a:srgbClr val="FF0000"/>
              </a:solidFill>
              <a:ln>
                <a:noFill/>
              </a:ln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6-288D-45ED-9F0D-4B1C3AC8BF71}"/>
              </c:ext>
            </c:extLst>
          </c:dPt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Canais_atendimento!$B$8:$M$8</c:f>
              <c:numCache>
                <c:formatCode>General</c:formatCode>
                <c:ptCount val="12"/>
                <c:pt idx="9">
                  <c:v>28</c:v>
                </c:pt>
                <c:pt idx="10">
                  <c:v>13</c:v>
                </c:pt>
                <c:pt idx="11" formatCode="0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88D-45ED-9F0D-4B1C3AC8BF71}"/>
            </c:ext>
          </c:extLst>
        </c:ser>
        <c:ser>
          <c:idx val="3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ln>
              <a:solidFill>
                <a:srgbClr val="FF00FF"/>
              </a:solidFill>
            </a:ln>
          </c:spPr>
          <c:marker>
            <c:symbol val="dash"/>
            <c:size val="9"/>
            <c:spPr>
              <a:solidFill>
                <a:srgbClr val="FF00FF"/>
              </a:solidFill>
              <a:ln>
                <a:noFill/>
              </a:ln>
            </c:spPr>
          </c:marker>
          <c:trendline>
            <c:spPr>
              <a:ln>
                <a:solidFill>
                  <a:srgbClr val="9900FF"/>
                </a:solidFill>
                <a:prstDash val="lgDash"/>
              </a:ln>
            </c:spPr>
            <c:trendlineType val="linear"/>
            <c:dispRSqr val="0"/>
            <c:dispEq val="0"/>
          </c:trendline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Canais_atendimento!$B$9:$M$9</c:f>
              <c:numCache>
                <c:formatCode>General</c:formatCode>
                <c:ptCount val="12"/>
                <c:pt idx="9">
                  <c:v>2696</c:v>
                </c:pt>
                <c:pt idx="10">
                  <c:v>2195</c:v>
                </c:pt>
                <c:pt idx="11" formatCode="0">
                  <c:v>1997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88D-45ED-9F0D-4B1C3AC8BF71}"/>
            </c:ext>
          </c:extLst>
        </c:ser>
        <c:ser>
          <c:idx val="4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ln>
              <a:solidFill>
                <a:srgbClr val="FFFF00"/>
              </a:solidFill>
            </a:ln>
          </c:spPr>
          <c:marker>
            <c:symbol val="square"/>
            <c:size val="7"/>
            <c:spPr>
              <a:solidFill>
                <a:srgbClr val="FFFF00"/>
              </a:solidFill>
              <a:ln>
                <a:noFill/>
              </a:ln>
            </c:spPr>
          </c:marker>
          <c:cat>
            <c:numRef>
              <c:f>Canais_atendimento!$B$4:$M$4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44743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Canais_atendimento!$B$10:$M$10</c:f>
              <c:numCache>
                <c:formatCode>General</c:formatCode>
                <c:ptCount val="12"/>
                <c:pt idx="9">
                  <c:v>132</c:v>
                </c:pt>
                <c:pt idx="10">
                  <c:v>116</c:v>
                </c:pt>
                <c:pt idx="11" formatCode="0">
                  <c:v>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288D-45ED-9F0D-4B1C3AC8BF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2958527"/>
        <c:axId val="1"/>
      </c:lineChart>
      <c:dateAx>
        <c:axId val="2042958527"/>
        <c:scaling>
          <c:orientation val="minMax"/>
          <c:max val="45261"/>
          <c:min val="44927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mmm/yy" sourceLinked="0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312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</c:dateAx>
      <c:valAx>
        <c:axId val="1"/>
        <c:scaling>
          <c:orientation val="minMax"/>
          <c:max val="25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8527"/>
        <c:crosses val="autoZero"/>
        <c:crossBetween val="between"/>
        <c:majorUnit val="25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282641140445669"/>
          <c:y val="6.564023247094113E-3"/>
          <c:w val="0.2771735885955432"/>
          <c:h val="0.99343597675290585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1.080624084111542E-3"/>
          <c:y val="0.20221045975930521"/>
          <c:w val="0.69346558895631316"/>
          <c:h val="0.7909302065607571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Canais_atendimento!$A$5</c:f>
              <c:strCache>
                <c:ptCount val="1"/>
                <c:pt idx="0">
                  <c:v>Carta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Canais_atendimento!$Q$5</c:f>
              <c:numCache>
                <c:formatCode>0.0</c:formatCode>
                <c:ptCount val="1"/>
                <c:pt idx="0">
                  <c:v>0.15842281288505544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7B-4EBA-BF80-9B6B8013D4C7}"/>
            </c:ext>
          </c:extLst>
        </c:ser>
        <c:ser>
          <c:idx val="1"/>
          <c:order val="1"/>
          <c:tx>
            <c:strRef>
              <c:f>Canais_atendimento!$A$6</c:f>
              <c:strCache>
                <c:ptCount val="1"/>
                <c:pt idx="0">
                  <c:v>Central SP156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Canais_atendimento!$Q$6</c:f>
              <c:numCache>
                <c:formatCode>0.0</c:formatCode>
                <c:ptCount val="1"/>
                <c:pt idx="0">
                  <c:v>33.814469283576834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7B-4EBA-BF80-9B6B8013D4C7}"/>
            </c:ext>
          </c:extLst>
        </c:ser>
        <c:ser>
          <c:idx val="2"/>
          <c:order val="2"/>
          <c:tx>
            <c:strRef>
              <c:f>Canais_atendimento!$A$7</c:f>
              <c:strCache>
                <c:ptCount val="1"/>
                <c:pt idx="0">
                  <c:v>E-mail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D07B-4EBA-BF80-9B6B8013D4C7}"/>
              </c:ext>
            </c:extLst>
          </c:dPt>
          <c:dLbls>
            <c:dLbl>
              <c:idx val="0"/>
              <c:layout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07B-4EBA-BF80-9B6B8013D4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Canais_atendimento!$Q$7</c:f>
              <c:numCache>
                <c:formatCode>0.0</c:formatCode>
                <c:ptCount val="1"/>
                <c:pt idx="0">
                  <c:v>15.754268614680514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7B-4EBA-BF80-9B6B8013D4C7}"/>
            </c:ext>
          </c:extLst>
        </c:ser>
        <c:ser>
          <c:idx val="3"/>
          <c:order val="3"/>
          <c:tx>
            <c:strRef>
              <c:f>Canais_atendimento!$A$8</c:f>
              <c:strCache>
                <c:ptCount val="1"/>
                <c:pt idx="0">
                  <c:v>Encaminhamento de outros órgãos (Processo SEI, Memorando, Ofício, etc.)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Canais_atendimento!$Q$8</c:f>
              <c:numCache>
                <c:formatCode>0.0</c:formatCode>
                <c:ptCount val="1"/>
                <c:pt idx="0">
                  <c:v>0.4928709734201725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7B-4EBA-BF80-9B6B8013D4C7}"/>
            </c:ext>
          </c:extLst>
        </c:ser>
        <c:ser>
          <c:idx val="4"/>
          <c:order val="4"/>
          <c:tx>
            <c:strRef>
              <c:f>Canais_atendimento!$A$9</c:f>
              <c:strCache>
                <c:ptCount val="1"/>
                <c:pt idx="0">
                  <c:v>Portal</c:v>
                </c:pt>
              </c:strCache>
            </c:strRef>
          </c:tx>
          <c:spPr>
            <a:solidFill>
              <a:srgbClr val="FF00FF"/>
            </a:solidFill>
          </c:spPr>
          <c:invertIfNegative val="0"/>
          <c:dLbls>
            <c:dLbl>
              <c:idx val="0"/>
              <c:layout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07B-4EBA-BF80-9B6B8013D4C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Canais_atendimento!$Q$9</c:f>
              <c:numCache>
                <c:formatCode>0.0</c:formatCode>
                <c:ptCount val="1"/>
                <c:pt idx="0">
                  <c:v>47.456433726456609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7B-4EBA-BF80-9B6B8013D4C7}"/>
            </c:ext>
          </c:extLst>
        </c:ser>
        <c:ser>
          <c:idx val="5"/>
          <c:order val="5"/>
          <c:tx>
            <c:strRef>
              <c:f>Canais_atendimento!$A$10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Canais_atendimento!$Q$4</c:f>
              <c:strCache>
                <c:ptCount val="1"/>
                <c:pt idx="0">
                  <c:v>% Canais de entrada MAR/23</c:v>
                </c:pt>
              </c:strCache>
            </c:strRef>
          </c:cat>
          <c:val>
            <c:numRef>
              <c:f>Canais_atendimento!$Q$10</c:f>
              <c:numCache>
                <c:formatCode>0.0</c:formatCode>
                <c:ptCount val="1"/>
                <c:pt idx="0">
                  <c:v>2.3235345889808134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07B-4EBA-BF80-9B6B8013D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42948543"/>
        <c:axId val="1"/>
      </c:barChart>
      <c:catAx>
        <c:axId val="204294854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.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48543"/>
        <c:crosses val="autoZero"/>
        <c:crossBetween val="between"/>
        <c:majorUnit val="10"/>
      </c:valAx>
      <c:spPr>
        <a:solidFill>
          <a:srgbClr val="FFFFFF"/>
        </a:solidFill>
        <a:ln>
          <a:noFill/>
        </a:ln>
      </c:spPr>
    </c:plotArea>
    <c:legend>
      <c:legendPos val="r"/>
      <c:legendEntry>
        <c:idx val="3"/>
        <c:txPr>
          <a:bodyPr/>
          <a:lstStyle/>
          <a:p>
            <a:pPr>
              <a:defRPr sz="775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</c:legendEntry>
      <c:layout>
        <c:manualLayout>
          <c:xMode val="edge"/>
          <c:yMode val="edge"/>
          <c:x val="0.7196592059850786"/>
          <c:y val="7.6349543166792336E-2"/>
          <c:w val="0.27153036972740607"/>
          <c:h val="0.91189800606772708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Tipo de manifestação MARÇO/2023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2870023303862669E-2"/>
          <c:y val="0.11558236808725186"/>
          <c:w val="0.94594590212377683"/>
          <c:h val="0.78160646496046682"/>
        </c:manualLayout>
      </c:layout>
      <c:barChart>
        <c:barDir val="col"/>
        <c:grouping val="stacked"/>
        <c:varyColors val="1"/>
        <c:ser>
          <c:idx val="11"/>
          <c:order val="0"/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0-7F64-4614-AF1A-E84FDCF9A883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7F64-4614-AF1A-E84FDCF9A883}"/>
              </c:ext>
            </c:extLst>
          </c:dPt>
          <c:dPt>
            <c:idx val="2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2-7F64-4614-AF1A-E84FDCF9A883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3-7F64-4614-AF1A-E84FDCF9A883}"/>
              </c:ext>
            </c:extLst>
          </c:dPt>
          <c:dPt>
            <c:idx val="4"/>
            <c:invertIfNegative val="0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4-7F64-4614-AF1A-E84FDCF9A883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Protocolos!$N$19:$N$23</c:f>
              <c:numCache>
                <c:formatCode>General</c:formatCode>
                <c:ptCount val="5"/>
                <c:pt idx="0">
                  <c:v>164</c:v>
                </c:pt>
                <c:pt idx="1">
                  <c:v>76</c:v>
                </c:pt>
                <c:pt idx="2">
                  <c:v>5075</c:v>
                </c:pt>
                <c:pt idx="3">
                  <c:v>292</c:v>
                </c:pt>
                <c:pt idx="4">
                  <c:v>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F64-4614-AF1A-E84FDCF9A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42973087"/>
        <c:axId val="1"/>
      </c:barChart>
      <c:catAx>
        <c:axId val="204297308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114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logBase val="10"/>
          <c:orientation val="minMax"/>
          <c:max val="10000"/>
          <c:min val="1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73087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de manifestação -Total - 2023</a:t>
            </a:r>
          </a:p>
        </c:rich>
      </c:tx>
      <c:layout>
        <c:manualLayout>
          <c:xMode val="edge"/>
          <c:yMode val="edge"/>
          <c:x val="0.18135796109598448"/>
          <c:y val="1.4513726324749947E-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306224311889068E-2"/>
          <c:y val="0.21393814903571837"/>
          <c:w val="0.59133165908218321"/>
          <c:h val="0.76579286284866577"/>
        </c:manualLayout>
      </c:layout>
      <c:pieChart>
        <c:varyColors val="1"/>
        <c:ser>
          <c:idx val="13"/>
          <c:order val="0"/>
          <c:dPt>
            <c:idx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0-A9E5-4517-98A5-CDB15D65AB32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A9E5-4517-98A5-CDB15D65AB32}"/>
              </c:ext>
            </c:extLst>
          </c:dPt>
          <c:dPt>
            <c:idx val="2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2-A9E5-4517-98A5-CDB15D65AB32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3-A9E5-4517-98A5-CDB15D65AB32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4-A9E5-4517-98A5-CDB15D65AB32}"/>
              </c:ext>
            </c:extLst>
          </c:dPt>
          <c:dLbls>
            <c:dLbl>
              <c:idx val="0"/>
              <c:layout>
                <c:manualLayout>
                  <c:x val="-7.706590633005465E-3"/>
                  <c:y val="6.741559478978170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9E5-4517-98A5-CDB15D65AB32}"/>
                </c:ext>
              </c:extLst>
            </c:dLbl>
            <c:dLbl>
              <c:idx val="1"/>
              <c:layout>
                <c:manualLayout>
                  <c:x val="1.4947660954146014E-3"/>
                  <c:y val="-1.535030513823808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9E5-4517-98A5-CDB15D65AB32}"/>
                </c:ext>
              </c:extLst>
            </c:dLbl>
            <c:dLbl>
              <c:idx val="2"/>
              <c:layout>
                <c:manualLayout>
                  <c:x val="-3.4785915911454461E-2"/>
                  <c:y val="-0.2233823426938889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9E5-4517-98A5-CDB15D65AB32}"/>
                </c:ext>
              </c:extLst>
            </c:dLbl>
            <c:dLbl>
              <c:idx val="3"/>
              <c:layout>
                <c:manualLayout>
                  <c:x val="4.3009795765701277E-2"/>
                  <c:y val="9.988197127532971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9E5-4517-98A5-CDB15D65AB32}"/>
                </c:ext>
              </c:extLst>
            </c:dLbl>
            <c:dLbl>
              <c:idx val="4"/>
              <c:layout>
                <c:manualLayout>
                  <c:x val="-5.0342884043671508E-2"/>
                  <c:y val="-2.73846204007107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9E5-4517-98A5-CDB15D65AB3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E5-4517-98A5-CDB15D65AB3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Protocolos!$D$19:$D$23</c:f>
              <c:strCache>
                <c:ptCount val="5"/>
                <c:pt idx="0">
                  <c:v>Denúncia</c:v>
                </c:pt>
                <c:pt idx="1">
                  <c:v>Elogio</c:v>
                </c:pt>
                <c:pt idx="2">
                  <c:v>Reclamação</c:v>
                </c:pt>
                <c:pt idx="3">
                  <c:v>Solicitação</c:v>
                </c:pt>
                <c:pt idx="4">
                  <c:v>Sugestão</c:v>
                </c:pt>
              </c:strCache>
            </c:strRef>
          </c:cat>
          <c:val>
            <c:numRef>
              <c:f>Protocolos!$R$19:$R$23</c:f>
              <c:numCache>
                <c:formatCode>0.0</c:formatCode>
                <c:ptCount val="5"/>
                <c:pt idx="0">
                  <c:v>2.7320561252023747</c:v>
                </c:pt>
                <c:pt idx="1">
                  <c:v>1.3356718834322721</c:v>
                </c:pt>
                <c:pt idx="2">
                  <c:v>89.125742039935247</c:v>
                </c:pt>
                <c:pt idx="3">
                  <c:v>5.4438747976254724</c:v>
                </c:pt>
                <c:pt idx="4">
                  <c:v>1.3626551538046412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9E5-4517-98A5-CDB15D65AB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22294993499644"/>
          <c:y val="0.33121373341845783"/>
          <c:w val="0.19979370569333044"/>
          <c:h val="0.42528102906055665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5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Protocolos - Linha do Tempo 2023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19050">
              <a:noFill/>
            </a:ln>
          </c:spPr>
          <c:marker>
            <c:symbol val="circl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2700">
                <a:solidFill>
                  <a:srgbClr val="FF0000"/>
                </a:solidFill>
              </a:ln>
            </c:spPr>
            <c:trendlineType val="linear"/>
            <c:dispRSqr val="0"/>
            <c:dispEq val="0"/>
          </c:trendline>
          <c:cat>
            <c:numRef>
              <c:f>Protocolos!$A$5:$A$16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Protocolos!$B$5:$B$16</c:f>
              <c:numCache>
                <c:formatCode>#,##0</c:formatCode>
                <c:ptCount val="12"/>
                <c:pt idx="0">
                  <c:v>4396</c:v>
                </c:pt>
                <c:pt idx="1">
                  <c:v>4747</c:v>
                </c:pt>
                <c:pt idx="2">
                  <c:v>5681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874-446D-BDB2-53A1B17DCD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971839"/>
        <c:axId val="1"/>
      </c:lineChart>
      <c:dateAx>
        <c:axId val="204297183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162000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6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71839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assuntos mais demandados - Média/2023</a:t>
            </a:r>
          </a:p>
        </c:rich>
      </c:tx>
      <c:layout>
        <c:manualLayout>
          <c:xMode val="edge"/>
          <c:yMode val="edge"/>
          <c:x val="0.11865926595241168"/>
          <c:y val="3.32513553915996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0222226271966521"/>
          <c:y val="0.11856762293740715"/>
          <c:w val="0.56182022450145763"/>
          <c:h val="0.80127686034258194"/>
        </c:manualLayout>
      </c:layout>
      <c:barChart>
        <c:barDir val="bar"/>
        <c:grouping val="clustered"/>
        <c:varyColors val="0"/>
        <c:ser>
          <c:idx val="3"/>
          <c:order val="0"/>
          <c:spPr>
            <a:solidFill>
              <a:srgbClr val="BFBFBF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1A8F-410C-B9B3-BC4EBBDCB7FC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A8F-410C-B9B3-BC4EBBDCB7FC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1A8F-410C-B9B3-BC4EBBDCB7FC}"/>
              </c:ext>
            </c:extLst>
          </c:dPt>
          <c:dPt>
            <c:idx val="4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1A8F-410C-B9B3-BC4EBBDCB7FC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1A8F-410C-B9B3-BC4EBBDCB7FC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1A8F-410C-B9B3-BC4EBBDCB7FC}"/>
              </c:ext>
            </c:extLst>
          </c:dPt>
          <c:dPt>
            <c:idx val="7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1A8F-410C-B9B3-BC4EBBDCB7FC}"/>
              </c:ext>
            </c:extLst>
          </c:dPt>
          <c:dPt>
            <c:idx val="8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1A8F-410C-B9B3-BC4EBBDCB7FC}"/>
              </c:ext>
            </c:extLst>
          </c:dPt>
          <c:dPt>
            <c:idx val="9"/>
            <c:invertIfNegative val="0"/>
            <c:bubble3D val="0"/>
            <c:spPr>
              <a:solidFill>
                <a:srgbClr val="9933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1A8F-410C-B9B3-BC4EBBDCB7FC}"/>
              </c:ext>
            </c:extLst>
          </c:dPt>
          <c:cat>
            <c:strRef>
              <c:f>'10_Assuntos_+_demadados_2023'!$A$7:$A$16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Sinalização e Circulação de veículos e Pedestres</c:v>
                </c:pt>
                <c:pt idx="6">
                  <c:v>Drenagem de água de chuva</c:v>
                </c:pt>
                <c:pt idx="7">
                  <c:v>Multas de trânsito</c:v>
                </c:pt>
                <c:pt idx="8">
                  <c:v>Calçadas, guias e postes</c:v>
                </c:pt>
                <c:pt idx="9">
                  <c:v>Estabelecimentos comerciais, indústrias e serviços</c:v>
                </c:pt>
              </c:strCache>
            </c:strRef>
          </c:cat>
          <c:val>
            <c:numRef>
              <c:f>'10_Assuntos_+_demadados_2023'!$O$7:$O$16</c:f>
              <c:numCache>
                <c:formatCode>0</c:formatCode>
                <c:ptCount val="10"/>
                <c:pt idx="0">
                  <c:v>609.66666666666663</c:v>
                </c:pt>
                <c:pt idx="1">
                  <c:v>336.33333333333331</c:v>
                </c:pt>
                <c:pt idx="2">
                  <c:v>288.66666666666669</c:v>
                </c:pt>
                <c:pt idx="3">
                  <c:v>278.66666666666669</c:v>
                </c:pt>
                <c:pt idx="4">
                  <c:v>215.66666666666666</c:v>
                </c:pt>
                <c:pt idx="5">
                  <c:v>147.33333333333334</c:v>
                </c:pt>
                <c:pt idx="6">
                  <c:v>143</c:v>
                </c:pt>
                <c:pt idx="7">
                  <c:v>135.66666666666666</c:v>
                </c:pt>
                <c:pt idx="8">
                  <c:v>129</c:v>
                </c:pt>
                <c:pt idx="9">
                  <c:v>123.33333333333333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A8F-410C-B9B3-BC4EBBDCB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2042956447"/>
        <c:axId val="1"/>
      </c:barChart>
      <c:catAx>
        <c:axId val="2042956447"/>
        <c:scaling>
          <c:orientation val="minMax"/>
        </c:scaling>
        <c:delete val="0"/>
        <c:axPos val="l"/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700"/>
          <c:min val="0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6447"/>
        <c:crosses val="autoZero"/>
        <c:crossBetween val="between"/>
      </c:valAx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em relação ao todo de MAR/23 (exetuando-se denúncias)</a:t>
            </a:r>
          </a:p>
        </c:rich>
      </c:tx>
      <c:layout>
        <c:manualLayout>
          <c:xMode val="edge"/>
          <c:yMode val="edge"/>
          <c:x val="9.1135577749750975E-3"/>
          <c:y val="1.71843934016020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0078738623950909E-2"/>
          <c:y val="0.11583103666145671"/>
          <c:w val="0.62612779091973203"/>
          <c:h val="0.84799291793859644"/>
        </c:manualLayout>
      </c:layout>
      <c:ofPieChart>
        <c:ofPieType val="pie"/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2886-427F-A63F-33AA0FCBACDB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886-427F-A63F-33AA0FCBACDB}"/>
              </c:ext>
            </c:extLst>
          </c:dPt>
          <c:dPt>
            <c:idx val="2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886-427F-A63F-33AA0FCBACD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886-427F-A63F-33AA0FCBACD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886-427F-A63F-33AA0FCBACDB}"/>
              </c:ext>
            </c:extLst>
          </c:dPt>
          <c:dPt>
            <c:idx val="5"/>
            <c:bubble3D val="0"/>
            <c:spPr>
              <a:solidFill>
                <a:srgbClr val="9900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886-427F-A63F-33AA0FCBACDB}"/>
              </c:ext>
            </c:extLst>
          </c:dPt>
          <c:dPt>
            <c:idx val="6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886-427F-A63F-33AA0FCBACD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886-427F-A63F-33AA0FCBACDB}"/>
              </c:ext>
            </c:extLst>
          </c:dPt>
          <c:dPt>
            <c:idx val="8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2886-427F-A63F-33AA0FCBACD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2886-427F-A63F-33AA0FCBACDB}"/>
              </c:ext>
            </c:extLst>
          </c:dPt>
          <c:dPt>
            <c:idx val="10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2886-427F-A63F-33AA0FCBACDB}"/>
              </c:ext>
            </c:extLst>
          </c:dPt>
          <c:dPt>
            <c:idx val="11"/>
            <c:bubble3D val="0"/>
            <c:spPr>
              <a:solidFill>
                <a:schemeClr val="tx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2886-427F-A63F-33AA0FCBACDB}"/>
              </c:ext>
            </c:extLst>
          </c:dPt>
          <c:dLbls>
            <c:dLbl>
              <c:idx val="10"/>
              <c:layout>
                <c:manualLayout>
                  <c:x val="4.1004824678789659E-2"/>
                  <c:y val="-4.277704164758432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886-427F-A63F-33AA0FCBACDB}"/>
                </c:ext>
              </c:extLst>
            </c:dLbl>
            <c:dLbl>
              <c:idx val="1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B-2886-427F-A63F-33AA0FCBACD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('10_Assuntos_+_demadados_2023'!$A$7:$A$16,'10_Assuntos_+_demadados_2023'!$A$18)</c:f>
              <c:strCache>
                <c:ptCount val="11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Sinalização e Circulação de veículos e Pedestres</c:v>
                </c:pt>
                <c:pt idx="6">
                  <c:v>Drenagem de água de chuva</c:v>
                </c:pt>
                <c:pt idx="7">
                  <c:v>Multas de trânsito</c:v>
                </c:pt>
                <c:pt idx="8">
                  <c:v>Calçadas, guias e postes</c:v>
                </c:pt>
                <c:pt idx="9">
                  <c:v>Estabelecimentos comerciais, indústrias e serviços</c:v>
                </c:pt>
                <c:pt idx="10">
                  <c:v>Outros</c:v>
                </c:pt>
              </c:strCache>
            </c:strRef>
          </c:cat>
          <c:val>
            <c:numRef>
              <c:f>('10_Assuntos_+_demadados_2023'!$P$7:$P$16,'10_Assuntos_+_demadados_2023'!$P$18)</c:f>
              <c:numCache>
                <c:formatCode>0.00</c:formatCode>
                <c:ptCount val="11"/>
                <c:pt idx="0">
                  <c:v>15.298169294906652</c:v>
                </c:pt>
                <c:pt idx="1">
                  <c:v>6.2896501721950333</c:v>
                </c:pt>
                <c:pt idx="2">
                  <c:v>5.6733732100779406</c:v>
                </c:pt>
                <c:pt idx="3">
                  <c:v>4.8939641109298533</c:v>
                </c:pt>
                <c:pt idx="4">
                  <c:v>3.8970454957404388</c:v>
                </c:pt>
                <c:pt idx="5">
                  <c:v>2.9726300525647997</c:v>
                </c:pt>
                <c:pt idx="6">
                  <c:v>3.1901395686061265</c:v>
                </c:pt>
                <c:pt idx="7">
                  <c:v>2.0300888163857169</c:v>
                </c:pt>
                <c:pt idx="8">
                  <c:v>2.8457495015406926</c:v>
                </c:pt>
                <c:pt idx="9">
                  <c:v>2.9726300525647997</c:v>
                </c:pt>
                <c:pt idx="10">
                  <c:v>49.93655972448795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886-427F-A63F-33AA0FCBA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25071487276213"/>
          <c:y val="1.1477839881413786E-2"/>
          <c:w val="0.30874928512723787"/>
          <c:h val="0.9885221601185861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9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Média - 10 assuntos mais demandados dos 3 últimos meses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BBB59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ABBB-4B40-8F5E-3D681DC8E7DE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ABBB-4B40-8F5E-3D681DC8E7DE}"/>
              </c:ext>
            </c:extLst>
          </c:dPt>
          <c:dPt>
            <c:idx val="2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ABBB-4B40-8F5E-3D681DC8E7DE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ABBB-4B40-8F5E-3D681DC8E7DE}"/>
              </c:ext>
            </c:extLst>
          </c:dPt>
          <c:dPt>
            <c:idx val="4"/>
            <c:invertIfNegative val="0"/>
            <c:bubble3D val="0"/>
            <c:spPr>
              <a:solidFill>
                <a:srgbClr val="FF66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ABBB-4B40-8F5E-3D681DC8E7DE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ABBB-4B40-8F5E-3D681DC8E7DE}"/>
              </c:ext>
            </c:extLst>
          </c:dPt>
          <c:dPt>
            <c:idx val="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ABBB-4B40-8F5E-3D681DC8E7DE}"/>
              </c:ext>
            </c:extLst>
          </c:dPt>
          <c:dPt>
            <c:idx val="7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ABBB-4B40-8F5E-3D681DC8E7DE}"/>
              </c:ext>
            </c:extLst>
          </c:dPt>
          <c:dPt>
            <c:idx val="8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ABBB-4B40-8F5E-3D681DC8E7DE}"/>
              </c:ext>
            </c:extLst>
          </c:dPt>
          <c:dPt>
            <c:idx val="9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ABBB-4B40-8F5E-3D681DC8E7DE}"/>
              </c:ext>
            </c:extLst>
          </c:dPt>
          <c:cat>
            <c:strRef>
              <c:f>'ASSUNTOS_10+_últimos_3_meses'!$A$7:$A$16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Sinalização e Circulação de veículos e Pedestres</c:v>
                </c:pt>
                <c:pt idx="6">
                  <c:v>Drenagem de água de chuva</c:v>
                </c:pt>
                <c:pt idx="7">
                  <c:v>Multas de trânsito</c:v>
                </c:pt>
                <c:pt idx="8">
                  <c:v>Calçadas, guias e postes</c:v>
                </c:pt>
                <c:pt idx="9">
                  <c:v>Estabelecimentos comerciais, indústrias e serviços</c:v>
                </c:pt>
              </c:strCache>
            </c:strRef>
          </c:cat>
          <c:val>
            <c:numRef>
              <c:f>'ASSUNTOS_10+_últimos_3_meses'!$F$7:$F$16</c:f>
              <c:numCache>
                <c:formatCode>0</c:formatCode>
                <c:ptCount val="10"/>
                <c:pt idx="0">
                  <c:v>609.66666666666663</c:v>
                </c:pt>
                <c:pt idx="1">
                  <c:v>336.33333333333331</c:v>
                </c:pt>
                <c:pt idx="2">
                  <c:v>288.66666666666669</c:v>
                </c:pt>
                <c:pt idx="3">
                  <c:v>278.66666666666669</c:v>
                </c:pt>
                <c:pt idx="4">
                  <c:v>215.66666666666666</c:v>
                </c:pt>
                <c:pt idx="5">
                  <c:v>147.33333333333334</c:v>
                </c:pt>
                <c:pt idx="6">
                  <c:v>143</c:v>
                </c:pt>
                <c:pt idx="7">
                  <c:v>135.66666666666666</c:v>
                </c:pt>
                <c:pt idx="8">
                  <c:v>129</c:v>
                </c:pt>
                <c:pt idx="9">
                  <c:v>123.33333333333333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BBB-4B40-8F5E-3D681DC8E7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2950623"/>
        <c:axId val="1"/>
      </c:barChart>
      <c:catAx>
        <c:axId val="2042950623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7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0623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assuntos mais demandados 3 últimos meses</a:t>
            </a:r>
          </a:p>
        </c:rich>
      </c:tx>
      <c:layout>
        <c:manualLayout>
          <c:xMode val="edge"/>
          <c:yMode val="edge"/>
          <c:x val="0.20952996413296943"/>
          <c:y val="1.11731843575419E-2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'ASSUNTOS_10+_últimos_3_meses'!$A$7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92D05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'ASSUNTOS_10+_últimos_3_meses'!$B$7:$D$7</c:f>
              <c:numCache>
                <c:formatCode>General</c:formatCode>
                <c:ptCount val="3"/>
                <c:pt idx="0">
                  <c:v>844</c:v>
                </c:pt>
                <c:pt idx="1">
                  <c:v>484</c:v>
                </c:pt>
                <c:pt idx="2">
                  <c:v>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04-41BB-A772-5C2C6B54CD26}"/>
            </c:ext>
          </c:extLst>
        </c:ser>
        <c:ser>
          <c:idx val="1"/>
          <c:order val="1"/>
          <c:tx>
            <c:strRef>
              <c:f>'ASSUNTOS_10+_últimos_3_meses'!$A$8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'ASSUNTOS_10+_últimos_3_meses'!$B$8:$D$8</c:f>
              <c:numCache>
                <c:formatCode>General</c:formatCode>
                <c:ptCount val="3"/>
                <c:pt idx="0">
                  <c:v>347</c:v>
                </c:pt>
                <c:pt idx="1">
                  <c:v>325</c:v>
                </c:pt>
                <c:pt idx="2">
                  <c:v>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04-41BB-A772-5C2C6B54CD26}"/>
            </c:ext>
          </c:extLst>
        </c:ser>
        <c:ser>
          <c:idx val="2"/>
          <c:order val="2"/>
          <c:tx>
            <c:strRef>
              <c:f>'ASSUNTOS_10+_últimos_3_meses'!$A$9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'ASSUNTOS_10+_últimos_3_meses'!$B$9:$D$9</c:f>
              <c:numCache>
                <c:formatCode>General</c:formatCode>
                <c:ptCount val="3"/>
                <c:pt idx="0">
                  <c:v>313</c:v>
                </c:pt>
                <c:pt idx="1">
                  <c:v>290</c:v>
                </c:pt>
                <c:pt idx="2">
                  <c:v>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04-41BB-A772-5C2C6B54CD26}"/>
            </c:ext>
          </c:extLst>
        </c:ser>
        <c:ser>
          <c:idx val="3"/>
          <c:order val="3"/>
          <c:tx>
            <c:strRef>
              <c:f>'ASSUNTOS_10+_últimos_3_meses'!$A$10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'ASSUNTOS_10+_últimos_3_meses'!$B$10:$D$10</c:f>
              <c:numCache>
                <c:formatCode>General</c:formatCode>
                <c:ptCount val="3"/>
                <c:pt idx="0">
                  <c:v>270</c:v>
                </c:pt>
                <c:pt idx="1">
                  <c:v>265</c:v>
                </c:pt>
                <c:pt idx="2">
                  <c:v>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04-41BB-A772-5C2C6B54CD26}"/>
            </c:ext>
          </c:extLst>
        </c:ser>
        <c:ser>
          <c:idx val="4"/>
          <c:order val="4"/>
          <c:tx>
            <c:strRef>
              <c:f>'ASSUNTOS_10+_últimos_3_meses'!$A$11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9933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'ASSUNTOS_10+_últimos_3_meses'!$B$11:$D$11</c:f>
              <c:numCache>
                <c:formatCode>General</c:formatCode>
                <c:ptCount val="3"/>
                <c:pt idx="0">
                  <c:v>215</c:v>
                </c:pt>
                <c:pt idx="1">
                  <c:v>193</c:v>
                </c:pt>
                <c:pt idx="2">
                  <c:v>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F04-41BB-A772-5C2C6B54CD26}"/>
            </c:ext>
          </c:extLst>
        </c:ser>
        <c:ser>
          <c:idx val="5"/>
          <c:order val="5"/>
          <c:tx>
            <c:strRef>
              <c:f>'ASSUNTOS_10+_últimos_3_meses'!$A$12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'ASSUNTOS_10+_últimos_3_meses'!$B$12:$D$12</c:f>
              <c:numCache>
                <c:formatCode>General</c:formatCode>
                <c:ptCount val="3"/>
                <c:pt idx="0">
                  <c:v>164</c:v>
                </c:pt>
                <c:pt idx="1">
                  <c:v>149</c:v>
                </c:pt>
                <c:pt idx="2">
                  <c:v>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F04-41BB-A772-5C2C6B54CD26}"/>
            </c:ext>
          </c:extLst>
        </c:ser>
        <c:ser>
          <c:idx val="6"/>
          <c:order val="6"/>
          <c:tx>
            <c:strRef>
              <c:f>'ASSUNTOS_10+_últimos_3_meses'!$A$13</c:f>
              <c:strCache>
                <c:ptCount val="1"/>
                <c:pt idx="0">
                  <c:v>Drenagem de água de chuva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'ASSUNTOS_10+_últimos_3_meses'!$B$13:$D$13</c:f>
              <c:numCache>
                <c:formatCode>General</c:formatCode>
                <c:ptCount val="3"/>
                <c:pt idx="0">
                  <c:v>176</c:v>
                </c:pt>
                <c:pt idx="1">
                  <c:v>135</c:v>
                </c:pt>
                <c:pt idx="2">
                  <c:v>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F04-41BB-A772-5C2C6B54CD26}"/>
            </c:ext>
          </c:extLst>
        </c:ser>
        <c:ser>
          <c:idx val="7"/>
          <c:order val="7"/>
          <c:tx>
            <c:strRef>
              <c:f>'ASSUNTOS_10+_últimos_3_meses'!$A$14</c:f>
              <c:strCache>
                <c:ptCount val="1"/>
                <c:pt idx="0">
                  <c:v>Multas de trânsito</c:v>
                </c:pt>
              </c:strCache>
            </c:strRef>
          </c:tx>
          <c:spPr>
            <a:solidFill>
              <a:srgbClr val="FF0000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'ASSUNTOS_10+_últimos_3_meses'!$B$14:$D$14</c:f>
              <c:numCache>
                <c:formatCode>General</c:formatCode>
                <c:ptCount val="3"/>
                <c:pt idx="0">
                  <c:v>112</c:v>
                </c:pt>
                <c:pt idx="1">
                  <c:v>144</c:v>
                </c:pt>
                <c:pt idx="2">
                  <c:v>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04-41BB-A772-5C2C6B54CD26}"/>
            </c:ext>
          </c:extLst>
        </c:ser>
        <c:ser>
          <c:idx val="8"/>
          <c:order val="8"/>
          <c:tx>
            <c:strRef>
              <c:f>'ASSUNTOS_10+_últimos_3_meses'!$A$15</c:f>
              <c:strCache>
                <c:ptCount val="1"/>
                <c:pt idx="0">
                  <c:v>Calçadas, guias e postes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'ASSUNTOS_10+_últimos_3_meses'!$B$15:$D$15</c:f>
              <c:numCache>
                <c:formatCode>General</c:formatCode>
                <c:ptCount val="3"/>
                <c:pt idx="0">
                  <c:v>157</c:v>
                </c:pt>
                <c:pt idx="1">
                  <c:v>139</c:v>
                </c:pt>
                <c:pt idx="2">
                  <c:v>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04-41BB-A772-5C2C6B54CD26}"/>
            </c:ext>
          </c:extLst>
        </c:ser>
        <c:ser>
          <c:idx val="9"/>
          <c:order val="9"/>
          <c:tx>
            <c:strRef>
              <c:f>'ASSUNTOS_10+_últimos_3_meses'!$A$16</c:f>
              <c:strCache>
                <c:ptCount val="1"/>
                <c:pt idx="0">
                  <c:v>Estabelecimentos comerciais, indústrias e serviços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cat>
            <c:numRef>
              <c:f>'ASSUNTOS_10+_últimos_3_meses'!$B$6:$D$6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'ASSUNTOS_10+_últimos_3_meses'!$B$16:$D$16</c:f>
              <c:numCache>
                <c:formatCode>General</c:formatCode>
                <c:ptCount val="3"/>
                <c:pt idx="0">
                  <c:v>164</c:v>
                </c:pt>
                <c:pt idx="1">
                  <c:v>93</c:v>
                </c:pt>
                <c:pt idx="2">
                  <c:v>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F04-41BB-A772-5C2C6B54C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42956863"/>
        <c:axId val="1"/>
      </c:barChart>
      <c:dateAx>
        <c:axId val="2042956863"/>
        <c:scaling>
          <c:orientation val="minMax"/>
        </c:scaling>
        <c:delete val="0"/>
        <c:axPos val="l"/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</c:dateAx>
      <c:valAx>
        <c:axId val="1"/>
        <c:scaling>
          <c:orientation val="minMax"/>
          <c:max val="90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6863"/>
        <c:crosses val="autoZero"/>
        <c:crossBetween val="between"/>
        <c:majorUnit val="100"/>
        <c:minorUnit val="5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845991362633451"/>
          <c:y val="0.10407513306646725"/>
          <c:w val="0.32154008637366549"/>
          <c:h val="0.8959248669335327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rotY val="19"/>
      <c:depthPercent val="100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xMode val="edge"/>
          <c:yMode val="edge"/>
          <c:x val="1.2772827918047531E-2"/>
          <c:y val="0.12575583740655172"/>
          <c:w val="0.61624317061462186"/>
          <c:h val="0.8158695731895787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'10_ASSUNTOS + demandados_MAR_23'!$B$24</c:f>
              <c:strCache>
                <c:ptCount val="1"/>
                <c:pt idx="0">
                  <c:v>Cadastro Único (CadÚnico)</c:v>
                </c:pt>
              </c:strCache>
            </c:strRef>
          </c:tx>
          <c:spPr>
            <a:solidFill>
              <a:srgbClr val="4572A7"/>
            </a:solidFill>
            <a:ln>
              <a:noFill/>
            </a:ln>
          </c:spPr>
          <c:invertIfNegative val="0"/>
          <c:val>
            <c:numRef>
              <c:f>'10_ASSUNTOS + demandados_MAR_23'!$B$26:$B$26</c:f>
              <c:numCache>
                <c:formatCode>General</c:formatCode>
                <c:ptCount val="1"/>
                <c:pt idx="0">
                  <c:v>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2F-4120-AD67-503F7911B89B}"/>
            </c:ext>
          </c:extLst>
        </c:ser>
        <c:ser>
          <c:idx val="1"/>
          <c:order val="1"/>
          <c:tx>
            <c:strRef>
              <c:f>'10_ASSUNTOS + demandados_MAR_23'!$C$24</c:f>
              <c:strCache>
                <c:ptCount val="1"/>
                <c:pt idx="0">
                  <c:v>Qualidade de atendimento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'10_ASSUNTOS + demandados_MAR_23'!$C$25:$C$26</c:f>
              <c:numCache>
                <c:formatCode>General</c:formatCode>
                <c:ptCount val="2"/>
                <c:pt idx="0">
                  <c:v>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2F-4120-AD67-503F7911B89B}"/>
            </c:ext>
          </c:extLst>
        </c:ser>
        <c:ser>
          <c:idx val="2"/>
          <c:order val="2"/>
          <c:tx>
            <c:strRef>
              <c:f>'10_ASSUNTOS + demandados_MAR_23'!$D$24</c:f>
              <c:strCache>
                <c:ptCount val="1"/>
                <c:pt idx="0">
                  <c:v>Buraco e pavimentação</c:v>
                </c:pt>
              </c:strCache>
            </c:strRef>
          </c:tx>
          <c:spPr>
            <a:solidFill>
              <a:srgbClr val="89A54E"/>
            </a:solidFill>
            <a:ln>
              <a:noFill/>
            </a:ln>
          </c:spPr>
          <c:invertIfNegative val="0"/>
          <c:val>
            <c:numRef>
              <c:f>'10_ASSUNTOS + demandados_MAR_23'!$D$25:$D$26</c:f>
              <c:numCache>
                <c:formatCode>General</c:formatCode>
                <c:ptCount val="2"/>
                <c:pt idx="0">
                  <c:v>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2F-4120-AD67-503F7911B89B}"/>
            </c:ext>
          </c:extLst>
        </c:ser>
        <c:ser>
          <c:idx val="3"/>
          <c:order val="3"/>
          <c:tx>
            <c:strRef>
              <c:f>'10_ASSUNTOS + demandados_MAR_23'!$E$24</c:f>
              <c:strCache>
                <c:ptCount val="1"/>
                <c:pt idx="0">
                  <c:v>Árvore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'10_ASSUNTOS + demandados_MAR_23'!$E$25:$E$26</c:f>
              <c:numCache>
                <c:formatCode>General</c:formatCode>
                <c:ptCount val="2"/>
                <c:pt idx="0">
                  <c:v>270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2F-4120-AD67-503F7911B89B}"/>
            </c:ext>
          </c:extLst>
        </c:ser>
        <c:ser>
          <c:idx val="4"/>
          <c:order val="4"/>
          <c:tx>
            <c:strRef>
              <c:f>'10_ASSUNTOS + demandados_MAR_23'!$F$24</c:f>
              <c:strCache>
                <c:ptCount val="1"/>
                <c:pt idx="0">
                  <c:v>Poluição sonora - PSIU</c:v>
                </c:pt>
              </c:strCache>
            </c:strRef>
          </c:tx>
          <c:spPr>
            <a:solidFill>
              <a:srgbClr val="EC04C0"/>
            </a:solidFill>
            <a:ln>
              <a:noFill/>
            </a:ln>
          </c:spPr>
          <c:invertIfNegative val="0"/>
          <c:val>
            <c:numRef>
              <c:f>'10_ASSUNTOS + demandados_MAR_23'!$F$25:$F$26</c:f>
              <c:numCache>
                <c:formatCode>General</c:formatCode>
                <c:ptCount val="2"/>
                <c:pt idx="0">
                  <c:v>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2F-4120-AD67-503F7911B89B}"/>
            </c:ext>
          </c:extLst>
        </c:ser>
        <c:ser>
          <c:idx val="5"/>
          <c:order val="5"/>
          <c:tx>
            <c:strRef>
              <c:f>'10_ASSUNTOS + demandados_MAR_23'!$G$24</c:f>
              <c:strCache>
                <c:ptCount val="1"/>
                <c:pt idx="0">
                  <c:v>Drenagem de água de chuva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'10_ASSUNTOS + demandados_MAR_23'!$G$25:$G$26</c:f>
              <c:numCache>
                <c:formatCode>General</c:formatCode>
                <c:ptCount val="2"/>
                <c:pt idx="0">
                  <c:v>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32F-4120-AD67-503F7911B89B}"/>
            </c:ext>
          </c:extLst>
        </c:ser>
        <c:ser>
          <c:idx val="6"/>
          <c:order val="6"/>
          <c:tx>
            <c:strRef>
              <c:f>'10_ASSUNTOS + demandados_MAR_23'!$H$24</c:f>
              <c:strCache>
                <c:ptCount val="1"/>
                <c:pt idx="0">
                  <c:v>Ônibus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</c:spPr>
          <c:invertIfNegative val="0"/>
          <c:val>
            <c:numRef>
              <c:f>'10_ASSUNTOS + demandados_MAR_23'!$H$25:$H$26</c:f>
              <c:numCache>
                <c:formatCode>General</c:formatCode>
                <c:ptCount val="2"/>
                <c:pt idx="0">
                  <c:v>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32F-4120-AD67-503F7911B89B}"/>
            </c:ext>
          </c:extLst>
        </c:ser>
        <c:ser>
          <c:idx val="7"/>
          <c:order val="7"/>
          <c:tx>
            <c:strRef>
              <c:f>'10_ASSUNTOS + demandados_MAR_23'!$I$24</c:f>
              <c:strCache>
                <c:ptCount val="1"/>
                <c:pt idx="0">
                  <c:v>Estabelecimentos comerciais, indústrias e serviços</c:v>
                </c:pt>
              </c:strCache>
            </c:strRef>
          </c:tx>
          <c:spPr>
            <a:solidFill>
              <a:srgbClr val="FDEADA"/>
            </a:solidFill>
            <a:ln>
              <a:noFill/>
            </a:ln>
          </c:spPr>
          <c:invertIfNegative val="0"/>
          <c:val>
            <c:numRef>
              <c:f>'10_ASSUNTOS + demandados_MAR_23'!$I$25:$I$26</c:f>
              <c:numCache>
                <c:formatCode>General</c:formatCode>
                <c:ptCount val="2"/>
                <c:pt idx="0">
                  <c:v>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2F-4120-AD67-503F7911B89B}"/>
            </c:ext>
          </c:extLst>
        </c:ser>
        <c:ser>
          <c:idx val="8"/>
          <c:order val="8"/>
          <c:tx>
            <c:strRef>
              <c:f>'10_ASSUNTOS + demandados_MAR_23'!$J$24</c:f>
              <c:strCache>
                <c:ptCount val="1"/>
                <c:pt idx="0">
                  <c:v>Sinalização e Circulação de veículos e Pedestres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</c:spPr>
          <c:invertIfNegative val="0"/>
          <c:val>
            <c:numRef>
              <c:f>'10_ASSUNTOS + demandados_MAR_23'!$J$25:$J$26</c:f>
              <c:numCache>
                <c:formatCode>General</c:formatCode>
                <c:ptCount val="2"/>
                <c:pt idx="0">
                  <c:v>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2F-4120-AD67-503F7911B89B}"/>
            </c:ext>
          </c:extLst>
        </c:ser>
        <c:ser>
          <c:idx val="9"/>
          <c:order val="9"/>
          <c:tx>
            <c:strRef>
              <c:f>'10_ASSUNTOS + demandados_MAR_23'!$K$24</c:f>
              <c:strCache>
                <c:ptCount val="1"/>
                <c:pt idx="0">
                  <c:v>Calçadas, guias e postes</c:v>
                </c:pt>
              </c:strCache>
            </c:strRef>
          </c:tx>
          <c:spPr>
            <a:solidFill>
              <a:srgbClr val="9E20EC"/>
            </a:solidFill>
            <a:ln>
              <a:noFill/>
            </a:ln>
          </c:spPr>
          <c:invertIfNegative val="0"/>
          <c:val>
            <c:numRef>
              <c:f>'10_ASSUNTOS + demandados_MAR_23'!$K$25:$K$26</c:f>
              <c:numCache>
                <c:formatCode>General</c:formatCode>
                <c:ptCount val="2"/>
                <c:pt idx="0">
                  <c:v>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32F-4120-AD67-503F7911B89B}"/>
            </c:ext>
          </c:extLst>
        </c:ser>
        <c:ser>
          <c:idx val="10"/>
          <c:order val="10"/>
          <c:tx>
            <c:strRef>
              <c:f>'10_ASSUNTOS + demandados_MAR_23'!$L$24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B32F-4120-AD67-503F7911B89B}"/>
              </c:ext>
            </c:extLst>
          </c:dPt>
          <c:dLbls>
            <c:dLbl>
              <c:idx val="1"/>
              <c:layout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pt-BR"/>
                      <a:t>5517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B32F-4120-AD67-503F7911B89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'10_ASSUNTOS + demandados_MAR_23'!$L$25:$L$26</c:f>
              <c:numCache>
                <c:formatCode>General</c:formatCode>
                <c:ptCount val="2"/>
                <c:pt idx="1">
                  <c:v>5517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32F-4120-AD67-503F7911B8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042964351"/>
        <c:axId val="1"/>
        <c:axId val="0"/>
      </c:bar3DChart>
      <c:catAx>
        <c:axId val="2042964351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56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64351"/>
        <c:crosses val="autoZero"/>
        <c:crossBetween val="between"/>
        <c:majorUnit val="2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05007328629372"/>
          <c:y val="0.12442792477027328"/>
          <c:w val="0.33925060503800664"/>
          <c:h val="0.86832624182846707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ASSUNTOS mais demandados do mês de MARÇO/23</a:t>
            </a:r>
          </a:p>
        </c:rich>
      </c:tx>
      <c:layout>
        <c:manualLayout>
          <c:xMode val="edge"/>
          <c:yMode val="edge"/>
          <c:x val="0.17346683102311891"/>
          <c:y val="3.4384620841313752E-2"/>
        </c:manualLayout>
      </c:layout>
      <c:overlay val="0"/>
    </c:title>
    <c:autoTitleDeleted val="0"/>
    <c:plotArea>
      <c:layout>
        <c:manualLayout>
          <c:xMode val="edge"/>
          <c:yMode val="edge"/>
          <c:x val="2.3901711575443962E-2"/>
          <c:y val="0.10665274170571611"/>
          <c:w val="0.9187171697237887"/>
          <c:h val="0.80398803552697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'10_ASSUNTOS + demandados_MAR_23'!$B$6</c:f>
              <c:strCache>
                <c:ptCount val="1"/>
                <c:pt idx="0">
                  <c:v>mar/23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C33C-464A-8A09-5093E8297140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33C-464A-8A09-5093E8297140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C33C-464A-8A09-5093E8297140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C33C-464A-8A09-5093E8297140}"/>
              </c:ext>
            </c:extLst>
          </c:dPt>
          <c:dPt>
            <c:idx val="4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C33C-464A-8A09-5093E8297140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C33C-464A-8A09-5093E8297140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C33C-464A-8A09-5093E8297140}"/>
              </c:ext>
            </c:extLst>
          </c:dPt>
          <c:dPt>
            <c:idx val="7"/>
            <c:invertIfNegative val="0"/>
            <c:bubble3D val="0"/>
            <c:spPr>
              <a:solidFill>
                <a:srgbClr val="F2DCDB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C33C-464A-8A09-5093E8297140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C33C-464A-8A09-5093E8297140}"/>
              </c:ext>
            </c:extLst>
          </c:dPt>
          <c:dPt>
            <c:idx val="9"/>
            <c:invertIfNegative val="0"/>
            <c:bubble3D val="0"/>
            <c:spPr>
              <a:solidFill>
                <a:srgbClr val="9E20EC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C33C-464A-8A09-5093E8297140}"/>
              </c:ext>
            </c:extLst>
          </c:dPt>
          <c:cat>
            <c:strRef>
              <c:f>'10_ASSUNTOS + demandados_MAR_23'!$A$7:$A$16</c:f>
              <c:strCache>
                <c:ptCount val="10"/>
                <c:pt idx="0">
                  <c:v>Cadastro Único (CadÚnico)</c:v>
                </c:pt>
                <c:pt idx="1">
                  <c:v>Qualidade de atendimento</c:v>
                </c:pt>
                <c:pt idx="2">
                  <c:v>Buraco e pavimentação</c:v>
                </c:pt>
                <c:pt idx="3">
                  <c:v>Árvore</c:v>
                </c:pt>
                <c:pt idx="4">
                  <c:v>Poluição sonora - PSIU</c:v>
                </c:pt>
                <c:pt idx="5">
                  <c:v>Drenagem de água de chuva</c:v>
                </c:pt>
                <c:pt idx="6">
                  <c:v>Ônibus</c:v>
                </c:pt>
                <c:pt idx="7">
                  <c:v>Estabelecimentos comerciais, indústrias e serviços</c:v>
                </c:pt>
                <c:pt idx="8">
                  <c:v>Sinalização e Circulação de veículos e Pedestres</c:v>
                </c:pt>
                <c:pt idx="9">
                  <c:v>Calçadas, guias e postes</c:v>
                </c:pt>
              </c:strCache>
            </c:strRef>
          </c:cat>
          <c:val>
            <c:numRef>
              <c:f>'10_ASSUNTOS + demandados_MAR_23'!$B$7:$B$16</c:f>
              <c:numCache>
                <c:formatCode>General</c:formatCode>
                <c:ptCount val="10"/>
                <c:pt idx="0">
                  <c:v>844</c:v>
                </c:pt>
                <c:pt idx="1">
                  <c:v>347</c:v>
                </c:pt>
                <c:pt idx="2">
                  <c:v>313</c:v>
                </c:pt>
                <c:pt idx="3">
                  <c:v>270</c:v>
                </c:pt>
                <c:pt idx="4">
                  <c:v>215</c:v>
                </c:pt>
                <c:pt idx="5">
                  <c:v>176</c:v>
                </c:pt>
                <c:pt idx="6">
                  <c:v>175</c:v>
                </c:pt>
                <c:pt idx="7">
                  <c:v>164</c:v>
                </c:pt>
                <c:pt idx="8">
                  <c:v>164</c:v>
                </c:pt>
                <c:pt idx="9">
                  <c:v>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3C-464A-8A09-5093E82971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9"/>
        <c:overlap val="-71"/>
        <c:axId val="2042965599"/>
        <c:axId val="1"/>
      </c:barChart>
      <c:catAx>
        <c:axId val="2042965599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65599"/>
        <c:crosses val="autoZero"/>
        <c:crossBetween val="between"/>
        <c:majorUnit val="100"/>
        <c:minorUnit val="5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6.71679325108516E-3"/>
          <c:y val="9.8617593615277735E-2"/>
          <c:w val="0.9317201533383207"/>
          <c:h val="0.87440291682996629"/>
        </c:manualLayout>
      </c:layout>
      <c:barChart>
        <c:barDir val="col"/>
        <c:grouping val="clustered"/>
        <c:varyColors val="0"/>
        <c:ser>
          <c:idx val="3"/>
          <c:order val="0"/>
          <c:spPr>
            <a:solidFill>
              <a:srgbClr val="6600CC"/>
            </a:solidFill>
            <a:ln>
              <a:noFill/>
            </a:ln>
          </c:spPr>
          <c:invertIfNegative val="0"/>
          <c:dPt>
            <c:idx val="1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1DC0-47E4-BEC5-C9CC68C4940E}"/>
              </c:ext>
            </c:extLst>
          </c:dPt>
          <c:dPt>
            <c:idx val="2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DC0-47E4-BEC5-C9CC68C4940E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1DC0-47E4-BEC5-C9CC68C4940E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1DC0-47E4-BEC5-C9CC68C4940E}"/>
              </c:ext>
            </c:extLst>
          </c:dPt>
          <c:dPt>
            <c:idx val="5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1DC0-47E4-BEC5-C9CC68C4940E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1DC0-47E4-BEC5-C9CC68C4940E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1DC0-47E4-BEC5-C9CC68C4940E}"/>
              </c:ext>
            </c:extLst>
          </c:dPt>
          <c:dPt>
            <c:idx val="8"/>
            <c:invertIfNegative val="0"/>
            <c:bubble3D val="0"/>
            <c:spPr>
              <a:solidFill>
                <a:srgbClr val="FBE5D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1DC0-47E4-BEC5-C9CC68C4940E}"/>
              </c:ext>
            </c:extLst>
          </c:dPt>
          <c:dPt>
            <c:idx val="9"/>
            <c:invertIfNegative val="0"/>
            <c:bubble3D val="0"/>
            <c:spPr>
              <a:solidFill>
                <a:srgbClr val="BFBFB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1DC0-47E4-BEC5-C9CC68C4940E}"/>
              </c:ext>
            </c:extLst>
          </c:dPt>
          <c:cat>
            <c:strRef>
              <c:f>'10_UNIDADES_+_demandadas_2023'!$A$7:$A$16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</c:v>
                </c:pt>
                <c:pt idx="4">
                  <c:v>Secretaria Municipal da Fazenda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Subprefeitura Lapa</c:v>
                </c:pt>
              </c:strCache>
            </c:strRef>
          </c:cat>
          <c:val>
            <c:numRef>
              <c:f>'10_UNIDADES_+_demandadas_2023'!$O$7:$O$16</c:f>
              <c:numCache>
                <c:formatCode>0</c:formatCode>
                <c:ptCount val="10"/>
                <c:pt idx="0">
                  <c:v>659</c:v>
                </c:pt>
                <c:pt idx="1">
                  <c:v>551.33333333333337</c:v>
                </c:pt>
                <c:pt idx="2">
                  <c:v>344.66666666666669</c:v>
                </c:pt>
                <c:pt idx="3">
                  <c:v>318.66666666666669</c:v>
                </c:pt>
                <c:pt idx="4">
                  <c:v>308.66666666666669</c:v>
                </c:pt>
                <c:pt idx="5">
                  <c:v>283.66666666666669</c:v>
                </c:pt>
                <c:pt idx="6">
                  <c:v>278</c:v>
                </c:pt>
                <c:pt idx="7">
                  <c:v>225.66666666666666</c:v>
                </c:pt>
                <c:pt idx="8">
                  <c:v>102.33333333333333</c:v>
                </c:pt>
                <c:pt idx="9">
                  <c:v>93.666666666666671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DC0-47E4-BEC5-C9CC68C4940E}"/>
            </c:ext>
          </c:extLst>
        </c:ser>
        <c:ser>
          <c:idx val="0"/>
          <c:order val="1"/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A-1DC0-47E4-BEC5-C9CC68C494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axId val="2042954367"/>
        <c:axId val="1"/>
      </c:barChart>
      <c:catAx>
        <c:axId val="2042954367"/>
        <c:scaling>
          <c:orientation val="minMax"/>
        </c:scaling>
        <c:delete val="0"/>
        <c:axPos val="b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mmm/yy" sourceLinked="0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700"/>
          <c:min val="0"/>
        </c:scaling>
        <c:delete val="0"/>
        <c:axPos val="l"/>
        <c:majorGridlines>
          <c:spPr>
            <a:ln w="6345" cap="flat">
              <a:solidFill>
                <a:srgbClr val="898989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6345" cap="flat">
            <a:solidFill>
              <a:srgbClr val="898989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4367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03536108619332E-4"/>
          <c:y val="1.0266651451177299E-2"/>
          <c:w val="0.62994518090301999"/>
          <c:h val="0.92648598612673427"/>
        </c:manualLayout>
      </c:layout>
      <c:ofPieChart>
        <c:ofPieType val="pie"/>
        <c:varyColors val="1"/>
        <c:ser>
          <c:idx val="14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4C7-4878-9E17-AB1B6800681A}"/>
              </c:ext>
            </c:extLst>
          </c:dPt>
          <c:dPt>
            <c:idx val="1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1-A4C7-4878-9E17-AB1B6800681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4C7-4878-9E17-AB1B6800681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4C7-4878-9E17-AB1B6800681A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4-A4C7-4878-9E17-AB1B6800681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A4C7-4878-9E17-AB1B6800681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A4C7-4878-9E17-AB1B6800681A}"/>
              </c:ext>
            </c:extLst>
          </c:dPt>
          <c:dPt>
            <c:idx val="7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7-A4C7-4878-9E17-AB1B6800681A}"/>
              </c:ext>
            </c:extLst>
          </c:dPt>
          <c:dPt>
            <c:idx val="8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8-A4C7-4878-9E17-AB1B6800681A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A4C7-4878-9E17-AB1B6800681A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A4C7-4878-9E17-AB1B6800681A}"/>
              </c:ext>
            </c:extLst>
          </c:dPt>
          <c:dPt>
            <c:idx val="11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A4C7-4878-9E17-AB1B6800681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('10_UNIDADES_+_demandadas_2023'!$A$7:$A$16,'10_UNIDADES_+_demandadas_2023'!$A$18)</c:f>
              <c:strCache>
                <c:ptCount val="11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</c:v>
                </c:pt>
                <c:pt idx="4">
                  <c:v>Secretaria Municipal da Fazenda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Subprefeitura Lapa</c:v>
                </c:pt>
                <c:pt idx="10">
                  <c:v>Outros</c:v>
                </c:pt>
              </c:strCache>
            </c:strRef>
          </c:cat>
          <c:val>
            <c:numRef>
              <c:f>('10_UNIDADES_+_demandadas_2023'!$P$7:$P$16,'10_UNIDADES_+_demandadas_2023'!$P$18)</c:f>
              <c:numCache>
                <c:formatCode>0.00</c:formatCode>
                <c:ptCount val="11"/>
                <c:pt idx="0">
                  <c:v>16.059452601051294</c:v>
                </c:pt>
                <c:pt idx="1">
                  <c:v>10.386079390973356</c:v>
                </c:pt>
                <c:pt idx="2">
                  <c:v>6.7609207902845752</c:v>
                </c:pt>
                <c:pt idx="3">
                  <c:v>5.4196121080297264</c:v>
                </c:pt>
                <c:pt idx="4">
                  <c:v>5.5464926590538335</c:v>
                </c:pt>
                <c:pt idx="5">
                  <c:v>5.7640021750951602</c:v>
                </c:pt>
                <c:pt idx="6">
                  <c:v>5.909008519122712</c:v>
                </c:pt>
                <c:pt idx="7">
                  <c:v>6.0358890701468191</c:v>
                </c:pt>
                <c:pt idx="8">
                  <c:v>2.5376110204821463</c:v>
                </c:pt>
                <c:pt idx="9">
                  <c:v>2.5376110204821463</c:v>
                </c:pt>
                <c:pt idx="10">
                  <c:v>33.043320645278229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4C7-4878-9E17-AB1B6800681A}"/>
            </c:ext>
          </c:extLst>
        </c:ser>
        <c:ser>
          <c:idx val="0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D-A4C7-4878-9E17-AB1B6800681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A4C7-4878-9E17-AB1B6800681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F-A4C7-4878-9E17-AB1B6800681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0-A4C7-4878-9E17-AB1B6800681A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1-A4C7-4878-9E17-AB1B6800681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2-A4C7-4878-9E17-AB1B6800681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3-A4C7-4878-9E17-AB1B6800681A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4-A4C7-4878-9E17-AB1B6800681A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5-A4C7-4878-9E17-AB1B6800681A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6-A4C7-4878-9E17-AB1B6800681A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7-A4C7-4878-9E17-AB1B6800681A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18-A4C7-4878-9E17-AB1B6800681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9-A4C7-4878-9E17-AB1B680068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2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04072665074176"/>
          <c:y val="7.4066466329389985E-2"/>
          <c:w val="0.32728036804388216"/>
          <c:h val="0.92593353367061004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6345" cap="flat">
      <a:solidFill>
        <a:srgbClr val="89898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  Média - Unidades 10 mais demandadas 3 últimos meses</a:t>
            </a:r>
          </a:p>
        </c:rich>
      </c:tx>
      <c:layout>
        <c:manualLayout>
          <c:xMode val="edge"/>
          <c:yMode val="edge"/>
          <c:x val="8.4455620314037208E-2"/>
          <c:y val="0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7395707160897507E-2"/>
          <c:y val="0.12030928566361637"/>
          <c:w val="0.96217931068970541"/>
          <c:h val="0.8757053116108234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'UNIDADES_-_10+_últimos_3_meses'!$F$6:$F$6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8064A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4572A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5F5C-4A4C-AB5B-234299522D8F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F5C-4A4C-AB5B-234299522D8F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5F5C-4A4C-AB5B-234299522D8F}"/>
              </c:ext>
            </c:extLst>
          </c:dPt>
          <c:dPt>
            <c:idx val="3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5F5C-4A4C-AB5B-234299522D8F}"/>
              </c:ext>
            </c:extLst>
          </c:dPt>
          <c:dPt>
            <c:idx val="4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5F5C-4A4C-AB5B-234299522D8F}"/>
              </c:ext>
            </c:extLst>
          </c:dPt>
          <c:dPt>
            <c:idx val="5"/>
            <c:invertIfNegative val="0"/>
            <c:bubble3D val="0"/>
            <c:spPr>
              <a:solidFill>
                <a:srgbClr val="DB843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5F5C-4A4C-AB5B-234299522D8F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5F5C-4A4C-AB5B-234299522D8F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5F5C-4A4C-AB5B-234299522D8F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5F5C-4A4C-AB5B-234299522D8F}"/>
              </c:ext>
            </c:extLst>
          </c:dPt>
          <c:dPt>
            <c:idx val="9"/>
            <c:invertIfNegative val="0"/>
            <c:bubble3D val="0"/>
            <c:spPr>
              <a:solidFill>
                <a:srgbClr val="A99BB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5F5C-4A4C-AB5B-234299522D8F}"/>
              </c:ext>
            </c:extLst>
          </c:dPt>
          <c:cat>
            <c:strRef>
              <c:f>'UNIDADES_-_10+_últimos_3_meses'!$A$7:$A$16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Companhia de Engenharia de Tráfego</c:v>
                </c:pt>
                <c:pt idx="4">
                  <c:v>Secretaria Municipal da Fazenda</c:v>
                </c:pt>
                <c:pt idx="5">
                  <c:v>Secretaria Executiva de Limpeza Urbana</c:v>
                </c:pt>
                <c:pt idx="6">
                  <c:v>Secretaria Municipal de Educação</c:v>
                </c:pt>
                <c:pt idx="7">
                  <c:v>São Paulo Transportes</c:v>
                </c:pt>
                <c:pt idx="8">
                  <c:v>Agência Reguladora de Serviços Públicos do Município</c:v>
                </c:pt>
                <c:pt idx="9">
                  <c:v>Subprefeitura Lapa</c:v>
                </c:pt>
              </c:strCache>
            </c:strRef>
          </c:cat>
          <c:val>
            <c:numRef>
              <c:f>'UNIDADES_-_10+_últimos_3_meses'!$F$7:$F$16</c:f>
              <c:numCache>
                <c:formatCode>0</c:formatCode>
                <c:ptCount val="10"/>
                <c:pt idx="0">
                  <c:v>659</c:v>
                </c:pt>
                <c:pt idx="1">
                  <c:v>551.33333333333337</c:v>
                </c:pt>
                <c:pt idx="2">
                  <c:v>344.66666666666669</c:v>
                </c:pt>
                <c:pt idx="3">
                  <c:v>318.66666666666669</c:v>
                </c:pt>
                <c:pt idx="4">
                  <c:v>308.66666666666669</c:v>
                </c:pt>
                <c:pt idx="5">
                  <c:v>283.66666666666669</c:v>
                </c:pt>
                <c:pt idx="6">
                  <c:v>278</c:v>
                </c:pt>
                <c:pt idx="7">
                  <c:v>225.66666666666666</c:v>
                </c:pt>
                <c:pt idx="8">
                  <c:v>102.33333333333333</c:v>
                </c:pt>
                <c:pt idx="9">
                  <c:v>93.666666666666671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F5C-4A4C-AB5B-234299522D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251887"/>
        <c:axId val="1"/>
      </c:barChart>
      <c:catAx>
        <c:axId val="1862251887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800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62251887"/>
        <c:crosses val="autoZero"/>
        <c:crossBetween val="between"/>
        <c:majorUnit val="10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unidades mais demendadas dos 3 últimos meses</a:t>
            </a:r>
          </a:p>
        </c:rich>
      </c:tx>
      <c:layout>
        <c:manualLayout>
          <c:xMode val="edge"/>
          <c:yMode val="edge"/>
          <c:x val="0.20666659113653957"/>
          <c:y val="1.0869565217391304E-2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'UNIDADES_-_10+_últimos_3_meses'!$A$7:$D$7</c:f>
              <c:strCache>
                <c:ptCount val="4"/>
                <c:pt idx="0">
                  <c:v>Secretaria Municipal de Assistência e Desenvolvimento Social</c:v>
                </c:pt>
                <c:pt idx="1">
                  <c:v>886</c:v>
                </c:pt>
                <c:pt idx="2">
                  <c:v>527</c:v>
                </c:pt>
                <c:pt idx="3">
                  <c:v>564</c:v>
                </c:pt>
              </c:strCache>
            </c:strRef>
          </c:tx>
          <c:spPr>
            <a:solidFill>
              <a:srgbClr val="4472C4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'UNIDADES_-_10+_últimos_3_meses'!$B$7:$D$7</c:f>
              <c:numCache>
                <c:formatCode>General</c:formatCode>
                <c:ptCount val="3"/>
                <c:pt idx="0">
                  <c:v>886</c:v>
                </c:pt>
                <c:pt idx="1">
                  <c:v>527</c:v>
                </c:pt>
                <c:pt idx="2">
                  <c:v>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99-4C10-B22D-0800CEFE1D6C}"/>
            </c:ext>
          </c:extLst>
        </c:ser>
        <c:ser>
          <c:idx val="1"/>
          <c:order val="1"/>
          <c:tx>
            <c:strRef>
              <c:f>'UNIDADES_-_10+_últimos_3_meses'!$A$8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rgbClr val="FF00FF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'UNIDADES_-_10+_últimos_3_meses'!$B$8:$D$8</c:f>
              <c:numCache>
                <c:formatCode>General</c:formatCode>
                <c:ptCount val="3"/>
                <c:pt idx="0">
                  <c:v>573</c:v>
                </c:pt>
                <c:pt idx="1">
                  <c:v>536</c:v>
                </c:pt>
                <c:pt idx="2">
                  <c:v>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99-4C10-B22D-0800CEFE1D6C}"/>
            </c:ext>
          </c:extLst>
        </c:ser>
        <c:ser>
          <c:idx val="2"/>
          <c:order val="2"/>
          <c:tx>
            <c:strRef>
              <c:f>'UNIDADES_-_10+_últimos_3_meses'!$A$9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'UNIDADES_-_10+_últimos_3_meses'!$B$9:$D$9</c:f>
              <c:numCache>
                <c:formatCode>General</c:formatCode>
                <c:ptCount val="3"/>
                <c:pt idx="0">
                  <c:v>373</c:v>
                </c:pt>
                <c:pt idx="1">
                  <c:v>318</c:v>
                </c:pt>
                <c:pt idx="2">
                  <c:v>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99-4C10-B22D-0800CEFE1D6C}"/>
            </c:ext>
          </c:extLst>
        </c:ser>
        <c:ser>
          <c:idx val="3"/>
          <c:order val="3"/>
          <c:tx>
            <c:strRef>
              <c:f>'UNIDADES_-_10+_últimos_3_meses'!$A$10</c:f>
              <c:strCache>
                <c:ptCount val="1"/>
                <c:pt idx="0">
                  <c:v>Companhia de Engenharia de Tráfego</c:v>
                </c:pt>
              </c:strCache>
            </c:strRef>
          </c:tx>
          <c:spPr>
            <a:solidFill>
              <a:srgbClr val="FFFF0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'UNIDADES_-_10+_últimos_3_meses'!$B$10:$D$10</c:f>
              <c:numCache>
                <c:formatCode>General</c:formatCode>
                <c:ptCount val="3"/>
                <c:pt idx="0">
                  <c:v>299</c:v>
                </c:pt>
                <c:pt idx="1">
                  <c:v>330</c:v>
                </c:pt>
                <c:pt idx="2">
                  <c:v>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199-4C10-B22D-0800CEFE1D6C}"/>
            </c:ext>
          </c:extLst>
        </c:ser>
        <c:ser>
          <c:idx val="4"/>
          <c:order val="4"/>
          <c:tx>
            <c:strRef>
              <c:f>'UNIDADES_-_10+_últimos_3_meses'!$A$11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B0F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'UNIDADES_-_10+_últimos_3_meses'!$B$11:$D$11</c:f>
              <c:numCache>
                <c:formatCode>General</c:formatCode>
                <c:ptCount val="3"/>
                <c:pt idx="0">
                  <c:v>306</c:v>
                </c:pt>
                <c:pt idx="1">
                  <c:v>292</c:v>
                </c:pt>
                <c:pt idx="2">
                  <c:v>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199-4C10-B22D-0800CEFE1D6C}"/>
            </c:ext>
          </c:extLst>
        </c:ser>
        <c:ser>
          <c:idx val="5"/>
          <c:order val="5"/>
          <c:tx>
            <c:strRef>
              <c:f>'UNIDADES_-_10+_últimos_3_meses'!$A$12</c:f>
              <c:strCache>
                <c:ptCount val="1"/>
                <c:pt idx="0">
                  <c:v>Secretaria Executiva de Limpeza Urbana</c:v>
                </c:pt>
              </c:strCache>
            </c:strRef>
          </c:tx>
          <c:spPr>
            <a:solidFill>
              <a:srgbClr val="92D05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'UNIDADES_-_10+_últimos_3_meses'!$B$12:$D$12</c:f>
              <c:numCache>
                <c:formatCode>General</c:formatCode>
                <c:ptCount val="3"/>
                <c:pt idx="0">
                  <c:v>318</c:v>
                </c:pt>
                <c:pt idx="1">
                  <c:v>286</c:v>
                </c:pt>
                <c:pt idx="2">
                  <c:v>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199-4C10-B22D-0800CEFE1D6C}"/>
            </c:ext>
          </c:extLst>
        </c:ser>
        <c:ser>
          <c:idx val="6"/>
          <c:order val="6"/>
          <c:tx>
            <c:strRef>
              <c:f>'UNIDADES_-_10+_últimos_3_meses'!$A$13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'UNIDADES_-_10+_últimos_3_meses'!$B$13:$D$13</c:f>
              <c:numCache>
                <c:formatCode>General</c:formatCode>
                <c:ptCount val="3"/>
                <c:pt idx="0">
                  <c:v>326</c:v>
                </c:pt>
                <c:pt idx="1">
                  <c:v>377</c:v>
                </c:pt>
                <c:pt idx="2">
                  <c:v>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199-4C10-B22D-0800CEFE1D6C}"/>
            </c:ext>
          </c:extLst>
        </c:ser>
        <c:ser>
          <c:idx val="7"/>
          <c:order val="7"/>
          <c:tx>
            <c:strRef>
              <c:f>'UNIDADES_-_10+_últimos_3_meses'!$A$14</c:f>
              <c:strCache>
                <c:ptCount val="1"/>
                <c:pt idx="0">
                  <c:v>São Paulo Transportes</c:v>
                </c:pt>
              </c:strCache>
            </c:strRef>
          </c:tx>
          <c:spPr>
            <a:solidFill>
              <a:srgbClr val="FF0000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'UNIDADES_-_10+_últimos_3_meses'!$B$14:$D$14</c:f>
              <c:numCache>
                <c:formatCode>General</c:formatCode>
                <c:ptCount val="3"/>
                <c:pt idx="0">
                  <c:v>333</c:v>
                </c:pt>
                <c:pt idx="1">
                  <c:v>204</c:v>
                </c:pt>
                <c:pt idx="2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199-4C10-B22D-0800CEFE1D6C}"/>
            </c:ext>
          </c:extLst>
        </c:ser>
        <c:ser>
          <c:idx val="8"/>
          <c:order val="8"/>
          <c:tx>
            <c:strRef>
              <c:f>'UNIDADES_-_10+_últimos_3_meses'!$A$15</c:f>
              <c:strCache>
                <c:ptCount val="1"/>
                <c:pt idx="0">
                  <c:v>Agência Reguladora de Serviços Públicos do Município</c:v>
                </c:pt>
              </c:strCache>
            </c:strRef>
          </c:tx>
          <c:spPr>
            <a:solidFill>
              <a:srgbClr val="00FFFF"/>
            </a:solidFill>
            <a:ln w="25400">
              <a:noFill/>
            </a:ln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'UNIDADES_-_10+_últimos_3_meses'!$B$15:$D$15</c:f>
              <c:numCache>
                <c:formatCode>General</c:formatCode>
                <c:ptCount val="3"/>
                <c:pt idx="0">
                  <c:v>140</c:v>
                </c:pt>
                <c:pt idx="1">
                  <c:v>99</c:v>
                </c:pt>
                <c:pt idx="2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199-4C10-B22D-0800CEFE1D6C}"/>
            </c:ext>
          </c:extLst>
        </c:ser>
        <c:ser>
          <c:idx val="9"/>
          <c:order val="9"/>
          <c:tx>
            <c:strRef>
              <c:f>'UNIDADES_-_10+_últimos_3_meses'!$A$16</c:f>
              <c:strCache>
                <c:ptCount val="1"/>
                <c:pt idx="0">
                  <c:v>Subprefeitura Lapa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'UNIDADES_-_10+_últimos_3_meses'!$B$6:$D$6</c:f>
              <c:numCache>
                <c:formatCode>mmm\-yy</c:formatCode>
                <c:ptCount val="3"/>
                <c:pt idx="0">
                  <c:v>44986</c:v>
                </c:pt>
                <c:pt idx="1">
                  <c:v>44958</c:v>
                </c:pt>
                <c:pt idx="2">
                  <c:v>44927</c:v>
                </c:pt>
              </c:numCache>
            </c:numRef>
          </c:cat>
          <c:val>
            <c:numRef>
              <c:f>'UNIDADES_-_10+_últimos_3_meses'!$B$16:$D$16</c:f>
              <c:numCache>
                <c:formatCode>General</c:formatCode>
                <c:ptCount val="3"/>
                <c:pt idx="0">
                  <c:v>140</c:v>
                </c:pt>
                <c:pt idx="1">
                  <c:v>71</c:v>
                </c:pt>
                <c:pt idx="2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199-4C10-B22D-0800CEFE1D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864082767"/>
        <c:axId val="1"/>
      </c:barChart>
      <c:dateAx>
        <c:axId val="1864082767"/>
        <c:scaling>
          <c:orientation val="minMax"/>
        </c:scaling>
        <c:delete val="0"/>
        <c:axPos val="l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</c:dateAx>
      <c:valAx>
        <c:axId val="1"/>
        <c:scaling>
          <c:orientation val="minMax"/>
          <c:max val="9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864082767"/>
        <c:crosses val="autoZero"/>
        <c:crossBetween val="between"/>
        <c:majorUnit val="1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39137823599392"/>
          <c:y val="0.11247831792765034"/>
          <c:w val="0.33309783039709973"/>
          <c:h val="0.8623256875499258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7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rotY val="19"/>
      <c:depthPercent val="100"/>
      <c:rAngAx val="1"/>
    </c:view3D>
    <c:floor>
      <c:thickness val="0"/>
      <c:spPr>
        <a:noFill/>
        <a:ln w="9528" cap="flat">
          <a:solidFill>
            <a:srgbClr val="868686"/>
          </a:solidFill>
          <a:prstDash val="solid"/>
          <a:round/>
        </a:ln>
      </c:spPr>
    </c:floor>
    <c:sideWall>
      <c:thickness val="0"/>
      <c:spPr>
        <a:noFill/>
        <a:ln>
          <a:noFill/>
        </a:ln>
      </c:spPr>
    </c:sideWall>
    <c:backWall>
      <c:thickness val="0"/>
      <c:spPr>
        <a:noFill/>
        <a:ln>
          <a:noFill/>
        </a:ln>
      </c:spPr>
    </c:backWall>
    <c:plotArea>
      <c:layout>
        <c:manualLayout>
          <c:xMode val="edge"/>
          <c:yMode val="edge"/>
          <c:x val="1.8483950271933551E-2"/>
          <c:y val="0.13505114781581287"/>
          <c:w val="0.61593431183484049"/>
          <c:h val="0.8253108572352265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'10_Unidades+ demandados _MAR_23'!$B$22</c:f>
              <c:strCache>
                <c:ptCount val="1"/>
                <c:pt idx="0">
                  <c:v>Secretaria Municipal de Assistência e Desenvolvimento Social</c:v>
                </c:pt>
              </c:strCache>
            </c:strRef>
          </c:tx>
          <c:spPr>
            <a:solidFill>
              <a:srgbClr val="3333FF"/>
            </a:solidFill>
            <a:ln>
              <a:noFill/>
            </a:ln>
          </c:spPr>
          <c:invertIfNegative val="0"/>
          <c:val>
            <c:numRef>
              <c:f>'10_Unidades+ demandados _MAR_23'!$B$23:$B$25</c:f>
              <c:numCache>
                <c:formatCode>General</c:formatCode>
                <c:ptCount val="3"/>
                <c:pt idx="0">
                  <c:v>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84-4711-9EFC-FE4A95194F5B}"/>
            </c:ext>
          </c:extLst>
        </c:ser>
        <c:ser>
          <c:idx val="1"/>
          <c:order val="1"/>
          <c:tx>
            <c:strRef>
              <c:f>'10_Unidades+ demandados _MAR_23'!$C$22</c:f>
              <c:strCache>
                <c:ptCount val="1"/>
                <c:pt idx="0">
                  <c:v>Secretaria Municipal das Subprefeituras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</c:spPr>
          <c:invertIfNegative val="0"/>
          <c:val>
            <c:numRef>
              <c:f>'10_Unidades+ demandados _MAR_23'!$C$23:$C$25</c:f>
              <c:numCache>
                <c:formatCode>General</c:formatCode>
                <c:ptCount val="3"/>
                <c:pt idx="0">
                  <c:v>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84-4711-9EFC-FE4A95194F5B}"/>
            </c:ext>
          </c:extLst>
        </c:ser>
        <c:ser>
          <c:idx val="2"/>
          <c:order val="2"/>
          <c:tx>
            <c:strRef>
              <c:f>'10_Unidades+ demandados _MAR_23'!$D$22</c:f>
              <c:strCache>
                <c:ptCount val="1"/>
                <c:pt idx="0">
                  <c:v>Secretaria Municipal da Saúde</c:v>
                </c:pt>
              </c:strCache>
            </c:strRef>
          </c:tx>
          <c:spPr>
            <a:solidFill>
              <a:srgbClr val="7F9A48"/>
            </a:solidFill>
            <a:ln>
              <a:noFill/>
            </a:ln>
          </c:spPr>
          <c:invertIfNegative val="0"/>
          <c:val>
            <c:numRef>
              <c:f>'10_Unidades+ demandados _MAR_23'!$D$23:$D$25</c:f>
              <c:numCache>
                <c:formatCode>General</c:formatCode>
                <c:ptCount val="3"/>
                <c:pt idx="0">
                  <c:v>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A84-4711-9EFC-FE4A95194F5B}"/>
            </c:ext>
          </c:extLst>
        </c:ser>
        <c:ser>
          <c:idx val="3"/>
          <c:order val="3"/>
          <c:tx>
            <c:strRef>
              <c:f>'10_Unidades+ demandados _MAR_23'!$E$22</c:f>
              <c:strCache>
                <c:ptCount val="1"/>
                <c:pt idx="0">
                  <c:v>São Paulo Transportes</c:v>
                </c:pt>
              </c:strCache>
            </c:strRef>
          </c:tx>
          <c:spPr>
            <a:solidFill>
              <a:srgbClr val="9933FF"/>
            </a:solidFill>
            <a:ln>
              <a:noFill/>
            </a:ln>
          </c:spPr>
          <c:invertIfNegative val="0"/>
          <c:val>
            <c:numRef>
              <c:f>'10_Unidades+ demandados _MAR_23'!$E$23:$E$25</c:f>
              <c:numCache>
                <c:formatCode>General</c:formatCode>
                <c:ptCount val="3"/>
                <c:pt idx="0">
                  <c:v>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4-4711-9EFC-FE4A95194F5B}"/>
            </c:ext>
          </c:extLst>
        </c:ser>
        <c:ser>
          <c:idx val="4"/>
          <c:order val="4"/>
          <c:tx>
            <c:strRef>
              <c:f>'10_Unidades+ demandados _MAR_23'!$F$22</c:f>
              <c:strCache>
                <c:ptCount val="1"/>
                <c:pt idx="0">
                  <c:v>Secretaria Municipal de Educação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val>
            <c:numRef>
              <c:f>'10_Unidades+ demandados _MAR_23'!$F$23:$F$25</c:f>
              <c:numCache>
                <c:formatCode>General</c:formatCode>
                <c:ptCount val="3"/>
                <c:pt idx="0">
                  <c:v>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A84-4711-9EFC-FE4A95194F5B}"/>
            </c:ext>
          </c:extLst>
        </c:ser>
        <c:ser>
          <c:idx val="5"/>
          <c:order val="5"/>
          <c:tx>
            <c:strRef>
              <c:f>'10_Unidades+ demandados _MAR_23'!$G$22</c:f>
              <c:strCache>
                <c:ptCount val="1"/>
                <c:pt idx="0">
                  <c:v>Secretaria Executiva de Limpeza Urbana</c:v>
                </c:pt>
              </c:strCache>
            </c:strRef>
          </c:tx>
          <c:spPr>
            <a:solidFill>
              <a:srgbClr val="00FFFF"/>
            </a:solidFill>
            <a:ln>
              <a:noFill/>
            </a:ln>
          </c:spPr>
          <c:invertIfNegative val="0"/>
          <c:val>
            <c:numRef>
              <c:f>'10_Unidades+ demandados _MAR_23'!$G$23:$G$25</c:f>
              <c:numCache>
                <c:formatCode>General</c:formatCode>
                <c:ptCount val="3"/>
                <c:pt idx="0">
                  <c:v>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A84-4711-9EFC-FE4A95194F5B}"/>
            </c:ext>
          </c:extLst>
        </c:ser>
        <c:ser>
          <c:idx val="6"/>
          <c:order val="6"/>
          <c:tx>
            <c:strRef>
              <c:f>'10_Unidades+ demandados _MAR_23'!$H$22</c:f>
              <c:strCache>
                <c:ptCount val="1"/>
                <c:pt idx="0">
                  <c:v>Secretaria Municipal da Fazenda</c:v>
                </c:pt>
              </c:strCache>
            </c:strRef>
          </c:tx>
          <c:spPr>
            <a:solidFill>
              <a:srgbClr val="000000"/>
            </a:solidFill>
            <a:ln>
              <a:noFill/>
            </a:ln>
          </c:spPr>
          <c:invertIfNegative val="0"/>
          <c:val>
            <c:numRef>
              <c:f>'10_Unidades+ demandados _MAR_23'!$H$23:$H$25</c:f>
              <c:numCache>
                <c:formatCode>General</c:formatCode>
                <c:ptCount val="3"/>
                <c:pt idx="0">
                  <c:v>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A84-4711-9EFC-FE4A95194F5B}"/>
            </c:ext>
          </c:extLst>
        </c:ser>
        <c:ser>
          <c:idx val="7"/>
          <c:order val="7"/>
          <c:tx>
            <c:strRef>
              <c:f>'10_Unidades+ demandados _MAR_23'!$I$22</c:f>
              <c:strCache>
                <c:ptCount val="1"/>
                <c:pt idx="0">
                  <c:v>Companhia de Engenharia de Tráfego</c:v>
                </c:pt>
              </c:strCache>
            </c:strRef>
          </c:tx>
          <c:spPr>
            <a:solidFill>
              <a:srgbClr val="FF66FF"/>
            </a:solidFill>
            <a:ln>
              <a:noFill/>
            </a:ln>
          </c:spPr>
          <c:invertIfNegative val="0"/>
          <c:val>
            <c:numRef>
              <c:f>'10_Unidades+ demandados _MAR_23'!$I$23:$I$25</c:f>
              <c:numCache>
                <c:formatCode>General</c:formatCode>
                <c:ptCount val="3"/>
                <c:pt idx="0">
                  <c:v>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A84-4711-9EFC-FE4A95194F5B}"/>
            </c:ext>
          </c:extLst>
        </c:ser>
        <c:ser>
          <c:idx val="8"/>
          <c:order val="8"/>
          <c:tx>
            <c:strRef>
              <c:f>'10_Unidades+ demandados _MAR_23'!$J$22</c:f>
              <c:strCache>
                <c:ptCount val="1"/>
                <c:pt idx="0">
                  <c:v>Agência Reguladora de Serviços Públicos do Município</c:v>
                </c:pt>
              </c:strCache>
            </c:strRef>
          </c:tx>
          <c:spPr>
            <a:solidFill>
              <a:srgbClr val="00FF00"/>
            </a:solidFill>
            <a:ln>
              <a:noFill/>
            </a:ln>
          </c:spPr>
          <c:invertIfNegative val="0"/>
          <c:val>
            <c:numRef>
              <c:f>'10_Unidades+ demandados _MAR_23'!$J$23:$J$25</c:f>
              <c:numCache>
                <c:formatCode>General</c:formatCode>
                <c:ptCount val="3"/>
                <c:pt idx="0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A84-4711-9EFC-FE4A95194F5B}"/>
            </c:ext>
          </c:extLst>
        </c:ser>
        <c:ser>
          <c:idx val="9"/>
          <c:order val="9"/>
          <c:tx>
            <c:strRef>
              <c:f>'10_Unidades+ demandados _MAR_23'!$K$22</c:f>
              <c:strCache>
                <c:ptCount val="1"/>
                <c:pt idx="0">
                  <c:v>Subprefeitura Lapa</c:v>
                </c:pt>
              </c:strCache>
            </c:strRef>
          </c:tx>
          <c:spPr>
            <a:solidFill>
              <a:srgbClr val="FCD5B5"/>
            </a:solidFill>
            <a:ln>
              <a:noFill/>
            </a:ln>
          </c:spPr>
          <c:invertIfNegative val="0"/>
          <c:val>
            <c:numRef>
              <c:f>'10_Unidades+ demandados _MAR_23'!$K$23:$K$25</c:f>
              <c:numCache>
                <c:formatCode>General</c:formatCode>
                <c:ptCount val="3"/>
                <c:pt idx="0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A84-4711-9EFC-FE4A95194F5B}"/>
            </c:ext>
          </c:extLst>
        </c:ser>
        <c:ser>
          <c:idx val="10"/>
          <c:order val="10"/>
          <c:tx>
            <c:strRef>
              <c:f>'10_Unidades+ demandados _MAR_23'!$L$22</c:f>
              <c:strCache>
                <c:ptCount val="1"/>
                <c:pt idx="0">
                  <c:v>Total</c:v>
                </c:pt>
              </c:strCache>
            </c:strRef>
          </c:tx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pt-BR"/>
                      <a:t>5517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1A84-4711-9EFC-FE4A95194F5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'10_Unidades+ demandados _MAR_23'!$L$23:$L$25</c:f>
              <c:numCache>
                <c:formatCode>#,##0</c:formatCode>
                <c:ptCount val="3"/>
                <c:pt idx="2">
                  <c:v>5517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A84-4711-9EFC-FE4A95194F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shape val="box"/>
        <c:axId val="2042965183"/>
        <c:axId val="1"/>
        <c:axId val="0"/>
      </c:bar3DChart>
      <c:catAx>
        <c:axId val="2042965183"/>
        <c:scaling>
          <c:orientation val="minMax"/>
        </c:scaling>
        <c:delete val="1"/>
        <c:axPos val="b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575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65183"/>
        <c:crosses val="autoZero"/>
        <c:crossBetween val="between"/>
        <c:majorUnit val="250"/>
        <c:minorUnit val="1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601443329638642"/>
          <c:y val="0.1196233163162297"/>
          <c:w val="0.33299150220482043"/>
          <c:h val="0.87323065386057508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UNIDADES mais demandadas do mês de MARÇO/23</a:t>
            </a:r>
          </a:p>
        </c:rich>
      </c:tx>
      <c:layout>
        <c:manualLayout>
          <c:xMode val="edge"/>
          <c:yMode val="edge"/>
          <c:x val="0.13043252297240179"/>
          <c:y val="8.36986789393708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847839965950204"/>
          <c:y val="0.13062167953643475"/>
          <c:w val="0.74513673829048876"/>
          <c:h val="0.41716962545036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'10_Unidades+ demandados _MAR_23'!$B$6</c:f>
              <c:strCache>
                <c:ptCount val="1"/>
                <c:pt idx="0">
                  <c:v>mar/23</c:v>
                </c:pt>
              </c:strCache>
            </c:strRef>
          </c:tx>
          <c:spPr>
            <a:solidFill>
              <a:srgbClr val="4F81B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33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87DD-4B5E-BAFD-6E463C90ECED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87DD-4B5E-BAFD-6E463C90ECED}"/>
              </c:ext>
            </c:extLst>
          </c:dPt>
          <c:dPt>
            <c:idx val="2"/>
            <c:invertIfNegative val="0"/>
            <c:bubble3D val="0"/>
            <c:spPr>
              <a:solidFill>
                <a:srgbClr val="89A54E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87DD-4B5E-BAFD-6E463C90ECED}"/>
              </c:ext>
            </c:extLst>
          </c:dPt>
          <c:dPt>
            <c:idx val="3"/>
            <c:invertIfNegative val="0"/>
            <c:bubble3D val="0"/>
            <c:spPr>
              <a:solidFill>
                <a:srgbClr val="9933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7DD-4B5E-BAFD-6E463C90ECED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87DD-4B5E-BAFD-6E463C90ECED}"/>
              </c:ext>
            </c:extLst>
          </c:dPt>
          <c:dPt>
            <c:idx val="5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87DD-4B5E-BAFD-6E463C90ECED}"/>
              </c:ext>
            </c:extLst>
          </c:dPt>
          <c:dPt>
            <c:idx val="6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87DD-4B5E-BAFD-6E463C90ECED}"/>
              </c:ext>
            </c:extLst>
          </c:dPt>
          <c:dPt>
            <c:idx val="7"/>
            <c:invertIfNegative val="0"/>
            <c:bubble3D val="0"/>
            <c:spPr>
              <a:solidFill>
                <a:srgbClr val="FF66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87DD-4B5E-BAFD-6E463C90ECED}"/>
              </c:ext>
            </c:extLst>
          </c:dPt>
          <c:dPt>
            <c:idx val="8"/>
            <c:invertIfNegative val="0"/>
            <c:bubble3D val="0"/>
            <c:spPr>
              <a:solidFill>
                <a:srgbClr val="00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87DD-4B5E-BAFD-6E463C90ECED}"/>
              </c:ext>
            </c:extLst>
          </c:dPt>
          <c:dPt>
            <c:idx val="9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87DD-4B5E-BAFD-6E463C90ECED}"/>
              </c:ext>
            </c:extLst>
          </c:dPt>
          <c:cat>
            <c:strRef>
              <c:f>'10_Unidades+ demandados _MAR_23'!$A$7:$A$16</c:f>
              <c:strCache>
                <c:ptCount val="10"/>
                <c:pt idx="0">
                  <c:v>Secretaria Municipal de Assistência e Desenvolvimento Social</c:v>
                </c:pt>
                <c:pt idx="1">
                  <c:v>Secretaria Municipal das Subprefeituras</c:v>
                </c:pt>
                <c:pt idx="2">
                  <c:v>Secretaria Municipal da Saúde</c:v>
                </c:pt>
                <c:pt idx="3">
                  <c:v>São Paulo Transportes</c:v>
                </c:pt>
                <c:pt idx="4">
                  <c:v>Secretaria Municipal de Educação</c:v>
                </c:pt>
                <c:pt idx="5">
                  <c:v>Secretaria Executiva de Limpeza Urbana</c:v>
                </c:pt>
                <c:pt idx="6">
                  <c:v>Secretaria Municipal da Fazenda</c:v>
                </c:pt>
                <c:pt idx="7">
                  <c:v>Companhia de Engenharia de Tráfego</c:v>
                </c:pt>
                <c:pt idx="8">
                  <c:v>Agência Reguladora de Serviços Públicos do Município</c:v>
                </c:pt>
                <c:pt idx="9">
                  <c:v>Subprefeitura Lapa</c:v>
                </c:pt>
              </c:strCache>
            </c:strRef>
          </c:cat>
          <c:val>
            <c:numRef>
              <c:f>'10_Unidades+ demandados _MAR_23'!$B$7:$B$16</c:f>
              <c:numCache>
                <c:formatCode>General</c:formatCode>
                <c:ptCount val="10"/>
                <c:pt idx="0">
                  <c:v>886</c:v>
                </c:pt>
                <c:pt idx="1">
                  <c:v>573</c:v>
                </c:pt>
                <c:pt idx="2">
                  <c:v>373</c:v>
                </c:pt>
                <c:pt idx="3">
                  <c:v>333</c:v>
                </c:pt>
                <c:pt idx="4">
                  <c:v>326</c:v>
                </c:pt>
                <c:pt idx="5">
                  <c:v>318</c:v>
                </c:pt>
                <c:pt idx="6">
                  <c:v>306</c:v>
                </c:pt>
                <c:pt idx="7">
                  <c:v>299</c:v>
                </c:pt>
                <c:pt idx="8">
                  <c:v>140</c:v>
                </c:pt>
                <c:pt idx="9">
                  <c:v>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7DD-4B5E-BAFD-6E463C90EC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2948127"/>
        <c:axId val="1"/>
      </c:barChart>
      <c:catAx>
        <c:axId val="204294812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  <c:max val="90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48127"/>
        <c:crosses val="autoZero"/>
        <c:crossBetween val="between"/>
        <c:majorUnit val="30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Média e % de protocolos/subprefeitura em 2023 </a:t>
            </a:r>
          </a:p>
        </c:rich>
      </c:tx>
      <c:layout/>
      <c:overlay val="0"/>
      <c:spPr>
        <a:noFill/>
        <a:ln>
          <a:noFill/>
        </a:ln>
      </c:spPr>
    </c:title>
    <c:autoTitleDeleted val="0"/>
    <c:plotArea>
      <c:layout>
        <c:manualLayout>
          <c:xMode val="edge"/>
          <c:yMode val="edge"/>
          <c:x val="1.8700327255726974E-2"/>
          <c:y val="0.10441106142629142"/>
          <c:w val="0.98129967274427299"/>
          <c:h val="0.80347760202199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Subprefeituras_2023!$P$4:$P$4</c:f>
              <c:strCache>
                <c:ptCount val="1"/>
                <c:pt idx="0">
                  <c:v>% Total dentre as subprefeituras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</c:spPr>
          <c:invertIfNegative val="0"/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Subprefeituras_2023!$P$5:$P$36</c:f>
              <c:numCache>
                <c:formatCode>0.0</c:formatCode>
                <c:ptCount val="32"/>
                <c:pt idx="0">
                  <c:v>2.4739949395558054</c:v>
                </c:pt>
                <c:pt idx="1">
                  <c:v>4.9198763002530228</c:v>
                </c:pt>
                <c:pt idx="2">
                  <c:v>4.1045825133539502</c:v>
                </c:pt>
                <c:pt idx="3">
                  <c:v>3.1206072533033455</c:v>
                </c:pt>
                <c:pt idx="4">
                  <c:v>3.0362665167275793</c:v>
                </c:pt>
                <c:pt idx="5">
                  <c:v>3.4017430418892323</c:v>
                </c:pt>
                <c:pt idx="6">
                  <c:v>0.53415799831318522</c:v>
                </c:pt>
                <c:pt idx="7">
                  <c:v>1.0964295754849593</c:v>
                </c:pt>
                <c:pt idx="8">
                  <c:v>1.9398369412426204</c:v>
                </c:pt>
                <c:pt idx="9">
                  <c:v>0.92774810233342708</c:v>
                </c:pt>
                <c:pt idx="10">
                  <c:v>4.188923249929716</c:v>
                </c:pt>
                <c:pt idx="11">
                  <c:v>2.5302220972729828</c:v>
                </c:pt>
                <c:pt idx="12">
                  <c:v>4.2451504076468938</c:v>
                </c:pt>
                <c:pt idx="13">
                  <c:v>1.8554962046668542</c:v>
                </c:pt>
                <c:pt idx="14">
                  <c:v>1.8273826258082653</c:v>
                </c:pt>
                <c:pt idx="15">
                  <c:v>7.8999156592634252</c:v>
                </c:pt>
                <c:pt idx="16">
                  <c:v>2.1928591509699187</c:v>
                </c:pt>
                <c:pt idx="17">
                  <c:v>5.1447849311217322</c:v>
                </c:pt>
                <c:pt idx="18">
                  <c:v>0.78718020804048361</c:v>
                </c:pt>
                <c:pt idx="19">
                  <c:v>5.4259207197076185</c:v>
                </c:pt>
                <c:pt idx="20">
                  <c:v>0.81529378689907217</c:v>
                </c:pt>
                <c:pt idx="21">
                  <c:v>3.9640146190610062</c:v>
                </c:pt>
                <c:pt idx="22">
                  <c:v>4.0483553556367724</c:v>
                </c:pt>
                <c:pt idx="23">
                  <c:v>3.7391059881922968</c:v>
                </c:pt>
                <c:pt idx="24">
                  <c:v>4.5825133539499578</c:v>
                </c:pt>
                <c:pt idx="25">
                  <c:v>2.614562833848749</c:v>
                </c:pt>
                <c:pt idx="26">
                  <c:v>1.3213382063536689</c:v>
                </c:pt>
                <c:pt idx="27">
                  <c:v>1.5743604160809672</c:v>
                </c:pt>
                <c:pt idx="28">
                  <c:v>5.5102614562833852</c:v>
                </c:pt>
                <c:pt idx="29">
                  <c:v>2.7270171492831037</c:v>
                </c:pt>
                <c:pt idx="30">
                  <c:v>4.8355355636772561</c:v>
                </c:pt>
                <c:pt idx="31">
                  <c:v>2.614562833848749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38-4DF2-9545-4A5333142C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"/>
        <c:axId val="4"/>
      </c:barChart>
      <c:lineChart>
        <c:grouping val="standard"/>
        <c:varyColors val="0"/>
        <c:ser>
          <c:idx val="1"/>
          <c:order val="1"/>
          <c:tx>
            <c:strRef>
              <c:f>Subprefeituras_2023!$O$4:$O$4</c:f>
              <c:strCache>
                <c:ptCount val="1"/>
                <c:pt idx="0">
                  <c:v>Média</c:v>
                </c:pt>
              </c:strCache>
            </c:strRef>
          </c:tx>
          <c:spPr>
            <a:ln w="28575" cap="rnd">
              <a:solidFill>
                <a:srgbClr val="FF0000"/>
              </a:solidFill>
              <a:prstDash val="solid"/>
              <a:round/>
            </a:ln>
          </c:spPr>
          <c:marker>
            <c:symbol val="none"/>
          </c:marker>
          <c:cat>
            <c:strRef>
              <c:f>Subprefeituras_2023!$A$5:$A$36</c:f>
              <c:strCache>
                <c:ptCount val="32"/>
                <c:pt idx="0">
                  <c:v>Aricanduva</c:v>
                </c:pt>
                <c:pt idx="1">
                  <c:v>Butantã</c:v>
                </c:pt>
                <c:pt idx="2">
                  <c:v>Campo Limpo</c:v>
                </c:pt>
                <c:pt idx="3">
                  <c:v>Capela do Socorro</c:v>
                </c:pt>
                <c:pt idx="4">
                  <c:v>Casa Verde</c:v>
                </c:pt>
                <c:pt idx="5">
                  <c:v>Cidade Ademar</c:v>
                </c:pt>
                <c:pt idx="6">
                  <c:v>Cidade Tiradentes</c:v>
                </c:pt>
                <c:pt idx="7">
                  <c:v>Ermelino Matarazzo</c:v>
                </c:pt>
                <c:pt idx="8">
                  <c:v>Freguesia/Brasilândia</c:v>
                </c:pt>
                <c:pt idx="9">
                  <c:v>Guaianases</c:v>
                </c:pt>
                <c:pt idx="10">
                  <c:v>Ipiranga</c:v>
                </c:pt>
                <c:pt idx="11">
                  <c:v>Itaim Paulista</c:v>
                </c:pt>
                <c:pt idx="12">
                  <c:v>Itaquera</c:v>
                </c:pt>
                <c:pt idx="13">
                  <c:v>Jabaquara</c:v>
                </c:pt>
                <c:pt idx="14">
                  <c:v>Jaçanã/Tremembé</c:v>
                </c:pt>
                <c:pt idx="15">
                  <c:v>Lapa</c:v>
                </c:pt>
                <c:pt idx="16">
                  <c:v>M'Boi Mirim</c:v>
                </c:pt>
                <c:pt idx="17">
                  <c:v>Mooca</c:v>
                </c:pt>
                <c:pt idx="18">
                  <c:v>Parelheiros</c:v>
                </c:pt>
                <c:pt idx="19">
                  <c:v>Penha</c:v>
                </c:pt>
                <c:pt idx="20">
                  <c:v>Perus</c:v>
                </c:pt>
                <c:pt idx="21">
                  <c:v>Pinheiros</c:v>
                </c:pt>
                <c:pt idx="22">
                  <c:v>Pirituba/Jaraguá</c:v>
                </c:pt>
                <c:pt idx="23">
                  <c:v>Santana/Tucuruvi</c:v>
                </c:pt>
                <c:pt idx="24">
                  <c:v>Santo Amaro</c:v>
                </c:pt>
                <c:pt idx="25">
                  <c:v>São Mateus</c:v>
                </c:pt>
                <c:pt idx="26">
                  <c:v>São Miguel Paulista</c:v>
                </c:pt>
                <c:pt idx="27">
                  <c:v>Sapopemba</c:v>
                </c:pt>
                <c:pt idx="28">
                  <c:v>Sé</c:v>
                </c:pt>
                <c:pt idx="29">
                  <c:v>Vila Maria/Vila Guilherme</c:v>
                </c:pt>
                <c:pt idx="30">
                  <c:v>Vila Mariana</c:v>
                </c:pt>
                <c:pt idx="31">
                  <c:v>Vila Prudente</c:v>
                </c:pt>
              </c:strCache>
            </c:strRef>
          </c:cat>
          <c:val>
            <c:numRef>
              <c:f>Subprefeituras_2023!$O$5:$O$36</c:f>
              <c:numCache>
                <c:formatCode>0</c:formatCode>
                <c:ptCount val="32"/>
                <c:pt idx="0">
                  <c:v>29.333333333333332</c:v>
                </c:pt>
                <c:pt idx="1">
                  <c:v>58.333333333333336</c:v>
                </c:pt>
                <c:pt idx="2">
                  <c:v>48.666666666666664</c:v>
                </c:pt>
                <c:pt idx="3">
                  <c:v>37</c:v>
                </c:pt>
                <c:pt idx="4">
                  <c:v>36</c:v>
                </c:pt>
                <c:pt idx="5">
                  <c:v>40.333333333333336</c:v>
                </c:pt>
                <c:pt idx="6">
                  <c:v>6.333333333333333</c:v>
                </c:pt>
                <c:pt idx="7">
                  <c:v>13</c:v>
                </c:pt>
                <c:pt idx="8">
                  <c:v>23</c:v>
                </c:pt>
                <c:pt idx="9">
                  <c:v>11</c:v>
                </c:pt>
                <c:pt idx="10">
                  <c:v>49.666666666666664</c:v>
                </c:pt>
                <c:pt idx="11">
                  <c:v>30</c:v>
                </c:pt>
                <c:pt idx="12">
                  <c:v>50.333333333333336</c:v>
                </c:pt>
                <c:pt idx="13">
                  <c:v>22</c:v>
                </c:pt>
                <c:pt idx="14">
                  <c:v>21.666666666666668</c:v>
                </c:pt>
                <c:pt idx="15">
                  <c:v>93.666666666666671</c:v>
                </c:pt>
                <c:pt idx="16">
                  <c:v>26</c:v>
                </c:pt>
                <c:pt idx="17">
                  <c:v>61</c:v>
                </c:pt>
                <c:pt idx="18">
                  <c:v>9.3333333333333339</c:v>
                </c:pt>
                <c:pt idx="19">
                  <c:v>64.333333333333329</c:v>
                </c:pt>
                <c:pt idx="20">
                  <c:v>9.6666666666666661</c:v>
                </c:pt>
                <c:pt idx="21">
                  <c:v>47</c:v>
                </c:pt>
                <c:pt idx="22">
                  <c:v>48</c:v>
                </c:pt>
                <c:pt idx="23">
                  <c:v>44.333333333333336</c:v>
                </c:pt>
                <c:pt idx="24">
                  <c:v>54.333333333333336</c:v>
                </c:pt>
                <c:pt idx="25">
                  <c:v>31</c:v>
                </c:pt>
                <c:pt idx="26">
                  <c:v>15.666666666666666</c:v>
                </c:pt>
                <c:pt idx="27">
                  <c:v>18.666666666666668</c:v>
                </c:pt>
                <c:pt idx="28">
                  <c:v>65.333333333333329</c:v>
                </c:pt>
                <c:pt idx="29">
                  <c:v>32.333333333333336</c:v>
                </c:pt>
                <c:pt idx="30">
                  <c:v>57.333333333333336</c:v>
                </c:pt>
                <c:pt idx="31">
                  <c:v>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38-4DF2-9545-4A5333142C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968511"/>
        <c:axId val="1"/>
      </c:lineChart>
      <c:catAx>
        <c:axId val="204296851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68511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>
          <a:noFill/>
        </a:ln>
      </c:spPr>
      <c:txPr>
        <a:bodyPr/>
        <a:lstStyle/>
        <a:p>
          <a:pPr>
            <a:defRPr sz="36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xMode val="edge"/>
          <c:yMode val="edge"/>
          <c:x val="4.7347952473682724E-2"/>
          <c:y val="0.131603875294625"/>
          <c:w val="0.92594718670918819"/>
          <c:h val="0.846258466983411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'10_SUB''s_+_demandadas_2023'!$O$6:$O$6</c:f>
              <c:strCache>
                <c:ptCount val="1"/>
                <c:pt idx="0">
                  <c:v>Média</c:v>
                </c:pt>
              </c:strCache>
            </c:strRef>
          </c:tx>
          <c:spPr>
            <a:solidFill>
              <a:srgbClr val="91C3D5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0-7FB9-49F7-A272-2C1F3A7FF1F0}"/>
              </c:ext>
            </c:extLst>
          </c:dPt>
          <c:dPt>
            <c:idx val="1"/>
            <c:invertIfNegative val="0"/>
            <c:bubble3D val="0"/>
            <c:spPr>
              <a:solidFill>
                <a:srgbClr val="AA4643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7FB9-49F7-A272-2C1F3A7FF1F0}"/>
              </c:ext>
            </c:extLst>
          </c:dPt>
          <c:dPt>
            <c:idx val="2"/>
            <c:invertIfNegative val="0"/>
            <c:bubble3D val="0"/>
            <c:spPr>
              <a:solidFill>
                <a:srgbClr val="66FF6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7FB9-49F7-A272-2C1F3A7FF1F0}"/>
              </c:ext>
            </c:extLst>
          </c:dPt>
          <c:dPt>
            <c:idx val="3"/>
            <c:invertIfNegative val="0"/>
            <c:bubble3D val="0"/>
            <c:spPr>
              <a:solidFill>
                <a:srgbClr val="00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7FB9-49F7-A272-2C1F3A7FF1F0}"/>
              </c:ext>
            </c:extLst>
          </c:dPt>
          <c:dPt>
            <c:idx val="4"/>
            <c:invertIfNegative val="0"/>
            <c:bubble3D val="0"/>
            <c:spPr>
              <a:solidFill>
                <a:srgbClr val="FCD5B5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4-7FB9-49F7-A272-2C1F3A7FF1F0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7FB9-49F7-A272-2C1F3A7FF1F0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7FB9-49F7-A272-2C1F3A7FF1F0}"/>
              </c:ext>
            </c:extLst>
          </c:dPt>
          <c:dPt>
            <c:idx val="7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7FB9-49F7-A272-2C1F3A7FF1F0}"/>
              </c:ext>
            </c:extLst>
          </c:dPt>
          <c:dPt>
            <c:idx val="8"/>
            <c:invertIfNegative val="0"/>
            <c:bubble3D val="0"/>
            <c:spPr>
              <a:solidFill>
                <a:srgbClr val="0000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8-7FB9-49F7-A272-2C1F3A7FF1F0}"/>
              </c:ext>
            </c:extLst>
          </c:dPt>
          <c:dPt>
            <c:idx val="9"/>
            <c:invertIfNegative val="0"/>
            <c:bubble3D val="0"/>
            <c:spPr>
              <a:solidFill>
                <a:srgbClr val="00FFFF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7FB9-49F7-A272-2C1F3A7FF1F0}"/>
              </c:ext>
            </c:extLst>
          </c:dPt>
          <c:cat>
            <c:strRef>
              <c:f>'10_SUB''s_+_demandadas_2023'!$A$7:$A$16</c:f>
              <c:strCache>
                <c:ptCount val="10"/>
                <c:pt idx="0">
                  <c:v>Lapa</c:v>
                </c:pt>
                <c:pt idx="1">
                  <c:v>Sé</c:v>
                </c:pt>
                <c:pt idx="2">
                  <c:v>Penha</c:v>
                </c:pt>
                <c:pt idx="3">
                  <c:v>Mooca</c:v>
                </c:pt>
                <c:pt idx="4">
                  <c:v>Butantã</c:v>
                </c:pt>
                <c:pt idx="5">
                  <c:v>Vila Mariana</c:v>
                </c:pt>
                <c:pt idx="6">
                  <c:v>Santo Amaro</c:v>
                </c:pt>
                <c:pt idx="7">
                  <c:v>Itaquera</c:v>
                </c:pt>
                <c:pt idx="8">
                  <c:v>Ipiranga</c:v>
                </c:pt>
                <c:pt idx="9">
                  <c:v>Campo Limpo</c:v>
                </c:pt>
              </c:strCache>
            </c:strRef>
          </c:cat>
          <c:val>
            <c:numRef>
              <c:f>'10_SUB''s_+_demandadas_2023'!$O$7:$O$16</c:f>
              <c:numCache>
                <c:formatCode>0</c:formatCode>
                <c:ptCount val="10"/>
                <c:pt idx="0">
                  <c:v>93.666666666666671</c:v>
                </c:pt>
                <c:pt idx="1">
                  <c:v>65.333333333333329</c:v>
                </c:pt>
                <c:pt idx="2">
                  <c:v>64.333333333333329</c:v>
                </c:pt>
                <c:pt idx="3">
                  <c:v>61</c:v>
                </c:pt>
                <c:pt idx="4">
                  <c:v>58.333333333333336</c:v>
                </c:pt>
                <c:pt idx="5">
                  <c:v>57.333333333333336</c:v>
                </c:pt>
                <c:pt idx="6">
                  <c:v>54.333333333333336</c:v>
                </c:pt>
                <c:pt idx="7">
                  <c:v>50.333333333333336</c:v>
                </c:pt>
                <c:pt idx="8">
                  <c:v>49.666666666666664</c:v>
                </c:pt>
                <c:pt idx="9">
                  <c:v>48.666666666666664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FB9-49F7-A272-2C1F3A7FF1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2946879"/>
        <c:axId val="1"/>
      </c:barChart>
      <c:catAx>
        <c:axId val="2042946879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0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4687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Subprefeituras - % em relação ao todo de MARÇO/23 (exetuando-se denúncias)</a:t>
            </a:r>
          </a:p>
        </c:rich>
      </c:tx>
      <c:layout>
        <c:manualLayout>
          <c:xMode val="edge"/>
          <c:yMode val="edge"/>
          <c:x val="9.9953501182722532E-2"/>
          <c:y val="2.7777777777777776E-2"/>
        </c:manualLayout>
      </c:layout>
      <c:overlay val="0"/>
      <c:spPr>
        <a:noFill/>
        <a:ln>
          <a:noFill/>
        </a:ln>
      </c:spPr>
    </c:title>
    <c:autoTitleDeleted val="0"/>
    <c:plotArea>
      <c:layout/>
      <c:ofPieChart>
        <c:ofPieType val="pie"/>
        <c:varyColors val="1"/>
        <c:ser>
          <c:idx val="13"/>
          <c:order val="0"/>
          <c:dPt>
            <c:idx val="0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0-5A1D-47BA-A4E1-B71AA0693DA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A1D-47BA-A4E1-B71AA0693DA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5A1D-47BA-A4E1-B71AA0693DA4}"/>
              </c:ext>
            </c:extLst>
          </c:dPt>
          <c:dPt>
            <c:idx val="3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A1D-47BA-A4E1-B71AA0693DA4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4-5A1D-47BA-A4E1-B71AA0693DA4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5A1D-47BA-A4E1-B71AA0693DA4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5A1D-47BA-A4E1-B71AA0693DA4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7-5A1D-47BA-A4E1-B71AA0693DA4}"/>
              </c:ext>
            </c:extLst>
          </c:dPt>
          <c:dPt>
            <c:idx val="8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8-5A1D-47BA-A4E1-B71AA0693DA4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5A1D-47BA-A4E1-B71AA0693DA4}"/>
              </c:ext>
            </c:extLst>
          </c:dPt>
          <c:dPt>
            <c:idx val="10"/>
            <c:bubble3D val="0"/>
            <c:spPr>
              <a:solidFill>
                <a:srgbClr val="9900CC"/>
              </a:solidFill>
            </c:spPr>
            <c:extLst>
              <c:ext xmlns:c16="http://schemas.microsoft.com/office/drawing/2014/chart" uri="{C3380CC4-5D6E-409C-BE32-E72D297353CC}">
                <c16:uniqueId val="{0000000A-5A1D-47BA-A4E1-B71AA0693DA4}"/>
              </c:ext>
            </c:extLst>
          </c:dPt>
          <c:dPt>
            <c:idx val="11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B-5A1D-47BA-A4E1-B71AA0693DA4}"/>
              </c:ext>
            </c:extLst>
          </c:dPt>
          <c:dLbls>
            <c:dLbl>
              <c:idx val="2"/>
              <c:layout>
                <c:manualLayout>
                  <c:x val="4.5677918167205844E-2"/>
                  <c:y val="-6.79605674290715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A1D-47BA-A4E1-B71AA0693DA4}"/>
                </c:ext>
              </c:extLst>
            </c:dLbl>
            <c:dLbl>
              <c:idx val="4"/>
              <c:layout>
                <c:manualLayout>
                  <c:x val="5.7901157704124191E-2"/>
                  <c:y val="1.402512185976745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A1D-47BA-A4E1-B71AA0693DA4}"/>
                </c:ext>
              </c:extLst>
            </c:dLbl>
            <c:dLbl>
              <c:idx val="5"/>
              <c:layout>
                <c:manualLayout>
                  <c:x val="4.5175283322142872E-2"/>
                  <c:y val="6.73209598800150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A1D-47BA-A4E1-B71AA0693DA4}"/>
                </c:ext>
              </c:extLst>
            </c:dLbl>
            <c:dLbl>
              <c:idx val="6"/>
              <c:layout>
                <c:manualLayout>
                  <c:x val="1.4465075586481923E-2"/>
                  <c:y val="6.73362704661917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A1D-47BA-A4E1-B71AA0693DA4}"/>
                </c:ext>
              </c:extLst>
            </c:dLbl>
            <c:dLbl>
              <c:idx val="9"/>
              <c:layout>
                <c:manualLayout>
                  <c:x val="-4.7342651935949866E-2"/>
                  <c:y val="-1.909823772028489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A1D-47BA-A4E1-B71AA0693DA4}"/>
                </c:ext>
              </c:extLst>
            </c:dLbl>
            <c:dLbl>
              <c:idx val="10"/>
              <c:layout>
                <c:manualLayout>
                  <c:x val="0.1091291379275265"/>
                  <c:y val="6.617297837770278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5A1D-47BA-A4E1-B71AA0693DA4}"/>
                </c:ext>
              </c:extLst>
            </c:dLbl>
            <c:dLbl>
              <c:idx val="11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B-5A1D-47BA-A4E1-B71AA0693DA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('10_SUB''s_+_demandadas_2023'!$A$7:$A$16,'10_SUB''s_+_demandadas_2023'!$A$18)</c:f>
              <c:strCache>
                <c:ptCount val="11"/>
                <c:pt idx="0">
                  <c:v>Lapa</c:v>
                </c:pt>
                <c:pt idx="1">
                  <c:v>Sé</c:v>
                </c:pt>
                <c:pt idx="2">
                  <c:v>Penha</c:v>
                </c:pt>
                <c:pt idx="3">
                  <c:v>Mooca</c:v>
                </c:pt>
                <c:pt idx="4">
                  <c:v>Butantã</c:v>
                </c:pt>
                <c:pt idx="5">
                  <c:v>Vila Mariana</c:v>
                </c:pt>
                <c:pt idx="6">
                  <c:v>Santo Amaro</c:v>
                </c:pt>
                <c:pt idx="7">
                  <c:v>Itaquera</c:v>
                </c:pt>
                <c:pt idx="8">
                  <c:v>Ipiranga</c:v>
                </c:pt>
                <c:pt idx="9">
                  <c:v>Campo Limpo</c:v>
                </c:pt>
                <c:pt idx="10">
                  <c:v>Outros</c:v>
                </c:pt>
              </c:strCache>
            </c:strRef>
          </c:cat>
          <c:val>
            <c:numRef>
              <c:f>('10_SUB''s_+_demandadas_2023'!$P$7:$P$16,'10_SUB''s_+_demandadas_2023'!$P$18)</c:f>
              <c:numCache>
                <c:formatCode>0.00</c:formatCode>
                <c:ptCount val="11"/>
                <c:pt idx="0">
                  <c:v>2.5376110204821463</c:v>
                </c:pt>
                <c:pt idx="1">
                  <c:v>1.4138118542686242</c:v>
                </c:pt>
                <c:pt idx="2">
                  <c:v>1.2688055102410731</c:v>
                </c:pt>
                <c:pt idx="3">
                  <c:v>1.3594344752582925</c:v>
                </c:pt>
                <c:pt idx="4">
                  <c:v>1.1963023382272975</c:v>
                </c:pt>
                <c:pt idx="5">
                  <c:v>1.1781765452238535</c:v>
                </c:pt>
                <c:pt idx="6">
                  <c:v>1.2325539242341852</c:v>
                </c:pt>
                <c:pt idx="7">
                  <c:v>0.99691861518941449</c:v>
                </c:pt>
                <c:pt idx="8">
                  <c:v>0.77940909914808776</c:v>
                </c:pt>
                <c:pt idx="9">
                  <c:v>0.65252854812398042</c:v>
                </c:pt>
                <c:pt idx="10">
                  <c:v>87.384448069603053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A1D-47BA-A4E1-B71AA0693DA4}"/>
            </c:ext>
          </c:extLst>
        </c:ser>
        <c:ser>
          <c:idx val="0"/>
          <c:order val="1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D-5A1D-47BA-A4E1-B71AA0693DA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5A1D-47BA-A4E1-B71AA0693DA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F-5A1D-47BA-A4E1-B71AA0693DA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10-5A1D-47BA-A4E1-B71AA0693DA4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11-5A1D-47BA-A4E1-B71AA0693DA4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12-5A1D-47BA-A4E1-B71AA0693DA4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13-5A1D-47BA-A4E1-B71AA0693DA4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14-5A1D-47BA-A4E1-B71AA0693DA4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15-5A1D-47BA-A4E1-B71AA0693DA4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6-5A1D-47BA-A4E1-B71AA0693DA4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17-5A1D-47BA-A4E1-B71AA0693DA4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18-5A1D-47BA-A4E1-B71AA0693DA4}"/>
              </c:ext>
            </c:extLst>
          </c:dPt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19-5A1D-47BA-A4E1-B71AA0693D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val"/>
        <c:splitPos val="17.88"/>
        <c:secondPieSize val="75"/>
        <c:serLines/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3542383590940028"/>
          <c:y val="0.12662698412698412"/>
          <c:w val="0.15217296911960076"/>
          <c:h val="0.8584520684914385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69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1.6088679615134847E-2"/>
          <c:y val="0.10013603695158062"/>
          <c:w val="0.9839106296820157"/>
          <c:h val="0.82701067122980165"/>
        </c:manualLayout>
      </c:layout>
      <c:radarChart>
        <c:radarStyle val="marker"/>
        <c:varyColors val="0"/>
        <c:ser>
          <c:idx val="0"/>
          <c:order val="0"/>
          <c:spPr>
            <a:ln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cat>
            <c:strRef>
              <c:f>Ranking_subprefeituras_MAR_23!$A$5:$A$36</c:f>
              <c:strCache>
                <c:ptCount val="32"/>
                <c:pt idx="0">
                  <c:v>Lapa</c:v>
                </c:pt>
                <c:pt idx="1">
                  <c:v>Sé</c:v>
                </c:pt>
                <c:pt idx="2">
                  <c:v>Mooca</c:v>
                </c:pt>
                <c:pt idx="3">
                  <c:v>Penha</c:v>
                </c:pt>
                <c:pt idx="4">
                  <c:v>Santo Amaro</c:v>
                </c:pt>
                <c:pt idx="5">
                  <c:v>Butantã</c:v>
                </c:pt>
                <c:pt idx="6">
                  <c:v>Vila Mariana</c:v>
                </c:pt>
                <c:pt idx="7">
                  <c:v>Santana/Tucuruvi</c:v>
                </c:pt>
                <c:pt idx="8">
                  <c:v>Itaquera</c:v>
                </c:pt>
                <c:pt idx="9">
                  <c:v>Pirituba/Jaraguá</c:v>
                </c:pt>
                <c:pt idx="10">
                  <c:v>Pinheiros</c:v>
                </c:pt>
                <c:pt idx="11">
                  <c:v>Capela do Socorro</c:v>
                </c:pt>
                <c:pt idx="12">
                  <c:v>Vila Prudente</c:v>
                </c:pt>
                <c:pt idx="13">
                  <c:v>Ipiranga</c:v>
                </c:pt>
                <c:pt idx="14">
                  <c:v>Aricanduva</c:v>
                </c:pt>
                <c:pt idx="15">
                  <c:v>Casa Verde</c:v>
                </c:pt>
                <c:pt idx="16">
                  <c:v>Cidade Ademar</c:v>
                </c:pt>
                <c:pt idx="17">
                  <c:v>Campo Limpo</c:v>
                </c:pt>
                <c:pt idx="18">
                  <c:v>M'Boi Mirim</c:v>
                </c:pt>
                <c:pt idx="19">
                  <c:v>Jabaquara</c:v>
                </c:pt>
                <c:pt idx="20">
                  <c:v>Itaim Paulista</c:v>
                </c:pt>
                <c:pt idx="21">
                  <c:v>São Mateus</c:v>
                </c:pt>
                <c:pt idx="22">
                  <c:v>Vila Maria/Vila Guilherme</c:v>
                </c:pt>
                <c:pt idx="23">
                  <c:v>Jaçanã/Tremembé</c:v>
                </c:pt>
                <c:pt idx="24">
                  <c:v>Sapopemba</c:v>
                </c:pt>
                <c:pt idx="25">
                  <c:v>Freguesia/Brasilândia</c:v>
                </c:pt>
                <c:pt idx="26">
                  <c:v>São Miguel Paulista</c:v>
                </c:pt>
                <c:pt idx="27">
                  <c:v>Perus</c:v>
                </c:pt>
                <c:pt idx="28">
                  <c:v>Ermelino Matarazzo</c:v>
                </c:pt>
                <c:pt idx="29">
                  <c:v>Guaianases</c:v>
                </c:pt>
                <c:pt idx="30">
                  <c:v>Cidade Tiradentes</c:v>
                </c:pt>
                <c:pt idx="31">
                  <c:v>Parelheiros</c:v>
                </c:pt>
              </c:strCache>
            </c:strRef>
          </c:cat>
          <c:val>
            <c:numRef>
              <c:f>Ranking_subprefeituras_MAR_23!$B$5:$B$36</c:f>
              <c:numCache>
                <c:formatCode>General</c:formatCode>
                <c:ptCount val="32"/>
                <c:pt idx="0">
                  <c:v>140</c:v>
                </c:pt>
                <c:pt idx="1">
                  <c:v>78</c:v>
                </c:pt>
                <c:pt idx="2">
                  <c:v>75</c:v>
                </c:pt>
                <c:pt idx="3">
                  <c:v>70</c:v>
                </c:pt>
                <c:pt idx="4">
                  <c:v>68</c:v>
                </c:pt>
                <c:pt idx="5">
                  <c:v>66</c:v>
                </c:pt>
                <c:pt idx="6">
                  <c:v>65</c:v>
                </c:pt>
                <c:pt idx="7">
                  <c:v>57</c:v>
                </c:pt>
                <c:pt idx="8">
                  <c:v>55</c:v>
                </c:pt>
                <c:pt idx="9">
                  <c:v>54</c:v>
                </c:pt>
                <c:pt idx="10">
                  <c:v>51</c:v>
                </c:pt>
                <c:pt idx="11">
                  <c:v>50</c:v>
                </c:pt>
                <c:pt idx="12">
                  <c:v>44</c:v>
                </c:pt>
                <c:pt idx="13">
                  <c:v>43</c:v>
                </c:pt>
                <c:pt idx="14">
                  <c:v>40</c:v>
                </c:pt>
                <c:pt idx="15">
                  <c:v>40</c:v>
                </c:pt>
                <c:pt idx="16">
                  <c:v>37</c:v>
                </c:pt>
                <c:pt idx="17">
                  <c:v>36</c:v>
                </c:pt>
                <c:pt idx="18">
                  <c:v>33</c:v>
                </c:pt>
                <c:pt idx="19">
                  <c:v>28</c:v>
                </c:pt>
                <c:pt idx="20">
                  <c:v>27</c:v>
                </c:pt>
                <c:pt idx="21">
                  <c:v>27</c:v>
                </c:pt>
                <c:pt idx="22">
                  <c:v>27</c:v>
                </c:pt>
                <c:pt idx="23">
                  <c:v>26</c:v>
                </c:pt>
                <c:pt idx="24">
                  <c:v>21</c:v>
                </c:pt>
                <c:pt idx="25">
                  <c:v>20</c:v>
                </c:pt>
                <c:pt idx="26">
                  <c:v>17</c:v>
                </c:pt>
                <c:pt idx="27">
                  <c:v>14</c:v>
                </c:pt>
                <c:pt idx="28">
                  <c:v>10</c:v>
                </c:pt>
                <c:pt idx="29">
                  <c:v>10</c:v>
                </c:pt>
                <c:pt idx="30">
                  <c:v>7</c:v>
                </c:pt>
                <c:pt idx="31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D-484A-BC0A-8441CC76FB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42970591"/>
        <c:axId val="1"/>
      </c:radarChart>
      <c:catAx>
        <c:axId val="2042970591"/>
        <c:scaling>
          <c:orientation val="minMax"/>
        </c:scaling>
        <c:delete val="0"/>
        <c:axPos val="b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  <c:max val="150"/>
          <c:min val="0"/>
        </c:scaling>
        <c:delete val="0"/>
        <c:axPos val="l"/>
        <c:majorGridlines>
          <c:spPr>
            <a:ln w="9528" cap="flat">
              <a:solidFill>
                <a:srgbClr val="868686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8" cap="flat">
            <a:solidFill>
              <a:srgbClr val="868686"/>
            </a:solidFill>
            <a:prstDash val="solid"/>
            <a:round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70591"/>
        <c:crosses val="autoZero"/>
        <c:crossBetween val="between"/>
        <c:majorUnit val="10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868686"/>
      </a:solidFill>
      <a:prstDash val="solid"/>
      <a:round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denúncias - 2023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'Denúncia Protocolos 2023'!$A$6</c:f>
              <c:strCache>
                <c:ptCount val="1"/>
                <c:pt idx="0">
                  <c:v>Deferidas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92D050"/>
              </a:solidFill>
              <a:ln w="6350">
                <a:noFill/>
              </a:ln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17C1-418A-84F5-9D0A4EE05547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17C1-418A-84F5-9D0A4EE05547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17C1-418A-84F5-9D0A4EE05547}"/>
              </c:ext>
            </c:extLst>
          </c:dPt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2023'!$B$6:$M$6</c:f>
              <c:numCache>
                <c:formatCode>General</c:formatCode>
                <c:ptCount val="12"/>
                <c:pt idx="9">
                  <c:v>71</c:v>
                </c:pt>
                <c:pt idx="10">
                  <c:v>40</c:v>
                </c:pt>
                <c:pt idx="11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7C1-418A-84F5-9D0A4EE05547}"/>
            </c:ext>
          </c:extLst>
        </c:ser>
        <c:ser>
          <c:idx val="2"/>
          <c:order val="1"/>
          <c:tx>
            <c:strRef>
              <c:f>'Denúncia Protocolos 2023'!$A$7</c:f>
              <c:strCache>
                <c:ptCount val="1"/>
                <c:pt idx="0">
                  <c:v>Indeferidas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FF0000"/>
              </a:solidFill>
              <a:ln w="6350">
                <a:noFill/>
              </a:ln>
            </c:spPr>
          </c:marker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2023'!$B$7:$M$7</c:f>
              <c:numCache>
                <c:formatCode>General</c:formatCode>
                <c:ptCount val="12"/>
                <c:pt idx="9">
                  <c:v>91</c:v>
                </c:pt>
                <c:pt idx="10">
                  <c:v>61</c:v>
                </c:pt>
                <c:pt idx="11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7C1-418A-84F5-9D0A4EE05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948959"/>
        <c:axId val="1"/>
      </c:lineChart>
      <c:dateAx>
        <c:axId val="204294895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48959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/>
        <a:lstStyle/>
        <a:p>
          <a:pPr>
            <a:defRPr sz="620" b="1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protocolos - 2023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'Denúncia Protocolos 2023'!$A$10</c:f>
              <c:strCache>
                <c:ptCount val="1"/>
                <c:pt idx="0">
                  <c:v>Total denúncias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9"/>
            <c:spPr>
              <a:solidFill>
                <a:srgbClr val="FFFF00"/>
              </a:solidFill>
              <a:ln>
                <a:noFill/>
              </a:ln>
            </c:spPr>
          </c:marker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CA4-419E-BCBC-F83E8FDD99A3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3-CCA4-419E-BCBC-F83E8FDD99A3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5-CCA4-419E-BCBC-F83E8FDD99A3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CCA4-419E-BCBC-F83E8FDD99A3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9-CCA4-419E-BCBC-F83E8FDD99A3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B-CCA4-419E-BCBC-F83E8FDD99A3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D-CCA4-419E-BCBC-F83E8FDD99A3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F-CCA4-419E-BCBC-F83E8FDD99A3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11-CCA4-419E-BCBC-F83E8FDD99A3}"/>
              </c:ext>
            </c:extLst>
          </c:dPt>
          <c:dPt>
            <c:idx val="10"/>
            <c:marker>
              <c:symbol val="circle"/>
              <c:size val="8"/>
            </c:marker>
            <c:bubble3D val="0"/>
            <c:extLst>
              <c:ext xmlns:c16="http://schemas.microsoft.com/office/drawing/2014/chart" uri="{C3380CC4-5D6E-409C-BE32-E72D297353CC}">
                <c16:uniqueId val="{00000013-CCA4-419E-BCBC-F83E8FDD99A3}"/>
              </c:ext>
            </c:extLst>
          </c:dPt>
          <c:dPt>
            <c:idx val="11"/>
            <c:marker>
              <c:symbol val="circle"/>
              <c:size val="8"/>
            </c:marker>
            <c:bubble3D val="0"/>
            <c:extLst>
              <c:ext xmlns:c16="http://schemas.microsoft.com/office/drawing/2014/chart" uri="{C3380CC4-5D6E-409C-BE32-E72D297353CC}">
                <c16:uniqueId val="{00000015-CCA4-419E-BCBC-F83E8FDD99A3}"/>
              </c:ext>
            </c:extLst>
          </c:dPt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2023'!$B$10:$M$10</c:f>
              <c:numCache>
                <c:formatCode>General</c:formatCode>
                <c:ptCount val="12"/>
                <c:pt idx="9">
                  <c:v>164</c:v>
                </c:pt>
                <c:pt idx="10">
                  <c:v>102</c:v>
                </c:pt>
                <c:pt idx="11">
                  <c:v>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CCA4-419E-BCBC-F83E8FDD99A3}"/>
            </c:ext>
          </c:extLst>
        </c:ser>
        <c:ser>
          <c:idx val="6"/>
          <c:order val="1"/>
          <c:tx>
            <c:strRef>
              <c:f>'Denúncia Protocolos 2023'!$A$13</c:f>
              <c:strCache>
                <c:ptCount val="1"/>
                <c:pt idx="0">
                  <c:v>Reclassificadas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7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numRef>
              <c:f>'Denúncia Protocolos 2023'!$B$4:$M$4</c:f>
              <c:numCache>
                <c:formatCode>mmm\-yy</c:formatCode>
                <c:ptCount val="12"/>
                <c:pt idx="0">
                  <c:v>45261</c:v>
                </c:pt>
                <c:pt idx="1">
                  <c:v>45231</c:v>
                </c:pt>
                <c:pt idx="2">
                  <c:v>45200</c:v>
                </c:pt>
                <c:pt idx="3">
                  <c:v>45170</c:v>
                </c:pt>
                <c:pt idx="4">
                  <c:v>45139</c:v>
                </c:pt>
                <c:pt idx="5">
                  <c:v>45108</c:v>
                </c:pt>
                <c:pt idx="6">
                  <c:v>45078</c:v>
                </c:pt>
                <c:pt idx="7">
                  <c:v>45047</c:v>
                </c:pt>
                <c:pt idx="8">
                  <c:v>45017</c:v>
                </c:pt>
                <c:pt idx="9">
                  <c:v>44986</c:v>
                </c:pt>
                <c:pt idx="10">
                  <c:v>44958</c:v>
                </c:pt>
                <c:pt idx="11">
                  <c:v>44927</c:v>
                </c:pt>
              </c:numCache>
            </c:numRef>
          </c:cat>
          <c:val>
            <c:numRef>
              <c:f>'Denúncia Protocolos 2023'!$B$13:$M$13</c:f>
              <c:numCache>
                <c:formatCode>General</c:formatCode>
                <c:ptCount val="12"/>
                <c:pt idx="9">
                  <c:v>149</c:v>
                </c:pt>
                <c:pt idx="10">
                  <c:v>143</c:v>
                </c:pt>
                <c:pt idx="11">
                  <c:v>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CCA4-419E-BCBC-F83E8FDD99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951039"/>
        <c:axId val="1"/>
      </c:lineChart>
      <c:dateAx>
        <c:axId val="204295103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  <c:max val="3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1039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/>
        <a:lstStyle/>
        <a:p>
          <a:pPr>
            <a:defRPr sz="620" b="1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% Status - Protocolos aceitos como denúncias 2023 </a:t>
            </a:r>
          </a:p>
        </c:rich>
      </c:tx>
      <c:layout>
        <c:manualLayout>
          <c:xMode val="edge"/>
          <c:yMode val="edge"/>
          <c:x val="0.12258805454196274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674501740694875"/>
          <c:y val="0.11623875140607423"/>
          <c:w val="0.50790812869459578"/>
          <c:h val="0.76412964004499451"/>
        </c:manualLayout>
      </c:layout>
      <c:pieChart>
        <c:varyColors val="1"/>
        <c:ser>
          <c:idx val="0"/>
          <c:order val="0"/>
          <c:tx>
            <c:strRef>
              <c:f>'Denúncia Protocolos 2023'!$N$4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rgbClr val="92D050"/>
            </a:solidFill>
          </c:spPr>
          <c:dPt>
            <c:idx val="0"/>
            <c:bubble3D val="0"/>
            <c:spPr>
              <a:solidFill>
                <a:srgbClr val="92D05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0-90AD-4802-A482-4C4CF68239AA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0AD-4802-A482-4C4CF68239AA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'Denúncia Protocolos 2023'!$A$6:$A$7</c:f>
              <c:strCache>
                <c:ptCount val="2"/>
                <c:pt idx="0">
                  <c:v>Deferidas</c:v>
                </c:pt>
                <c:pt idx="1">
                  <c:v>Indeferidas</c:v>
                </c:pt>
              </c:strCache>
            </c:strRef>
          </c:cat>
          <c:val>
            <c:numRef>
              <c:f>'Denúncia Protocolos 2023'!$N$6:$N$7</c:f>
              <c:numCache>
                <c:formatCode>General</c:formatCode>
                <c:ptCount val="2"/>
                <c:pt idx="0">
                  <c:v>149</c:v>
                </c:pt>
                <c:pt idx="1">
                  <c:v>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AD-4802-A482-4C4CF68239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8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Protocolos aceitos como denúncias 2023 - tipologia</a:t>
            </a:r>
          </a:p>
        </c:rich>
      </c:tx>
      <c:layout>
        <c:manualLayout>
          <c:xMode val="edge"/>
          <c:yMode val="edge"/>
          <c:x val="0.22355514384231384"/>
          <c:y val="2.045347135346399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20"/>
      <c:depthPercent val="100"/>
      <c:rAngAx val="0"/>
    </c:view3D>
    <c:floor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floor>
    <c:sideWall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sideWall>
    <c:backWall>
      <c:thickness val="0"/>
      <c:spPr>
        <a:noFill/>
        <a:ln>
          <a:solidFill>
            <a:schemeClr val="tx1"/>
          </a:solidFill>
        </a:ln>
        <a:effectLst/>
        <a:sp3d>
          <a:contourClr>
            <a:schemeClr val="tx1"/>
          </a:contourClr>
        </a:sp3d>
      </c:spPr>
    </c:backWall>
    <c:plotArea>
      <c:layout/>
      <c:bar3DChart>
        <c:barDir val="col"/>
        <c:grouping val="standard"/>
        <c:varyColors val="0"/>
        <c:ser>
          <c:idx val="13"/>
          <c:order val="0"/>
          <c:tx>
            <c:strRef>
              <c:f>'Denúncia Protocolos 2023'!$A$48</c:f>
              <c:strCache>
                <c:ptCount val="1"/>
                <c:pt idx="0">
                  <c:v>Total indeferidas</c:v>
                </c:pt>
              </c:strCache>
            </c:strRef>
          </c:tx>
          <c:invertIfNegative val="0"/>
          <c:cat>
            <c:strRef>
              <c:f>'Denúncia Protocolos 2023'!$B$34:$H$34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'Denúncia Protocolos 2023'!$B$48:$H$48</c:f>
              <c:numCache>
                <c:formatCode>General</c:formatCode>
                <c:ptCount val="7"/>
                <c:pt idx="0">
                  <c:v>18</c:v>
                </c:pt>
                <c:pt idx="1">
                  <c:v>5</c:v>
                </c:pt>
                <c:pt idx="2">
                  <c:v>156</c:v>
                </c:pt>
                <c:pt idx="3">
                  <c:v>15</c:v>
                </c:pt>
                <c:pt idx="4">
                  <c:v>33</c:v>
                </c:pt>
                <c:pt idx="5">
                  <c:v>25</c:v>
                </c:pt>
                <c:pt idx="6">
                  <c:v>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4C-4245-A3E2-D52C5BB05932}"/>
            </c:ext>
          </c:extLst>
        </c:ser>
        <c:ser>
          <c:idx val="28"/>
          <c:order val="1"/>
          <c:tx>
            <c:strRef>
              <c:f>'Denúncia Protocolos 2023'!$A$63</c:f>
              <c:strCache>
                <c:ptCount val="1"/>
                <c:pt idx="0">
                  <c:v>Total deferidas</c:v>
                </c:pt>
              </c:strCache>
            </c:strRef>
          </c:tx>
          <c:invertIfNegative val="0"/>
          <c:cat>
            <c:strRef>
              <c:f>'Denúncia Protocolos 2023'!$B$34:$H$34</c:f>
              <c:strCache>
                <c:ptCount val="7"/>
                <c:pt idx="0">
                  <c:v>Assédio moral</c:v>
                </c:pt>
                <c:pt idx="1">
                  <c:v>Assédio sexual</c:v>
                </c:pt>
                <c:pt idx="2">
                  <c:v>Conduta inadequada de funcionário(a) público(a)</c:v>
                </c:pt>
                <c:pt idx="3">
                  <c:v>Desvio de verbas, materiais e bens públicos</c:v>
                </c:pt>
                <c:pt idx="4">
                  <c:v>Ilegalidade na gestão pública</c:v>
                </c:pt>
                <c:pt idx="5">
                  <c:v>Irregularidade da contratação e/ou gestão de serviço público</c:v>
                </c:pt>
                <c:pt idx="6">
                  <c:v>Total Geral</c:v>
                </c:pt>
              </c:strCache>
            </c:strRef>
          </c:cat>
          <c:val>
            <c:numRef>
              <c:f>'Denúncia Protocolos 2023'!$B$63:$H$63</c:f>
              <c:numCache>
                <c:formatCode>General</c:formatCode>
                <c:ptCount val="7"/>
                <c:pt idx="0">
                  <c:v>10</c:v>
                </c:pt>
                <c:pt idx="1">
                  <c:v>11</c:v>
                </c:pt>
                <c:pt idx="2">
                  <c:v>53</c:v>
                </c:pt>
                <c:pt idx="3">
                  <c:v>6</c:v>
                </c:pt>
                <c:pt idx="4">
                  <c:v>38</c:v>
                </c:pt>
                <c:pt idx="5">
                  <c:v>31</c:v>
                </c:pt>
                <c:pt idx="6">
                  <c:v>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4C-4245-A3E2-D52C5BB05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shape val="box"/>
        <c:axId val="2042941887"/>
        <c:axId val="1"/>
        <c:axId val="2"/>
      </c:bar3DChart>
      <c:catAx>
        <c:axId val="20429418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41887"/>
        <c:crosses val="autoZero"/>
        <c:crossBetween val="between"/>
      </c:valAx>
      <c:serAx>
        <c:axId val="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tickLblSkip val="1"/>
        <c:tickMarkSkip val="2"/>
      </c:serAx>
      <c:spPr>
        <a:noFill/>
        <a:ln>
          <a:solidFill>
            <a:schemeClr val="tx1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907020058075566E-2"/>
          <c:y val="0.19476961213181682"/>
          <c:w val="0.92022843770295581"/>
          <c:h val="0.77051556658311604"/>
        </c:manualLayout>
      </c:layout>
      <c:ofPieChart>
        <c:ofPieType val="pie"/>
        <c:varyColors val="1"/>
        <c:ser>
          <c:idx val="0"/>
          <c:order val="0"/>
          <c:tx>
            <c:strRef>
              <c:f>'Denúncia Protocolos 2023'!$Q$4</c:f>
              <c:strCache>
                <c:ptCount val="1"/>
                <c:pt idx="0">
                  <c:v>% Total 2023</c:v>
                </c:pt>
              </c:strCache>
            </c:strRef>
          </c:tx>
          <c:dPt>
            <c:idx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0-A5D1-4B1F-AF4A-1E7E8D83A4F3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A5D1-4B1F-AF4A-1E7E8D83A4F3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5D1-4B1F-AF4A-1E7E8D83A4F3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5D1-4B1F-AF4A-1E7E8D83A4F3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A5D1-4B1F-AF4A-1E7E8D83A4F3}"/>
              </c:ext>
            </c:extLst>
          </c:dPt>
          <c:dLbls>
            <c:dLbl>
              <c:idx val="1"/>
              <c:layout>
                <c:manualLayout>
                  <c:x val="-4.6247899994095933E-2"/>
                  <c:y val="5.7952046534723703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5D1-4B1F-AF4A-1E7E8D83A4F3}"/>
                </c:ext>
              </c:extLst>
            </c:dLbl>
            <c:dLbl>
              <c:idx val="2"/>
              <c:layout>
                <c:manualLayout>
                  <c:x val="1.0983903085733915E-3"/>
                  <c:y val="3.8982201179836445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5D1-4B1F-AF4A-1E7E8D83A4F3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('Denúncia Protocolos 2023'!$A$6:$A$8,'Denúncia Protocolos 2023'!$A$13)</c:f>
              <c:strCache>
                <c:ptCount val="4"/>
                <c:pt idx="0">
                  <c:v>Deferidas</c:v>
                </c:pt>
                <c:pt idx="1">
                  <c:v>Indeferidas</c:v>
                </c:pt>
                <c:pt idx="2">
                  <c:v>Canceladas</c:v>
                </c:pt>
                <c:pt idx="3">
                  <c:v>Reclassificadas</c:v>
                </c:pt>
              </c:strCache>
            </c:strRef>
          </c:cat>
          <c:val>
            <c:numRef>
              <c:f>('Denúncia Protocolos 2023'!$Q$6:$Q$8,'Denúncia Protocolos 2023'!$Q$13)</c:f>
              <c:numCache>
                <c:formatCode>0.00</c:formatCode>
                <c:ptCount val="4"/>
                <c:pt idx="0">
                  <c:v>18.41779975278121</c:v>
                </c:pt>
                <c:pt idx="1">
                  <c:v>31.1495673671199</c:v>
                </c:pt>
                <c:pt idx="2">
                  <c:v>0.4944375772558714</c:v>
                </c:pt>
                <c:pt idx="3">
                  <c:v>49.938195302843013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5D1-4B1F-AF4A-1E7E8D83A4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00"/>
        <c:splitType val="percent"/>
        <c:splitPos val="40"/>
        <c:secondPieSize val="75"/>
        <c:serLines>
          <c:spPr>
            <a:ln w="9525" cap="flat" cmpd="sng" algn="ctr">
              <a:solidFill>
                <a:schemeClr val="tx1">
                  <a:lumMod val="35000"/>
                  <a:lumOff val="65000"/>
                </a:schemeClr>
              </a:solidFill>
              <a:round/>
            </a:ln>
            <a:effectLst/>
          </c:spPr>
        </c:serLines>
      </c:of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Linha do tempo - Protocolos e-SIC 2023</a:t>
            </a:r>
          </a:p>
        </c:rich>
      </c:tx>
      <c:layout>
        <c:manualLayout>
          <c:xMode val="edge"/>
          <c:yMode val="edge"/>
          <c:x val="0.15894340130560602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4367015362272821E-2"/>
          <c:y val="0.20738728575833465"/>
          <c:w val="0.58440588322686082"/>
          <c:h val="0.64342797511887462"/>
        </c:manualLayout>
      </c:layout>
      <c:lineChart>
        <c:grouping val="standard"/>
        <c:varyColors val="0"/>
        <c:ser>
          <c:idx val="0"/>
          <c:order val="0"/>
          <c:tx>
            <c:strRef>
              <c:f>'e-SIC 2023'!$B$5</c:f>
              <c:strCache>
                <c:ptCount val="1"/>
                <c:pt idx="0">
                  <c:v>Protocolos*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7"/>
            <c:spPr>
              <a:solidFill>
                <a:schemeClr val="tx1"/>
              </a:solidFill>
              <a:ln w="6350">
                <a:noFill/>
              </a:ln>
            </c:spPr>
          </c:marker>
          <c:trendline>
            <c:trendlineType val="linear"/>
            <c:dispRSqr val="0"/>
            <c:dispEq val="0"/>
          </c:trendline>
          <c:cat>
            <c:numRef>
              <c:f>'e-SIC 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 2023'!$B$6:$B$17</c:f>
              <c:numCache>
                <c:formatCode>#,##0</c:formatCode>
                <c:ptCount val="12"/>
                <c:pt idx="0">
                  <c:v>728</c:v>
                </c:pt>
                <c:pt idx="1">
                  <c:v>532</c:v>
                </c:pt>
                <c:pt idx="2">
                  <c:v>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E6-4E91-95A4-2B98DA8E09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2955199"/>
        <c:axId val="1"/>
      </c:lineChart>
      <c:lineChart>
        <c:grouping val="standard"/>
        <c:varyColors val="0"/>
        <c:ser>
          <c:idx val="1"/>
          <c:order val="1"/>
          <c:tx>
            <c:strRef>
              <c:f>'e-SIC 2023'!$C$5</c:f>
              <c:strCache>
                <c:ptCount val="1"/>
                <c:pt idx="0">
                  <c:v>Variação**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6"/>
            <c:spPr>
              <a:solidFill>
                <a:srgbClr val="FFFF00"/>
              </a:solidFill>
              <a:ln cap="rnd">
                <a:solidFill>
                  <a:srgbClr val="FFC000"/>
                </a:solidFill>
              </a:ln>
            </c:spPr>
          </c:marker>
          <c:dPt>
            <c:idx val="0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2-46E6-4E91-95A4-2B98DA8E0958}"/>
              </c:ext>
            </c:extLst>
          </c:dPt>
          <c:dPt>
            <c:idx val="1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4-46E6-4E91-95A4-2B98DA8E0958}"/>
              </c:ext>
            </c:extLst>
          </c:dPt>
          <c:dPt>
            <c:idx val="2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6-46E6-4E91-95A4-2B98DA8E0958}"/>
              </c:ext>
            </c:extLst>
          </c:dPt>
          <c:dPt>
            <c:idx val="3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8-46E6-4E91-95A4-2B98DA8E0958}"/>
              </c:ext>
            </c:extLst>
          </c:dPt>
          <c:dPt>
            <c:idx val="4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A-46E6-4E91-95A4-2B98DA8E0958}"/>
              </c:ext>
            </c:extLst>
          </c:dPt>
          <c:dPt>
            <c:idx val="5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C-46E6-4E91-95A4-2B98DA8E0958}"/>
              </c:ext>
            </c:extLst>
          </c:dPt>
          <c:dPt>
            <c:idx val="6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E-46E6-4E91-95A4-2B98DA8E0958}"/>
              </c:ext>
            </c:extLst>
          </c:dPt>
          <c:dPt>
            <c:idx val="7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0-46E6-4E91-95A4-2B98DA8E0958}"/>
              </c:ext>
            </c:extLst>
          </c:dPt>
          <c:dPt>
            <c:idx val="8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2-46E6-4E91-95A4-2B98DA8E0958}"/>
              </c:ext>
            </c:extLst>
          </c:dPt>
          <c:dPt>
            <c:idx val="9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4-46E6-4E91-95A4-2B98DA8E0958}"/>
              </c:ext>
            </c:extLst>
          </c:dPt>
          <c:dPt>
            <c:idx val="10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6-46E6-4E91-95A4-2B98DA8E0958}"/>
              </c:ext>
            </c:extLst>
          </c:dPt>
          <c:dPt>
            <c:idx val="11"/>
            <c:bubble3D val="0"/>
            <c:spPr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18-46E6-4E91-95A4-2B98DA8E0958}"/>
              </c:ext>
            </c:extLst>
          </c:dPt>
          <c:cat>
            <c:numRef>
              <c:f>'e-SIC 2023'!$A$6:$A$17</c:f>
              <c:numCache>
                <c:formatCode>mmm\-yy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'e-SIC 2023'!$C$6:$C$17</c:f>
              <c:numCache>
                <c:formatCode>0.00</c:formatCode>
                <c:ptCount val="12"/>
                <c:pt idx="0">
                  <c:v>0</c:v>
                </c:pt>
                <c:pt idx="1">
                  <c:v>-26.923076923076923</c:v>
                </c:pt>
                <c:pt idx="2">
                  <c:v>36.84210526315789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46E6-4E91-95A4-2B98DA8E09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dateAx>
        <c:axId val="20429551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mmm\-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21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Offset val="100"/>
        <c:baseTimeUnit val="months"/>
        <c:majorUnit val="1"/>
        <c:majorTimeUnit val="months"/>
      </c:date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title>
          <c:tx>
            <c:rich>
              <a:bodyPr rot="0" vert="horz"/>
              <a:lstStyle/>
              <a:p>
                <a:pPr algn="ctr"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pt-BR"/>
                  <a:t>Protocolos</a:t>
                </a:r>
              </a:p>
            </c:rich>
          </c:tx>
          <c:layout>
            <c:manualLayout>
              <c:xMode val="edge"/>
              <c:yMode val="edge"/>
              <c:x val="2.0125849653408707E-2"/>
              <c:y val="9.4117212984159718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5199"/>
        <c:crosses val="autoZero"/>
        <c:crossBetween val="between"/>
      </c:valAx>
      <c:dateAx>
        <c:axId val="3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4"/>
        <c:crosses val="autoZero"/>
        <c:auto val="1"/>
        <c:lblOffset val="100"/>
        <c:baseTimeUnit val="months"/>
      </c:dateAx>
      <c:valAx>
        <c:axId val="4"/>
        <c:scaling>
          <c:orientation val="minMax"/>
          <c:max val="100"/>
          <c:min val="-100"/>
        </c:scaling>
        <c:delete val="0"/>
        <c:axPos val="r"/>
        <c:numFmt formatCode="0.00" sourceLinked="1"/>
        <c:majorTickMark val="out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047333826861397"/>
          <c:y val="0.31430722916823894"/>
          <c:w val="0.2141420463467707"/>
          <c:h val="0.50155249763108689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2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10 órgãos + demandados - MÉDIA 2023</a:t>
            </a:r>
          </a:p>
        </c:rich>
      </c:tx>
      <c:layout>
        <c:manualLayout>
          <c:xMode val="edge"/>
          <c:yMode val="edge"/>
          <c:x val="0.16432979094396416"/>
          <c:y val="1.049868766404199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5516509736982179"/>
          <c:y val="0.14752199282176343"/>
          <c:w val="0.56175797955325513"/>
          <c:h val="0.84337418452614688"/>
        </c:manualLayout>
      </c:layout>
      <c:pieChart>
        <c:varyColors val="1"/>
        <c:ser>
          <c:idx val="11"/>
          <c:order val="0"/>
          <c:tx>
            <c:strRef>
              <c:f>'e-SIC 2023'!$P$103</c:f>
              <c:strCache>
                <c:ptCount val="1"/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D8E-492D-9509-D45BE0A220D0}"/>
              </c:ext>
            </c:extLst>
          </c:dPt>
          <c:dPt>
            <c:idx val="1"/>
            <c:bubble3D val="0"/>
            <c:spPr>
              <a:solidFill>
                <a:schemeClr val="accent6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D8E-492D-9509-D45BE0A220D0}"/>
              </c:ext>
            </c:extLst>
          </c:dPt>
          <c:dPt>
            <c:idx val="2"/>
            <c:bubble3D val="0"/>
            <c:spPr>
              <a:solidFill>
                <a:srgbClr val="00FFFF"/>
              </a:solidFill>
            </c:spPr>
            <c:extLst>
              <c:ext xmlns:c16="http://schemas.microsoft.com/office/drawing/2014/chart" uri="{C3380CC4-5D6E-409C-BE32-E72D297353CC}">
                <c16:uniqueId val="{00000002-2D8E-492D-9509-D45BE0A220D0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2D8E-492D-9509-D45BE0A220D0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4-2D8E-492D-9509-D45BE0A220D0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2D8E-492D-9509-D45BE0A220D0}"/>
              </c:ext>
            </c:extLst>
          </c:dPt>
          <c:dPt>
            <c:idx val="6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6-2D8E-492D-9509-D45BE0A220D0}"/>
              </c:ext>
            </c:extLst>
          </c:dPt>
          <c:dPt>
            <c:idx val="7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7-2D8E-492D-9509-D45BE0A220D0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2D8E-492D-9509-D45BE0A220D0}"/>
              </c:ext>
            </c:extLst>
          </c:dPt>
          <c:dPt>
            <c:idx val="9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2D8E-492D-9509-D45BE0A220D0}"/>
              </c:ext>
            </c:extLst>
          </c:dPt>
          <c:dLbls>
            <c:dLbl>
              <c:idx val="0"/>
              <c:layout>
                <c:manualLayout>
                  <c:x val="-7.3947836939963013E-2"/>
                  <c:y val="0.1288854076486512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8E-492D-9509-D45BE0A220D0}"/>
                </c:ext>
              </c:extLst>
            </c:dLbl>
            <c:dLbl>
              <c:idx val="6"/>
              <c:layout>
                <c:manualLayout>
                  <c:x val="7.9703393719141757E-2"/>
                  <c:y val="8.901013357582267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8E-492D-9509-D45BE0A220D0}"/>
                </c:ext>
              </c:extLst>
            </c:dLbl>
            <c:dLbl>
              <c:idx val="7"/>
              <c:layout>
                <c:manualLayout>
                  <c:x val="6.2057155442982126E-2"/>
                  <c:y val="0.1125999407554371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D8E-492D-9509-D45BE0A220D0}"/>
                </c:ext>
              </c:extLst>
            </c:dLbl>
            <c:dLbl>
              <c:idx val="8"/>
              <c:layout>
                <c:manualLayout>
                  <c:x val="5.8029477084595195E-2"/>
                  <c:y val="0.1153857992881779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D8E-492D-9509-D45BE0A220D0}"/>
                </c:ext>
              </c:extLst>
            </c:dLbl>
            <c:dLbl>
              <c:idx val="9"/>
              <c:layout>
                <c:manualLayout>
                  <c:x val="1.9718994915845223E-2"/>
                  <c:y val="0.1119443927776744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pt-BR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D8E-492D-9509-D45BE0A220D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pt-BR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'e-SIC 2023'!$A$104:$A$113</c:f>
              <c:strCache>
                <c:ptCount val="10"/>
                <c:pt idx="0">
                  <c:v>SMS</c:v>
                </c:pt>
                <c:pt idx="1">
                  <c:v>SME</c:v>
                </c:pt>
                <c:pt idx="2">
                  <c:v>CET</c:v>
                </c:pt>
                <c:pt idx="3">
                  <c:v>SF</c:v>
                </c:pt>
                <c:pt idx="4">
                  <c:v>SPTrans</c:v>
                </c:pt>
                <c:pt idx="5">
                  <c:v>SMSUB</c:v>
                </c:pt>
                <c:pt idx="6">
                  <c:v>SMT</c:v>
                </c:pt>
                <c:pt idx="7">
                  <c:v>SMUL</c:v>
                </c:pt>
                <c:pt idx="8">
                  <c:v>SEGES</c:v>
                </c:pt>
                <c:pt idx="9">
                  <c:v>SVMA</c:v>
                </c:pt>
              </c:strCache>
            </c:strRef>
          </c:cat>
          <c:val>
            <c:numRef>
              <c:f>'e-SIC 2023'!$N$104:$N$113</c:f>
              <c:numCache>
                <c:formatCode>General</c:formatCode>
                <c:ptCount val="10"/>
                <c:pt idx="0">
                  <c:v>308</c:v>
                </c:pt>
                <c:pt idx="1">
                  <c:v>173</c:v>
                </c:pt>
                <c:pt idx="2">
                  <c:v>153</c:v>
                </c:pt>
                <c:pt idx="3">
                  <c:v>152</c:v>
                </c:pt>
                <c:pt idx="4">
                  <c:v>138</c:v>
                </c:pt>
                <c:pt idx="5">
                  <c:v>86</c:v>
                </c:pt>
                <c:pt idx="6">
                  <c:v>59</c:v>
                </c:pt>
                <c:pt idx="7">
                  <c:v>57</c:v>
                </c:pt>
                <c:pt idx="8">
                  <c:v>52</c:v>
                </c:pt>
                <c:pt idx="9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D8E-492D-9509-D45BE0A220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FF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pt-BR"/>
              <a:t>Instância de decisões - MARÇO_23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areaChart>
        <c:grouping val="standard"/>
        <c:varyColors val="0"/>
        <c:ser>
          <c:idx val="4"/>
          <c:order val="0"/>
          <c:tx>
            <c:strRef>
              <c:f>'e-SIC 2023'!$AC$22</c:f>
              <c:strCache>
                <c:ptCount val="1"/>
                <c:pt idx="0">
                  <c:v>mar/23</c:v>
                </c:pt>
              </c:strCache>
            </c:strRef>
          </c:tx>
          <c:spPr>
            <a:ln w="25400">
              <a:noFill/>
            </a:ln>
          </c:spPr>
          <c:cat>
            <c:strRef>
              <c:f>('e-SIC 2023'!$S$27,'e-SIC 2023'!$S$33,'e-SIC 2023'!$S$39,'e-SIC 2023'!$S$42,'e-SIC 2023'!$S$47)</c:f>
              <c:strCache>
                <c:ptCount val="5"/>
                <c:pt idx="0">
                  <c:v>Total (decisões iniciais)</c:v>
                </c:pt>
                <c:pt idx="1">
                  <c:v>Total (decisões 1ª instância)</c:v>
                </c:pt>
                <c:pt idx="2">
                  <c:v>Total (decisões 2ª instância)</c:v>
                </c:pt>
                <c:pt idx="3">
                  <c:v>Recurso de Ofício (RO)</c:v>
                </c:pt>
                <c:pt idx="4">
                  <c:v>Total (decisões 3ª instância)</c:v>
                </c:pt>
              </c:strCache>
            </c:strRef>
          </c:cat>
          <c:val>
            <c:numRef>
              <c:f>('e-SIC 2023'!$AC$27,'e-SIC 2023'!$AC$33,'e-SIC 2023'!$AC$39,'e-SIC 2023'!$AC$42,'e-SIC 2023'!$AC$47)</c:f>
              <c:numCache>
                <c:formatCode>General</c:formatCode>
                <c:ptCount val="5"/>
                <c:pt idx="0">
                  <c:v>648</c:v>
                </c:pt>
                <c:pt idx="1">
                  <c:v>50</c:v>
                </c:pt>
                <c:pt idx="2">
                  <c:v>59</c:v>
                </c:pt>
                <c:pt idx="3">
                  <c:v>57</c:v>
                </c:pt>
                <c:pt idx="4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0C-4414-9766-A7FF54DD7B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42952287"/>
        <c:axId val="1"/>
      </c:areaChart>
      <c:catAx>
        <c:axId val="20429522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2042952287"/>
        <c:crosses val="autoZero"/>
        <c:crossBetween val="midCat"/>
        <c:majorUnit val="50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/>
          <a:lstStyle/>
          <a:p>
            <a:pPr rtl="0"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</c:dTable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400" b="1" i="0" baseline="0">
                <a:solidFill>
                  <a:sysClr val="windowText" lastClr="000000"/>
                </a:solidFill>
                <a:effectLst/>
              </a:rPr>
              <a:t>Serviços mais demandados de  MARÇO/23</a:t>
            </a:r>
            <a:r>
              <a:rPr lang="pt-BR" sz="1400" b="1" i="1" u="sng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pt-BR" sz="1400" b="1" i="0" baseline="0">
                <a:solidFill>
                  <a:sysClr val="windowText" lastClr="000000"/>
                </a:solidFill>
                <a:effectLst/>
              </a:rPr>
              <a:t> </a:t>
            </a:r>
            <a:endParaRPr lang="pt-BR" sz="1400">
              <a:solidFill>
                <a:sysClr val="windowText" lastClr="000000"/>
              </a:solidFill>
              <a:effectLst/>
            </a:endParaRPr>
          </a:p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sz="1400" b="1" i="0" baseline="0">
                <a:solidFill>
                  <a:sysClr val="windowText" lastClr="000000"/>
                </a:solidFill>
                <a:effectLst/>
              </a:rPr>
              <a:t>Potocolos Pandemia</a:t>
            </a:r>
            <a:endParaRPr lang="pt-BR" sz="1400">
              <a:solidFill>
                <a:sysClr val="windowText" lastClr="000000"/>
              </a:solidFill>
              <a:effectLst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0121512588704193E-2"/>
          <c:y val="0.29989089599094237"/>
          <c:w val="0.51256576261300668"/>
          <c:h val="0.61451014701593676"/>
        </c:manualLayout>
      </c:layout>
      <c:pie3DChart>
        <c:varyColors val="1"/>
        <c:ser>
          <c:idx val="0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68B-4D11-A465-50767245729E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68B-4D11-A465-50767245729E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768B-4D11-A465-50767245729E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768B-4D11-A465-50767245729E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Pandemia!$A$5:$A$8</c:f>
              <c:strCache>
                <c:ptCount val="4"/>
                <c:pt idx="0">
                  <c:v>Pandemia - COVID 19</c:v>
                </c:pt>
                <c:pt idx="1">
                  <c:v>Material e Uniforme escolar</c:v>
                </c:pt>
                <c:pt idx="2">
                  <c:v>Renda Básica Emergencial</c:v>
                </c:pt>
                <c:pt idx="3">
                  <c:v>Vacinas</c:v>
                </c:pt>
              </c:strCache>
            </c:strRef>
          </c:cat>
          <c:val>
            <c:numRef>
              <c:f>Pandemia!$C$5:$C$8</c:f>
              <c:numCache>
                <c:formatCode>General</c:formatCode>
                <c:ptCount val="4"/>
                <c:pt idx="0">
                  <c:v>0</c:v>
                </c:pt>
                <c:pt idx="1">
                  <c:v>11</c:v>
                </c:pt>
                <c:pt idx="2">
                  <c:v>0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68B-4D11-A465-5076724572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5" Type="http://schemas.openxmlformats.org/officeDocument/2006/relationships/chart" Target="../charts/chart27.xml"/><Relationship Id="rId4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16</xdr:col>
          <xdr:colOff>76200</xdr:colOff>
          <xdr:row>52</xdr:row>
          <xdr:rowOff>142875</xdr:rowOff>
        </xdr:to>
        <xdr:sp macro="" textlink="">
          <xdr:nvSpPr>
            <xdr:cNvPr id="18772993" name="Object 1" hidden="1">
              <a:extLst>
                <a:ext uri="{63B3BB69-23CF-44E3-9099-C40C66FF867C}">
                  <a14:compatExt spid="_x0000_s187729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11</xdr:row>
      <xdr:rowOff>57150</xdr:rowOff>
    </xdr:from>
    <xdr:to>
      <xdr:col>2</xdr:col>
      <xdr:colOff>371475</xdr:colOff>
      <xdr:row>33</xdr:row>
      <xdr:rowOff>114300</xdr:rowOff>
    </xdr:to>
    <xdr:graphicFrame macro="">
      <xdr:nvGraphicFramePr>
        <xdr:cNvPr id="36026832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438150</xdr:colOff>
      <xdr:row>11</xdr:row>
      <xdr:rowOff>76200</xdr:rowOff>
    </xdr:from>
    <xdr:to>
      <xdr:col>14</xdr:col>
      <xdr:colOff>9525</xdr:colOff>
      <xdr:row>33</xdr:row>
      <xdr:rowOff>152400</xdr:rowOff>
    </xdr:to>
    <xdr:graphicFrame macro="">
      <xdr:nvGraphicFramePr>
        <xdr:cNvPr id="36026833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14</xdr:col>
      <xdr:colOff>209550</xdr:colOff>
      <xdr:row>11</xdr:row>
      <xdr:rowOff>66675</xdr:rowOff>
    </xdr:from>
    <xdr:to>
      <xdr:col>21</xdr:col>
      <xdr:colOff>19050</xdr:colOff>
      <xdr:row>33</xdr:row>
      <xdr:rowOff>152400</xdr:rowOff>
    </xdr:to>
    <xdr:grpSp>
      <xdr:nvGrpSpPr>
        <xdr:cNvPr id="36026834" name="Gráfico 4"/>
        <xdr:cNvGrpSpPr>
          <a:grpSpLocks/>
        </xdr:cNvGrpSpPr>
      </xdr:nvGrpSpPr>
      <xdr:grpSpPr bwMode="auto">
        <a:xfrm>
          <a:off x="10925175" y="2695575"/>
          <a:ext cx="4838700" cy="4276725"/>
          <a:chOff x="5686421" y="2181225"/>
          <a:chExt cx="4324353" cy="3514728"/>
        </a:xfrm>
      </xdr:grpSpPr>
      <xdr:graphicFrame macro="">
        <xdr:nvGraphicFramePr>
          <xdr:cNvPr id="36026835" name="Gráfico 5"/>
          <xdr:cNvGraphicFramePr>
            <a:graphicFrameLocks/>
          </xdr:cNvGraphicFramePr>
        </xdr:nvGraphicFramePr>
        <xdr:xfrm>
          <a:off x="5686421" y="2181225"/>
          <a:ext cx="4324353" cy="35147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36026836" name="CaixaDeTexto 3"/>
          <xdr:cNvSpPr txBox="1">
            <a:spLocks noChangeArrowheads="1"/>
          </xdr:cNvSpPr>
        </xdr:nvSpPr>
        <xdr:spPr bwMode="auto">
          <a:xfrm>
            <a:off x="6989350" y="2226734"/>
            <a:ext cx="1686455" cy="2400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9" name="CaixaDeTexto 4"/>
          <xdr:cNvSpPr txBox="1"/>
        </xdr:nvSpPr>
        <xdr:spPr>
          <a:xfrm>
            <a:off x="6001384" y="2275160"/>
            <a:ext cx="3115577" cy="234837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200" b="1" i="0" u="none" strike="noStrike" kern="0" cap="none" spc="0" baseline="0">
                <a:solidFill>
                  <a:srgbClr val="000000"/>
                </a:solidFill>
                <a:uFillTx/>
                <a:latin typeface="Arial" pitchFamily="34"/>
                <a:cs typeface="Arial" pitchFamily="34"/>
              </a:rPr>
              <a:t>Canais de entrada % - MARÇO/2023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257175</xdr:colOff>
      <xdr:row>0</xdr:row>
      <xdr:rowOff>76200</xdr:rowOff>
    </xdr:from>
    <xdr:to>
      <xdr:col>18</xdr:col>
      <xdr:colOff>457200</xdr:colOff>
      <xdr:row>16</xdr:row>
      <xdr:rowOff>95250</xdr:rowOff>
    </xdr:to>
    <xdr:grpSp>
      <xdr:nvGrpSpPr>
        <xdr:cNvPr id="37109976" name="Gráfico 1"/>
        <xdr:cNvGrpSpPr>
          <a:grpSpLocks/>
        </xdr:cNvGrpSpPr>
      </xdr:nvGrpSpPr>
      <xdr:grpSpPr bwMode="auto">
        <a:xfrm>
          <a:off x="7189258" y="76200"/>
          <a:ext cx="3692525" cy="3098800"/>
          <a:chOff x="11309433" y="385851"/>
          <a:chExt cx="4954823" cy="4091355"/>
        </a:xfrm>
      </xdr:grpSpPr>
      <xdr:graphicFrame macro="">
        <xdr:nvGraphicFramePr>
          <xdr:cNvPr id="37109979" name="Gráfico 3"/>
          <xdr:cNvGraphicFramePr>
            <a:graphicFrameLocks/>
          </xdr:cNvGraphicFramePr>
        </xdr:nvGraphicFramePr>
        <xdr:xfrm>
          <a:off x="11330310" y="385851"/>
          <a:ext cx="4933946" cy="409135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19"/>
          <xdr:cNvSpPr txBox="1"/>
        </xdr:nvSpPr>
        <xdr:spPr>
          <a:xfrm>
            <a:off x="11309433" y="4049187"/>
            <a:ext cx="1318726" cy="276953"/>
          </a:xfrm>
          <a:prstGeom prst="rect">
            <a:avLst/>
          </a:prstGeom>
          <a:grp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8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*Escala Logaritimica</a:t>
            </a:r>
          </a:p>
        </xdr:txBody>
      </xdr:sp>
    </xdr:grpSp>
    <xdr:clientData/>
  </xdr:twoCellAnchor>
  <xdr:twoCellAnchor editAs="oneCell">
    <xdr:from>
      <xdr:col>19</xdr:col>
      <xdr:colOff>47625</xdr:colOff>
      <xdr:row>0</xdr:row>
      <xdr:rowOff>57150</xdr:rowOff>
    </xdr:from>
    <xdr:to>
      <xdr:col>25</xdr:col>
      <xdr:colOff>438150</xdr:colOff>
      <xdr:row>16</xdr:row>
      <xdr:rowOff>152400</xdr:rowOff>
    </xdr:to>
    <xdr:graphicFrame macro="">
      <xdr:nvGraphicFramePr>
        <xdr:cNvPr id="37109977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76200</xdr:colOff>
      <xdr:row>2</xdr:row>
      <xdr:rowOff>38100</xdr:rowOff>
    </xdr:from>
    <xdr:to>
      <xdr:col>11</xdr:col>
      <xdr:colOff>209550</xdr:colOff>
      <xdr:row>16</xdr:row>
      <xdr:rowOff>95250</xdr:rowOff>
    </xdr:to>
    <xdr:graphicFrame macro="">
      <xdr:nvGraphicFramePr>
        <xdr:cNvPr id="37109978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0.02348</cdr:x>
      <cdr:y>0.09032</cdr:y>
    </cdr:from>
    <cdr:to>
      <cdr:x>0.21135</cdr:x>
      <cdr:y>0.4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114300" y="266700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pt-BR"/>
        </a:p>
      </cdr:txBody>
    </cdr:sp>
  </cdr:relSizeAnchor>
  <cdr:relSizeAnchor xmlns:cdr="http://schemas.openxmlformats.org/drawingml/2006/chartDrawing">
    <cdr:from>
      <cdr:x>0.40437</cdr:x>
      <cdr:y>0.34516</cdr:y>
    </cdr:from>
    <cdr:to>
      <cdr:x>0.59101</cdr:x>
      <cdr:y>0.65484</cdr:y>
    </cdr:to>
    <cdr:sp macro="" textlink="">
      <cdr:nvSpPr>
        <cdr:cNvPr id="3" name="CaixaDeTexto 2"/>
        <cdr:cNvSpPr txBox="1"/>
      </cdr:nvSpPr>
      <cdr:spPr>
        <a:xfrm xmlns:a="http://schemas.openxmlformats.org/drawingml/2006/main">
          <a:off x="1976437" y="1019175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pt-BR"/>
        </a:p>
      </cdr:txBody>
    </cdr:sp>
  </cdr:relSizeAnchor>
  <cdr:relSizeAnchor xmlns:cdr="http://schemas.openxmlformats.org/drawingml/2006/chartDrawing">
    <cdr:from>
      <cdr:x>0.06458</cdr:x>
      <cdr:y>0.05806</cdr:y>
    </cdr:from>
    <cdr:to>
      <cdr:x>0.12133</cdr:x>
      <cdr:y>0.15161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14325" y="171450"/>
          <a:ext cx="276225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400" b="1"/>
            <a:t>*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19050</xdr:rowOff>
    </xdr:from>
    <xdr:to>
      <xdr:col>25</xdr:col>
      <xdr:colOff>361950</xdr:colOff>
      <xdr:row>16</xdr:row>
      <xdr:rowOff>104775</xdr:rowOff>
    </xdr:to>
    <xdr:graphicFrame macro="">
      <xdr:nvGraphicFramePr>
        <xdr:cNvPr id="30622192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</xdr:colOff>
      <xdr:row>17</xdr:row>
      <xdr:rowOff>28575</xdr:rowOff>
    </xdr:from>
    <xdr:to>
      <xdr:col>9</xdr:col>
      <xdr:colOff>28575</xdr:colOff>
      <xdr:row>24</xdr:row>
      <xdr:rowOff>152400</xdr:rowOff>
    </xdr:to>
    <xdr:graphicFrame macro="">
      <xdr:nvGraphicFramePr>
        <xdr:cNvPr id="30622193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0</xdr:row>
      <xdr:rowOff>19050</xdr:rowOff>
    </xdr:from>
    <xdr:to>
      <xdr:col>16</xdr:col>
      <xdr:colOff>600075</xdr:colOff>
      <xdr:row>16</xdr:row>
      <xdr:rowOff>133350</xdr:rowOff>
    </xdr:to>
    <xdr:graphicFrame macro="">
      <xdr:nvGraphicFramePr>
        <xdr:cNvPr id="30625264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19050</xdr:colOff>
      <xdr:row>17</xdr:row>
      <xdr:rowOff>57150</xdr:rowOff>
    </xdr:from>
    <xdr:to>
      <xdr:col>9</xdr:col>
      <xdr:colOff>295275</xdr:colOff>
      <xdr:row>35</xdr:row>
      <xdr:rowOff>38100</xdr:rowOff>
    </xdr:to>
    <xdr:graphicFrame macro="">
      <xdr:nvGraphicFramePr>
        <xdr:cNvPr id="30625265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2</xdr:row>
      <xdr:rowOff>47625</xdr:rowOff>
    </xdr:from>
    <xdr:to>
      <xdr:col>9</xdr:col>
      <xdr:colOff>1685925</xdr:colOff>
      <xdr:row>25</xdr:row>
      <xdr:rowOff>38100</xdr:rowOff>
    </xdr:to>
    <xdr:grpSp>
      <xdr:nvGrpSpPr>
        <xdr:cNvPr id="30628832" name="Gráfico 7"/>
        <xdr:cNvGrpSpPr>
          <a:grpSpLocks/>
        </xdr:cNvGrpSpPr>
      </xdr:nvGrpSpPr>
      <xdr:grpSpPr bwMode="auto">
        <a:xfrm>
          <a:off x="3686175" y="428625"/>
          <a:ext cx="5867400" cy="4600575"/>
          <a:chOff x="5457825" y="9528"/>
          <a:chExt cx="6438903" cy="4772025"/>
        </a:xfrm>
      </xdr:grpSpPr>
      <xdr:graphicFrame macro="">
        <xdr:nvGraphicFramePr>
          <xdr:cNvPr id="30628834" name="Gráfico 2"/>
          <xdr:cNvGraphicFramePr>
            <a:graphicFrameLocks/>
          </xdr:cNvGraphicFramePr>
        </xdr:nvGraphicFramePr>
        <xdr:xfrm>
          <a:off x="5457825" y="9528"/>
          <a:ext cx="6438903" cy="477202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5478731" y="39168"/>
            <a:ext cx="6365734" cy="671838"/>
          </a:xfrm>
          <a:prstGeom prst="rect">
            <a:avLst/>
          </a:prstGeom>
          <a:grpFill/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assuntos mais demandados do mês de março em</a:t>
            </a:r>
          </a:p>
          <a:p>
            <a:pPr marL="0" marR="0" lvl="0" indent="0" algn="ctr" defTabSz="914400" rtl="0" fontAlgn="auto" hangingPunct="1">
              <a:lnSpc>
                <a:spcPts val="15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MARÇO/23</a:t>
            </a:r>
          </a:p>
        </xdr:txBody>
      </xdr:sp>
    </xdr:grpSp>
    <xdr:clientData/>
  </xdr:twoCellAnchor>
  <xdr:twoCellAnchor editAs="oneCell">
    <xdr:from>
      <xdr:col>9</xdr:col>
      <xdr:colOff>1733550</xdr:colOff>
      <xdr:row>2</xdr:row>
      <xdr:rowOff>47625</xdr:rowOff>
    </xdr:from>
    <xdr:to>
      <xdr:col>17</xdr:col>
      <xdr:colOff>447675</xdr:colOff>
      <xdr:row>25</xdr:row>
      <xdr:rowOff>19050</xdr:rowOff>
    </xdr:to>
    <xdr:graphicFrame macro="">
      <xdr:nvGraphicFramePr>
        <xdr:cNvPr id="30628833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28575</xdr:rowOff>
    </xdr:from>
    <xdr:to>
      <xdr:col>26</xdr:col>
      <xdr:colOff>419100</xdr:colOff>
      <xdr:row>17</xdr:row>
      <xdr:rowOff>133350</xdr:rowOff>
    </xdr:to>
    <xdr:grpSp>
      <xdr:nvGrpSpPr>
        <xdr:cNvPr id="37119192" name="Gráfico 3"/>
        <xdr:cNvGrpSpPr>
          <a:grpSpLocks/>
        </xdr:cNvGrpSpPr>
      </xdr:nvGrpSpPr>
      <xdr:grpSpPr bwMode="auto">
        <a:xfrm>
          <a:off x="11262783" y="28575"/>
          <a:ext cx="6481234" cy="3851275"/>
          <a:chOff x="10191750" y="57150"/>
          <a:chExt cx="5867400" cy="3781428"/>
        </a:xfrm>
      </xdr:grpSpPr>
      <xdr:graphicFrame macro="">
        <xdr:nvGraphicFramePr>
          <xdr:cNvPr id="37119195" name="Gráfico 2"/>
          <xdr:cNvGraphicFramePr>
            <a:graphicFrameLocks/>
          </xdr:cNvGraphicFramePr>
        </xdr:nvGraphicFramePr>
        <xdr:xfrm>
          <a:off x="10191750" y="57150"/>
          <a:ext cx="5867400" cy="378142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5"/>
          <xdr:cNvSpPr txBox="1"/>
        </xdr:nvSpPr>
        <xdr:spPr>
          <a:xfrm>
            <a:off x="11710678" y="94683"/>
            <a:ext cx="3445796" cy="309645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órgãos mais demandados - Média/2023</a:t>
            </a:r>
          </a:p>
        </xdr:txBody>
      </xdr:sp>
    </xdr:grpSp>
    <xdr:clientData/>
  </xdr:twoCellAnchor>
  <xdr:twoCellAnchor editAs="oneCell">
    <xdr:from>
      <xdr:col>0</xdr:col>
      <xdr:colOff>323850</xdr:colOff>
      <xdr:row>17</xdr:row>
      <xdr:rowOff>142875</xdr:rowOff>
    </xdr:from>
    <xdr:to>
      <xdr:col>8</xdr:col>
      <xdr:colOff>266700</xdr:colOff>
      <xdr:row>26</xdr:row>
      <xdr:rowOff>171450</xdr:rowOff>
    </xdr:to>
    <xdr:graphicFrame macro="">
      <xdr:nvGraphicFramePr>
        <xdr:cNvPr id="37119193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352425</xdr:colOff>
      <xdr:row>17</xdr:row>
      <xdr:rowOff>114300</xdr:rowOff>
    </xdr:from>
    <xdr:ext cx="5504071" cy="381000"/>
    <xdr:sp macro="" textlink="">
      <xdr:nvSpPr>
        <xdr:cNvPr id="3" name="CaixaDeTexto 2"/>
        <xdr:cNvSpPr txBox="1"/>
      </xdr:nvSpPr>
      <xdr:spPr>
        <a:xfrm>
          <a:off x="352425" y="3790950"/>
          <a:ext cx="5504071" cy="381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1" i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UNIDADES - % em relação ao todo de MAR/23 (exetuando-se denúncias)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pt-BR" sz="1400">
            <a:effectLst/>
          </a:endParaRPr>
        </a:p>
        <a:p>
          <a:endParaRPr lang="pt-BR" sz="1100"/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361950</xdr:colOff>
      <xdr:row>0</xdr:row>
      <xdr:rowOff>19050</xdr:rowOff>
    </xdr:from>
    <xdr:to>
      <xdr:col>17</xdr:col>
      <xdr:colOff>942975</xdr:colOff>
      <xdr:row>16</xdr:row>
      <xdr:rowOff>76200</xdr:rowOff>
    </xdr:to>
    <xdr:graphicFrame macro="">
      <xdr:nvGraphicFramePr>
        <xdr:cNvPr id="30634480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17</xdr:row>
      <xdr:rowOff>57150</xdr:rowOff>
    </xdr:from>
    <xdr:to>
      <xdr:col>7</xdr:col>
      <xdr:colOff>323850</xdr:colOff>
      <xdr:row>25</xdr:row>
      <xdr:rowOff>28575</xdr:rowOff>
    </xdr:to>
    <xdr:graphicFrame macro="">
      <xdr:nvGraphicFramePr>
        <xdr:cNvPr id="30634481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2</xdr:row>
      <xdr:rowOff>19050</xdr:rowOff>
    </xdr:from>
    <xdr:to>
      <xdr:col>10</xdr:col>
      <xdr:colOff>485775</xdr:colOff>
      <xdr:row>20</xdr:row>
      <xdr:rowOff>152400</xdr:rowOff>
    </xdr:to>
    <xdr:grpSp>
      <xdr:nvGrpSpPr>
        <xdr:cNvPr id="30638048" name="Gráfico 3"/>
        <xdr:cNvGrpSpPr>
          <a:grpSpLocks/>
        </xdr:cNvGrpSpPr>
      </xdr:nvGrpSpPr>
      <xdr:grpSpPr bwMode="auto">
        <a:xfrm>
          <a:off x="4543425" y="400050"/>
          <a:ext cx="5210175" cy="3505200"/>
          <a:chOff x="4544246" y="436302"/>
          <a:chExt cx="5772967" cy="4857479"/>
        </a:xfrm>
      </xdr:grpSpPr>
      <xdr:graphicFrame macro="">
        <xdr:nvGraphicFramePr>
          <xdr:cNvPr id="30638050" name="Gráfico 2"/>
          <xdr:cNvGraphicFramePr>
            <a:graphicFrameLocks/>
          </xdr:cNvGraphicFramePr>
        </xdr:nvGraphicFramePr>
        <xdr:xfrm>
          <a:off x="4554592" y="493181"/>
          <a:ext cx="5762621" cy="480060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4544246" y="436302"/>
            <a:ext cx="5308597" cy="659984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10 unidades mais demandados do mês de março em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  comparação com o total de entrada do mês MARÇO/23</a:t>
            </a:r>
            <a:endParaRPr lang="pt-BR" sz="14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ts val="12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11</xdr:col>
      <xdr:colOff>190500</xdr:colOff>
      <xdr:row>2</xdr:row>
      <xdr:rowOff>76200</xdr:rowOff>
    </xdr:from>
    <xdr:to>
      <xdr:col>19</xdr:col>
      <xdr:colOff>104775</xdr:colOff>
      <xdr:row>20</xdr:row>
      <xdr:rowOff>142875</xdr:rowOff>
    </xdr:to>
    <xdr:graphicFrame macro="">
      <xdr:nvGraphicFramePr>
        <xdr:cNvPr id="30638049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76200</xdr:colOff>
      <xdr:row>0</xdr:row>
      <xdr:rowOff>0</xdr:rowOff>
    </xdr:from>
    <xdr:to>
      <xdr:col>27</xdr:col>
      <xdr:colOff>161925</xdr:colOff>
      <xdr:row>19</xdr:row>
      <xdr:rowOff>28575</xdr:rowOff>
    </xdr:to>
    <xdr:grpSp>
      <xdr:nvGrpSpPr>
        <xdr:cNvPr id="37125336" name="Gráfico 7"/>
        <xdr:cNvGrpSpPr>
          <a:grpSpLocks/>
        </xdr:cNvGrpSpPr>
      </xdr:nvGrpSpPr>
      <xdr:grpSpPr bwMode="auto">
        <a:xfrm>
          <a:off x="8839200" y="0"/>
          <a:ext cx="6791325" cy="4133850"/>
          <a:chOff x="8801103" y="66678"/>
          <a:chExt cx="6791321" cy="3843342"/>
        </a:xfrm>
      </xdr:grpSpPr>
      <xdr:graphicFrame macro="">
        <xdr:nvGraphicFramePr>
          <xdr:cNvPr id="37125337" name="Gráfico 2"/>
          <xdr:cNvGraphicFramePr>
            <a:graphicFrameLocks/>
          </xdr:cNvGraphicFramePr>
        </xdr:nvGraphicFramePr>
        <xdr:xfrm>
          <a:off x="8801103" y="66678"/>
          <a:ext cx="6791321" cy="384334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19"/>
          <xdr:cNvSpPr txBox="1"/>
        </xdr:nvSpPr>
        <xdr:spPr>
          <a:xfrm>
            <a:off x="15259049" y="181801"/>
            <a:ext cx="295275" cy="301091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4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%</a:t>
            </a:r>
          </a:p>
        </xdr:txBody>
      </xdr:sp>
      <xdr:sp macro="" textlink="">
        <xdr:nvSpPr>
          <xdr:cNvPr id="37125339" name="CaixaDeTexto 20"/>
          <xdr:cNvSpPr txBox="1">
            <a:spLocks noChangeArrowheads="1"/>
          </xdr:cNvSpPr>
        </xdr:nvSpPr>
        <xdr:spPr bwMode="auto">
          <a:xfrm>
            <a:off x="8801103" y="314325"/>
            <a:ext cx="914400" cy="9144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6" name="CaixaDeTexto 21"/>
          <xdr:cNvSpPr txBox="1"/>
        </xdr:nvSpPr>
        <xdr:spPr>
          <a:xfrm>
            <a:off x="8810628" y="234935"/>
            <a:ext cx="914399" cy="256813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9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Quantidade</a:t>
            </a:r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104775</xdr:colOff>
      <xdr:row>0</xdr:row>
      <xdr:rowOff>0</xdr:rowOff>
    </xdr:from>
    <xdr:to>
      <xdr:col>24</xdr:col>
      <xdr:colOff>542925</xdr:colOff>
      <xdr:row>16</xdr:row>
      <xdr:rowOff>123825</xdr:rowOff>
    </xdr:to>
    <xdr:grpSp>
      <xdr:nvGrpSpPr>
        <xdr:cNvPr id="30643168" name="Gráfico 2"/>
        <xdr:cNvGrpSpPr>
          <a:grpSpLocks/>
        </xdr:cNvGrpSpPr>
      </xdr:nvGrpSpPr>
      <xdr:grpSpPr bwMode="auto">
        <a:xfrm>
          <a:off x="9396942" y="0"/>
          <a:ext cx="5348816" cy="3679825"/>
          <a:chOff x="7839071" y="0"/>
          <a:chExt cx="5314949" cy="3268923"/>
        </a:xfrm>
      </xdr:grpSpPr>
      <xdr:graphicFrame macro="">
        <xdr:nvGraphicFramePr>
          <xdr:cNvPr id="30643170" name="Gráfico 2"/>
          <xdr:cNvGraphicFramePr>
            <a:graphicFrameLocks/>
          </xdr:cNvGraphicFramePr>
        </xdr:nvGraphicFramePr>
        <xdr:xfrm>
          <a:off x="7839071" y="0"/>
          <a:ext cx="5314949" cy="326892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8258171" y="76416"/>
            <a:ext cx="4857749" cy="229249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0" compatLnSpc="0">
            <a:noAutofit/>
          </a:bodyPr>
          <a:lstStyle/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Média das 10 subprefeituras mais demandadas em 2023</a:t>
            </a:r>
            <a:endParaRPr lang="pt-BR" sz="16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  <a:p>
            <a:pPr marL="0" marR="0" lvl="0" indent="0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endParaRPr lang="pt-BR" sz="1100" b="0" i="0" u="none" strike="noStrike" kern="0" cap="none" spc="0" baseline="0">
              <a:solidFill>
                <a:srgbClr val="000000"/>
              </a:solidFill>
              <a:uFillTx/>
              <a:latin typeface="Calibri"/>
            </a:endParaRPr>
          </a:p>
        </xdr:txBody>
      </xdr:sp>
    </xdr:grpSp>
    <xdr:clientData/>
  </xdr:twoCellAnchor>
  <xdr:twoCellAnchor editAs="oneCell">
    <xdr:from>
      <xdr:col>1</xdr:col>
      <xdr:colOff>123825</xdr:colOff>
      <xdr:row>17</xdr:row>
      <xdr:rowOff>76200</xdr:rowOff>
    </xdr:from>
    <xdr:to>
      <xdr:col>14</xdr:col>
      <xdr:colOff>38100</xdr:colOff>
      <xdr:row>34</xdr:row>
      <xdr:rowOff>38100</xdr:rowOff>
    </xdr:to>
    <xdr:graphicFrame macro="">
      <xdr:nvGraphicFramePr>
        <xdr:cNvPr id="30643169" name="Gráfico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</xdr:colOff>
      <xdr:row>3</xdr:row>
      <xdr:rowOff>9525</xdr:rowOff>
    </xdr:from>
    <xdr:to>
      <xdr:col>10</xdr:col>
      <xdr:colOff>57150</xdr:colOff>
      <xdr:row>35</xdr:row>
      <xdr:rowOff>190500</xdr:rowOff>
    </xdr:to>
    <xdr:grpSp>
      <xdr:nvGrpSpPr>
        <xdr:cNvPr id="30645992" name="Gráfico 1"/>
        <xdr:cNvGrpSpPr>
          <a:grpSpLocks/>
        </xdr:cNvGrpSpPr>
      </xdr:nvGrpSpPr>
      <xdr:grpSpPr bwMode="auto">
        <a:xfrm>
          <a:off x="3171825" y="590550"/>
          <a:ext cx="7239000" cy="6276975"/>
          <a:chOff x="3171821" y="581028"/>
          <a:chExt cx="7239003" cy="6276971"/>
        </a:xfrm>
      </xdr:grpSpPr>
      <xdr:graphicFrame macro="">
        <xdr:nvGraphicFramePr>
          <xdr:cNvPr id="30645993" name="Gráfico 2"/>
          <xdr:cNvGraphicFramePr>
            <a:graphicFrameLocks/>
          </xdr:cNvGraphicFramePr>
        </xdr:nvGraphicFramePr>
        <xdr:xfrm>
          <a:off x="3171821" y="581028"/>
          <a:ext cx="7239003" cy="627697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CaixaDeTexto 2"/>
          <xdr:cNvSpPr txBox="1"/>
        </xdr:nvSpPr>
        <xdr:spPr>
          <a:xfrm>
            <a:off x="3209921" y="647703"/>
            <a:ext cx="7181853" cy="381000"/>
          </a:xfrm>
          <a:prstGeom prst="rect">
            <a:avLst/>
          </a:prstGeom>
          <a:noFill/>
          <a:ln cap="flat">
            <a:noFill/>
          </a:ln>
        </xdr:spPr>
        <xdr:txBody>
          <a:bodyPr vert="horz" wrap="none" lIns="91440" tIns="45720" rIns="91440" bIns="45720" anchor="t" anchorCtr="1" compatLnSpc="0">
            <a:noAutofit/>
          </a:bodyPr>
          <a:lstStyle/>
          <a:p>
            <a:pPr marL="0" marR="0" lvl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None/>
              <a:tabLst/>
              <a:defRPr sz="1800" b="0" i="0" u="none" strike="noStrike" kern="0" cap="none" spc="0" baseline="0">
                <a:solidFill>
                  <a:srgbClr val="000000"/>
                </a:solidFill>
                <a:uFillTx/>
              </a:defRPr>
            </a:pPr>
            <a:r>
              <a:rPr lang="pt-BR" sz="1600" b="1" i="0" u="none" strike="noStrike" kern="0" cap="none" spc="0" baseline="0">
                <a:solidFill>
                  <a:srgbClr val="000000"/>
                </a:solidFill>
                <a:uFillTx/>
                <a:latin typeface="Calibri"/>
              </a:rPr>
              <a:t>Ranking das Subprefeituras mais demandadas - MARÇO/2023</a:t>
            </a:r>
          </a:p>
        </xdr:txBody>
      </xdr:sp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9525</xdr:colOff>
      <xdr:row>0</xdr:row>
      <xdr:rowOff>0</xdr:rowOff>
    </xdr:from>
    <xdr:to>
      <xdr:col>24</xdr:col>
      <xdr:colOff>276225</xdr:colOff>
      <xdr:row>8</xdr:row>
      <xdr:rowOff>266700</xdr:rowOff>
    </xdr:to>
    <xdr:graphicFrame macro="">
      <xdr:nvGraphicFramePr>
        <xdr:cNvPr id="37133528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28575</xdr:colOff>
      <xdr:row>8</xdr:row>
      <xdr:rowOff>285750</xdr:rowOff>
    </xdr:from>
    <xdr:to>
      <xdr:col>24</xdr:col>
      <xdr:colOff>314325</xdr:colOff>
      <xdr:row>18</xdr:row>
      <xdr:rowOff>180975</xdr:rowOff>
    </xdr:to>
    <xdr:graphicFrame macro="">
      <xdr:nvGraphicFramePr>
        <xdr:cNvPr id="37133529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104775</xdr:colOff>
      <xdr:row>19</xdr:row>
      <xdr:rowOff>19050</xdr:rowOff>
    </xdr:from>
    <xdr:to>
      <xdr:col>23</xdr:col>
      <xdr:colOff>323850</xdr:colOff>
      <xdr:row>30</xdr:row>
      <xdr:rowOff>19050</xdr:rowOff>
    </xdr:to>
    <xdr:graphicFrame macro="">
      <xdr:nvGraphicFramePr>
        <xdr:cNvPr id="37133530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152400</xdr:colOff>
      <xdr:row>30</xdr:row>
      <xdr:rowOff>85725</xdr:rowOff>
    </xdr:from>
    <xdr:to>
      <xdr:col>21</xdr:col>
      <xdr:colOff>180975</xdr:colOff>
      <xdr:row>56</xdr:row>
      <xdr:rowOff>152400</xdr:rowOff>
    </xdr:to>
    <xdr:graphicFrame macro="">
      <xdr:nvGraphicFramePr>
        <xdr:cNvPr id="37133531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57150</xdr:colOff>
      <xdr:row>15</xdr:row>
      <xdr:rowOff>152400</xdr:rowOff>
    </xdr:from>
    <xdr:to>
      <xdr:col>17</xdr:col>
      <xdr:colOff>9525</xdr:colOff>
      <xdr:row>30</xdr:row>
      <xdr:rowOff>76200</xdr:rowOff>
    </xdr:to>
    <xdr:graphicFrame macro="">
      <xdr:nvGraphicFramePr>
        <xdr:cNvPr id="3713353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0.14271</cdr:x>
      <cdr:y>0</cdr:y>
    </cdr:from>
    <cdr:to>
      <cdr:x>0.87812</cdr:x>
      <cdr:y>0.20833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652462" y="0"/>
          <a:ext cx="336232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Protocolos inicialmente registrados como denúncias</a:t>
          </a:r>
          <a:endParaRPr lang="pt-BR" sz="1200">
            <a:effectLst/>
          </a:endParaRPr>
        </a:p>
        <a:p xmlns:a="http://schemas.openxmlformats.org/drawingml/2006/main">
          <a:pPr algn="ctr" rtl="0">
            <a:lnSpc>
              <a:spcPts val="1300"/>
            </a:lnSpc>
          </a:pPr>
          <a:r>
            <a:rPr lang="en-US" sz="1200" b="1" i="0" baseline="0">
              <a:effectLst/>
              <a:latin typeface="+mn-lt"/>
              <a:ea typeface="+mn-ea"/>
              <a:cs typeface="+mn-cs"/>
            </a:rPr>
            <a:t>% deferidas, indeferidas e reclassificadas - 2023</a:t>
          </a:r>
          <a:endParaRPr lang="pt-BR" sz="1200">
            <a:effectLst/>
          </a:endParaRPr>
        </a:p>
        <a:p xmlns:a="http://schemas.openxmlformats.org/drawingml/2006/main">
          <a:pPr>
            <a:lnSpc>
              <a:spcPts val="1200"/>
            </a:lnSpc>
          </a:pPr>
          <a:endParaRPr lang="pt-BR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66675</xdr:rowOff>
    </xdr:from>
    <xdr:to>
      <xdr:col>13</xdr:col>
      <xdr:colOff>47625</xdr:colOff>
      <xdr:row>17</xdr:row>
      <xdr:rowOff>152400</xdr:rowOff>
    </xdr:to>
    <xdr:graphicFrame macro="">
      <xdr:nvGraphicFramePr>
        <xdr:cNvPr id="30654184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266700</xdr:colOff>
      <xdr:row>0</xdr:row>
      <xdr:rowOff>47625</xdr:rowOff>
    </xdr:from>
    <xdr:to>
      <xdr:col>33</xdr:col>
      <xdr:colOff>352425</xdr:colOff>
      <xdr:row>19</xdr:row>
      <xdr:rowOff>0</xdr:rowOff>
    </xdr:to>
    <xdr:graphicFrame macro="">
      <xdr:nvGraphicFramePr>
        <xdr:cNvPr id="30654185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114300</xdr:colOff>
      <xdr:row>0</xdr:row>
      <xdr:rowOff>38100</xdr:rowOff>
    </xdr:from>
    <xdr:to>
      <xdr:col>21</xdr:col>
      <xdr:colOff>180975</xdr:colOff>
      <xdr:row>19</xdr:row>
      <xdr:rowOff>47625</xdr:rowOff>
    </xdr:to>
    <xdr:graphicFrame macro="">
      <xdr:nvGraphicFramePr>
        <xdr:cNvPr id="30654186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0.65903</cdr:x>
      <cdr:y>0.10475</cdr:y>
    </cdr:from>
    <cdr:to>
      <cdr:x>0.78922</cdr:x>
      <cdr:y>0.17936</cdr:y>
    </cdr:to>
    <cdr:sp macro="" textlink="">
      <cdr:nvSpPr>
        <cdr:cNvPr id="2" name="CaixaDeTexto 1"/>
        <cdr:cNvSpPr txBox="1"/>
      </cdr:nvSpPr>
      <cdr:spPr>
        <a:xfrm xmlns:a="http://schemas.openxmlformats.org/drawingml/2006/main">
          <a:off x="4356432" y="348208"/>
          <a:ext cx="860602" cy="24802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000" b="1">
              <a:solidFill>
                <a:schemeClr val="tx1"/>
              </a:solidFill>
            </a:rPr>
            <a:t>Variação</a:t>
          </a:r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581025</xdr:colOff>
      <xdr:row>0</xdr:row>
      <xdr:rowOff>0</xdr:rowOff>
    </xdr:from>
    <xdr:to>
      <xdr:col>12</xdr:col>
      <xdr:colOff>238125</xdr:colOff>
      <xdr:row>13</xdr:row>
      <xdr:rowOff>95250</xdr:rowOff>
    </xdr:to>
    <xdr:graphicFrame macro="">
      <xdr:nvGraphicFramePr>
        <xdr:cNvPr id="8871830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Documento_do_Microsoft_Word.docx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Q1" sqref="Q1"/>
    </sheetView>
  </sheetViews>
  <sheetFormatPr defaultRowHeight="15"/>
  <sheetData/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8772993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16</xdr:col>
                <xdr:colOff>76200</xdr:colOff>
                <xdr:row>52</xdr:row>
                <xdr:rowOff>142875</xdr:rowOff>
              </to>
            </anchor>
          </objectPr>
        </oleObject>
      </mc:Choice>
      <mc:Fallback>
        <oleObject progId="Word.Document.12" shapeId="18772993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7"/>
  <sheetViews>
    <sheetView zoomScaleNormal="100" workbookViewId="0"/>
  </sheetViews>
  <sheetFormatPr defaultRowHeight="15"/>
  <cols>
    <col min="1" max="1" width="66.5703125" customWidth="1"/>
    <col min="2" max="2" width="7.5703125" bestFit="1" customWidth="1"/>
    <col min="3" max="3" width="7.7109375" bestFit="1" customWidth="1"/>
    <col min="4" max="4" width="7.140625" bestFit="1" customWidth="1"/>
    <col min="5" max="5" width="7" bestFit="1" customWidth="1"/>
    <col min="6" max="6" width="7.5703125" style="6" bestFit="1" customWidth="1"/>
    <col min="7" max="7" width="6.28515625" bestFit="1" customWidth="1"/>
    <col min="8" max="8" width="7" bestFit="1" customWidth="1"/>
    <col min="9" max="9" width="7.85546875" customWidth="1"/>
    <col min="10" max="10" width="7.140625" bestFit="1" customWidth="1"/>
    <col min="11" max="11" width="7.5703125" bestFit="1" customWidth="1"/>
    <col min="12" max="12" width="7.140625" bestFit="1" customWidth="1"/>
    <col min="13" max="13" width="6.85546875" bestFit="1" customWidth="1"/>
    <col min="14" max="14" width="7.28515625" bestFit="1" customWidth="1"/>
    <col min="15" max="15" width="7.140625" bestFit="1" customWidth="1"/>
    <col min="16" max="16" width="8" bestFit="1" customWidth="1"/>
    <col min="17" max="17" width="10.85546875" customWidth="1"/>
    <col min="18" max="20" width="9.140625" customWidth="1"/>
    <col min="21" max="21" width="22" bestFit="1" customWidth="1"/>
    <col min="22" max="22" width="11" bestFit="1" customWidth="1"/>
    <col min="23" max="23" width="6.85546875" bestFit="1" customWidth="1"/>
    <col min="24" max="24" width="9.140625" customWidth="1"/>
  </cols>
  <sheetData>
    <row r="1" spans="1:32">
      <c r="A1" s="5" t="s">
        <v>0</v>
      </c>
      <c r="B1" s="5"/>
      <c r="C1" s="5"/>
    </row>
    <row r="2" spans="1:32">
      <c r="A2" s="5" t="s">
        <v>1</v>
      </c>
      <c r="B2" s="5"/>
      <c r="C2" s="5"/>
    </row>
    <row r="3" spans="1:32" ht="15.75" thickBot="1"/>
    <row r="4" spans="1:32" s="269" customFormat="1" ht="50.25" customHeight="1" thickBot="1">
      <c r="A4" s="267" t="s">
        <v>2</v>
      </c>
      <c r="B4" s="264">
        <v>45261</v>
      </c>
      <c r="C4" s="711">
        <v>45231</v>
      </c>
      <c r="D4" s="115">
        <v>45200</v>
      </c>
      <c r="E4" s="31">
        <v>45170</v>
      </c>
      <c r="F4" s="31">
        <v>45139</v>
      </c>
      <c r="G4" s="31">
        <v>44743</v>
      </c>
      <c r="H4" s="31">
        <v>45078</v>
      </c>
      <c r="I4" s="31">
        <v>45047</v>
      </c>
      <c r="J4" s="264">
        <v>45017</v>
      </c>
      <c r="K4" s="711">
        <v>44986</v>
      </c>
      <c r="L4" s="711">
        <v>44958</v>
      </c>
      <c r="M4" s="115">
        <v>44927</v>
      </c>
      <c r="N4" s="31" t="s">
        <v>3</v>
      </c>
      <c r="O4" s="268" t="s">
        <v>4</v>
      </c>
      <c r="P4" s="268" t="s">
        <v>5</v>
      </c>
      <c r="Q4" s="406" t="s">
        <v>440</v>
      </c>
    </row>
    <row r="5" spans="1:32" s="205" customFormat="1" ht="15.75" thickBot="1">
      <c r="A5" s="270" t="s">
        <v>211</v>
      </c>
      <c r="B5" s="258"/>
      <c r="C5" s="305"/>
      <c r="D5" s="259"/>
      <c r="E5" s="259"/>
      <c r="F5" s="259"/>
      <c r="G5" s="259"/>
      <c r="H5" s="259"/>
      <c r="I5" s="682"/>
      <c r="J5" s="259"/>
      <c r="K5" s="930">
        <v>9</v>
      </c>
      <c r="L5" s="832">
        <v>12</v>
      </c>
      <c r="M5" s="142">
        <v>5</v>
      </c>
      <c r="N5" s="813">
        <f t="shared" ref="N5:N10" si="0">SUM(B5:M5)</f>
        <v>26</v>
      </c>
      <c r="O5" s="814">
        <f t="shared" ref="O5:O11" si="1">AVERAGE(B5:M5)</f>
        <v>8.6666666666666661</v>
      </c>
      <c r="P5" s="815">
        <f t="shared" ref="P5:P11" si="2">N5/N$11*100</f>
        <v>0.17539125742039935</v>
      </c>
      <c r="Q5" s="407">
        <f t="shared" ref="Q5:Q11" si="3">(K5*100)/$K$11</f>
        <v>0.15842281288505544</v>
      </c>
    </row>
    <row r="6" spans="1:32" s="205" customFormat="1" ht="15.75" thickBot="1">
      <c r="A6" s="271" t="s">
        <v>212</v>
      </c>
      <c r="B6" s="260"/>
      <c r="C6" s="133"/>
      <c r="D6" s="261"/>
      <c r="E6" s="261"/>
      <c r="F6" s="261"/>
      <c r="G6" s="261"/>
      <c r="H6" s="261"/>
      <c r="I6" s="604"/>
      <c r="J6" s="261"/>
      <c r="K6" s="930">
        <v>1921</v>
      </c>
      <c r="L6" s="833">
        <v>1612</v>
      </c>
      <c r="M6" s="143">
        <v>1490</v>
      </c>
      <c r="N6" s="813">
        <f t="shared" si="0"/>
        <v>5023</v>
      </c>
      <c r="O6" s="814">
        <f t="shared" si="1"/>
        <v>1674.3333333333333</v>
      </c>
      <c r="P6" s="815">
        <f t="shared" si="2"/>
        <v>33.884241770102534</v>
      </c>
      <c r="Q6" s="407">
        <f t="shared" si="3"/>
        <v>33.814469283576834</v>
      </c>
    </row>
    <row r="7" spans="1:32" s="205" customFormat="1" ht="15.75" thickBot="1">
      <c r="A7" s="271" t="s">
        <v>213</v>
      </c>
      <c r="B7" s="260"/>
      <c r="C7" s="133"/>
      <c r="D7" s="261"/>
      <c r="E7" s="261"/>
      <c r="F7" s="261"/>
      <c r="G7" s="261"/>
      <c r="H7" s="261"/>
      <c r="I7" s="604"/>
      <c r="J7" s="261"/>
      <c r="K7" s="930">
        <v>895</v>
      </c>
      <c r="L7" s="833">
        <v>799</v>
      </c>
      <c r="M7" s="143">
        <v>787</v>
      </c>
      <c r="N7" s="813">
        <f t="shared" si="0"/>
        <v>2481</v>
      </c>
      <c r="O7" s="814">
        <f t="shared" si="1"/>
        <v>827</v>
      </c>
      <c r="P7" s="815">
        <f t="shared" si="2"/>
        <v>16.736373448461954</v>
      </c>
      <c r="Q7" s="407">
        <f t="shared" si="3"/>
        <v>15.754268614680514</v>
      </c>
    </row>
    <row r="8" spans="1:32" s="205" customFormat="1" ht="15.75" thickBot="1">
      <c r="A8" s="271" t="s">
        <v>215</v>
      </c>
      <c r="B8" s="260"/>
      <c r="C8" s="133"/>
      <c r="D8" s="261"/>
      <c r="E8" s="261"/>
      <c r="F8" s="261"/>
      <c r="G8" s="261"/>
      <c r="H8" s="261"/>
      <c r="I8" s="604"/>
      <c r="J8" s="261"/>
      <c r="K8" s="930">
        <v>28</v>
      </c>
      <c r="L8" s="833">
        <v>13</v>
      </c>
      <c r="M8" s="143">
        <v>11</v>
      </c>
      <c r="N8" s="813">
        <f t="shared" si="0"/>
        <v>52</v>
      </c>
      <c r="O8" s="814">
        <f t="shared" si="1"/>
        <v>17.333333333333332</v>
      </c>
      <c r="P8" s="815">
        <f t="shared" si="2"/>
        <v>0.3507825148407987</v>
      </c>
      <c r="Q8" s="407">
        <f t="shared" si="3"/>
        <v>0.4928709734201725</v>
      </c>
      <c r="R8" s="207"/>
    </row>
    <row r="9" spans="1:32" s="205" customFormat="1" ht="15.75" thickBot="1">
      <c r="A9" s="271" t="s">
        <v>216</v>
      </c>
      <c r="B9" s="260"/>
      <c r="C9" s="133"/>
      <c r="D9" s="261"/>
      <c r="E9" s="261"/>
      <c r="F9" s="261"/>
      <c r="G9" s="261"/>
      <c r="H9" s="261"/>
      <c r="I9" s="604"/>
      <c r="J9" s="261"/>
      <c r="K9" s="930">
        <v>2696</v>
      </c>
      <c r="L9" s="833">
        <v>2195</v>
      </c>
      <c r="M9" s="143">
        <v>1997</v>
      </c>
      <c r="N9" s="813">
        <f t="shared" si="0"/>
        <v>6888</v>
      </c>
      <c r="O9" s="814">
        <f t="shared" si="1"/>
        <v>2296</v>
      </c>
      <c r="P9" s="815">
        <f t="shared" si="2"/>
        <v>46.465191581219642</v>
      </c>
      <c r="Q9" s="407">
        <f t="shared" si="3"/>
        <v>47.456433726456609</v>
      </c>
      <c r="R9" s="207"/>
    </row>
    <row r="10" spans="1:32" s="205" customFormat="1" ht="15.75" thickBot="1">
      <c r="A10" s="272" t="s">
        <v>214</v>
      </c>
      <c r="B10" s="262"/>
      <c r="C10" s="424"/>
      <c r="D10" s="263"/>
      <c r="E10" s="263"/>
      <c r="F10" s="263"/>
      <c r="G10" s="263"/>
      <c r="H10" s="263"/>
      <c r="I10" s="683"/>
      <c r="J10" s="263"/>
      <c r="K10" s="930">
        <v>132</v>
      </c>
      <c r="L10" s="834">
        <v>116</v>
      </c>
      <c r="M10" s="144">
        <v>106</v>
      </c>
      <c r="N10" s="813">
        <f t="shared" si="0"/>
        <v>354</v>
      </c>
      <c r="O10" s="814">
        <f t="shared" si="1"/>
        <v>118</v>
      </c>
      <c r="P10" s="815">
        <f t="shared" si="2"/>
        <v>2.388019427954668</v>
      </c>
      <c r="Q10" s="407">
        <f t="shared" si="3"/>
        <v>2.3235345889808134</v>
      </c>
      <c r="R10" s="207"/>
      <c r="S10" s="122"/>
    </row>
    <row r="11" spans="1:32" ht="16.5" thickBot="1">
      <c r="A11" s="208" t="s">
        <v>6</v>
      </c>
      <c r="B11" s="712"/>
      <c r="C11" s="714"/>
      <c r="D11" s="714"/>
      <c r="E11" s="714"/>
      <c r="F11" s="714"/>
      <c r="G11" s="714"/>
      <c r="H11" s="819"/>
      <c r="I11" s="816"/>
      <c r="J11" s="816"/>
      <c r="K11" s="816">
        <f>SUM(K5:K10)</f>
        <v>5681</v>
      </c>
      <c r="L11" s="816">
        <f>SUM(L5:L10)</f>
        <v>4747</v>
      </c>
      <c r="M11" s="820">
        <f>SUM(M5:M10)</f>
        <v>4396</v>
      </c>
      <c r="N11" s="816">
        <f>SUM(N5:N10)</f>
        <v>14824</v>
      </c>
      <c r="O11" s="817">
        <f t="shared" si="1"/>
        <v>4941.333333333333</v>
      </c>
      <c r="P11" s="818">
        <f t="shared" si="2"/>
        <v>100</v>
      </c>
      <c r="Q11" s="640">
        <f t="shared" si="3"/>
        <v>100</v>
      </c>
      <c r="R11" s="7"/>
      <c r="S11" s="10"/>
      <c r="AD11" s="8"/>
      <c r="AE11" s="6"/>
      <c r="AF11" s="8"/>
    </row>
    <row r="12" spans="1:32">
      <c r="M12" s="9"/>
      <c r="N12" s="10"/>
      <c r="U12" s="8"/>
      <c r="V12" s="6"/>
      <c r="W12" s="8"/>
    </row>
    <row r="13" spans="1:32">
      <c r="A13" s="986"/>
      <c r="B13" s="986"/>
      <c r="C13" s="986"/>
      <c r="D13" s="986"/>
      <c r="E13" s="158"/>
      <c r="I13" s="10"/>
      <c r="J13" s="10"/>
      <c r="U13" s="8"/>
      <c r="V13" s="6"/>
      <c r="W13" s="8"/>
    </row>
    <row r="14" spans="1:32">
      <c r="A14" s="986"/>
      <c r="B14" s="986"/>
      <c r="C14" s="986"/>
      <c r="D14" s="986"/>
      <c r="I14" s="10"/>
      <c r="U14" s="8"/>
      <c r="V14" s="6"/>
      <c r="W14" s="8"/>
    </row>
    <row r="15" spans="1:32">
      <c r="A15" s="986"/>
      <c r="B15" s="986"/>
      <c r="C15" s="986"/>
      <c r="D15" s="986"/>
      <c r="U15" s="11"/>
      <c r="V15" s="6"/>
      <c r="W15" s="12"/>
    </row>
    <row r="19" spans="1:5">
      <c r="A19" s="1"/>
      <c r="B19" s="1"/>
      <c r="C19" s="1"/>
      <c r="D19" s="1"/>
      <c r="E19" s="1"/>
    </row>
    <row r="20" spans="1:5">
      <c r="A20" s="13"/>
      <c r="B20" s="13"/>
      <c r="C20" s="13"/>
      <c r="D20" s="2"/>
      <c r="E20" s="1"/>
    </row>
    <row r="21" spans="1:5">
      <c r="A21" s="14"/>
      <c r="B21" s="14"/>
      <c r="C21" s="14"/>
      <c r="D21" s="15"/>
      <c r="E21" s="1"/>
    </row>
    <row r="22" spans="1:5">
      <c r="A22" s="14"/>
      <c r="B22" s="14"/>
      <c r="C22" s="14"/>
      <c r="D22" s="15"/>
      <c r="E22" s="1"/>
    </row>
    <row r="23" spans="1:5">
      <c r="A23" s="14"/>
      <c r="B23" s="14"/>
      <c r="C23" s="14"/>
      <c r="D23" s="15"/>
      <c r="E23" s="1"/>
    </row>
    <row r="24" spans="1:5">
      <c r="A24" s="14"/>
      <c r="B24" s="14"/>
      <c r="C24" s="14"/>
      <c r="D24" s="15"/>
      <c r="E24" s="1"/>
    </row>
    <row r="25" spans="1:5">
      <c r="A25" s="11"/>
      <c r="B25" s="11"/>
      <c r="C25" s="11"/>
      <c r="D25" s="15"/>
      <c r="E25" s="1"/>
    </row>
    <row r="26" spans="1:5">
      <c r="A26" s="1"/>
      <c r="B26" s="1"/>
      <c r="C26" s="1"/>
      <c r="D26" s="1"/>
      <c r="E26" s="16"/>
    </row>
    <row r="27" spans="1:5">
      <c r="A27" s="1"/>
      <c r="B27" s="1"/>
      <c r="C27" s="1"/>
      <c r="D27" s="1"/>
      <c r="E27" s="1"/>
    </row>
  </sheetData>
  <mergeCells count="1">
    <mergeCell ref="A13:D15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M11" formula="1" formulaRange="1"/>
    <ignoredError sqref="K11:L11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zoomScale="90" zoomScaleNormal="90" workbookViewId="0"/>
  </sheetViews>
  <sheetFormatPr defaultRowHeight="15"/>
  <cols>
    <col min="1" max="1" width="13.5703125" customWidth="1"/>
    <col min="2" max="2" width="12" bestFit="1" customWidth="1"/>
    <col min="3" max="3" width="10.42578125" bestFit="1" customWidth="1"/>
    <col min="4" max="4" width="15.140625" customWidth="1"/>
    <col min="5" max="5" width="7.5703125" bestFit="1" customWidth="1"/>
    <col min="6" max="6" width="7.7109375" bestFit="1" customWidth="1"/>
    <col min="7" max="7" width="7.140625" bestFit="1" customWidth="1"/>
    <col min="8" max="8" width="7.5703125" bestFit="1" customWidth="1"/>
    <col min="9" max="9" width="7.7109375" style="6" bestFit="1" customWidth="1"/>
    <col min="10" max="10" width="7.140625" style="6" bestFit="1" customWidth="1"/>
    <col min="11" max="11" width="7.5703125" style="17" bestFit="1" customWidth="1"/>
    <col min="12" max="12" width="7.5703125" bestFit="1" customWidth="1"/>
    <col min="13" max="13" width="7.140625" bestFit="1" customWidth="1"/>
    <col min="14" max="14" width="7.5703125" bestFit="1" customWidth="1"/>
    <col min="15" max="15" width="7.28515625" bestFit="1" customWidth="1"/>
    <col min="16" max="16" width="7.140625" bestFit="1" customWidth="1"/>
    <col min="17" max="17" width="7.5703125" bestFit="1" customWidth="1"/>
    <col min="18" max="18" width="8" bestFit="1" customWidth="1"/>
    <col min="19" max="19" width="7.5703125" customWidth="1"/>
    <col min="20" max="20" width="9.140625" customWidth="1"/>
  </cols>
  <sheetData>
    <row r="1" spans="1:11">
      <c r="A1" s="5" t="s">
        <v>0</v>
      </c>
    </row>
    <row r="2" spans="1:11">
      <c r="A2" s="5" t="s">
        <v>1</v>
      </c>
    </row>
    <row r="3" spans="1:11" ht="15.75" thickBot="1"/>
    <row r="4" spans="1:11" ht="15.75" thickBot="1">
      <c r="A4" s="18" t="s">
        <v>7</v>
      </c>
      <c r="B4" s="19" t="s">
        <v>219</v>
      </c>
      <c r="C4" s="19" t="s">
        <v>8</v>
      </c>
      <c r="D4" s="2"/>
      <c r="E4" s="2"/>
      <c r="F4" s="2"/>
      <c r="I4"/>
      <c r="J4"/>
    </row>
    <row r="5" spans="1:11">
      <c r="A5" s="209">
        <v>44927</v>
      </c>
      <c r="B5" s="20">
        <v>4396</v>
      </c>
      <c r="C5" s="21">
        <f>((B5-3527)/3527)*100</f>
        <v>24.638502977034307</v>
      </c>
      <c r="D5" s="4"/>
      <c r="E5" s="4"/>
      <c r="F5" s="4"/>
      <c r="I5"/>
      <c r="J5"/>
    </row>
    <row r="6" spans="1:11">
      <c r="A6" s="210">
        <v>44958</v>
      </c>
      <c r="B6" s="836">
        <v>4747</v>
      </c>
      <c r="C6" s="21">
        <f>((B6-4396)/4396)*100</f>
        <v>7.9845313921747039</v>
      </c>
      <c r="D6" s="4"/>
      <c r="E6" s="4"/>
      <c r="F6" s="4"/>
      <c r="H6" s="23"/>
      <c r="I6" s="4"/>
      <c r="J6" s="4"/>
      <c r="K6" s="24"/>
    </row>
    <row r="7" spans="1:11">
      <c r="A7" s="210">
        <v>44986</v>
      </c>
      <c r="B7" s="22">
        <v>5681</v>
      </c>
      <c r="C7" s="21">
        <f>((B7-B6)/B6)*100</f>
        <v>19.675584579734569</v>
      </c>
      <c r="D7" s="4"/>
      <c r="E7" s="4"/>
      <c r="F7" s="4"/>
      <c r="H7" s="23"/>
      <c r="I7" s="4"/>
      <c r="J7" s="4"/>
      <c r="K7" s="24"/>
    </row>
    <row r="8" spans="1:11">
      <c r="A8" s="210">
        <v>45017</v>
      </c>
      <c r="B8" s="22"/>
      <c r="C8" s="21"/>
      <c r="D8" s="4"/>
      <c r="E8" s="4"/>
      <c r="F8" s="4"/>
    </row>
    <row r="9" spans="1:11">
      <c r="A9" s="210">
        <v>45047</v>
      </c>
      <c r="B9" s="22"/>
      <c r="C9" s="21"/>
      <c r="D9" s="4"/>
      <c r="E9" s="4"/>
      <c r="F9" s="4"/>
    </row>
    <row r="10" spans="1:11">
      <c r="A10" s="210">
        <v>45078</v>
      </c>
      <c r="B10" s="22"/>
      <c r="C10" s="21"/>
      <c r="D10" s="4"/>
      <c r="E10" s="4"/>
      <c r="F10" s="4"/>
    </row>
    <row r="11" spans="1:11">
      <c r="A11" s="210">
        <v>45108</v>
      </c>
      <c r="B11" s="22"/>
      <c r="C11" s="21"/>
      <c r="D11" s="4"/>
      <c r="E11" s="4"/>
      <c r="F11" s="4"/>
    </row>
    <row r="12" spans="1:11">
      <c r="A12" s="210">
        <v>45139</v>
      </c>
      <c r="B12" s="22"/>
      <c r="C12" s="21"/>
      <c r="D12" s="4"/>
      <c r="E12" s="4"/>
      <c r="F12" s="4"/>
    </row>
    <row r="13" spans="1:11">
      <c r="A13" s="210">
        <v>45170</v>
      </c>
      <c r="B13" s="22"/>
      <c r="C13" s="21"/>
      <c r="D13" s="4"/>
      <c r="E13" s="4"/>
      <c r="F13" s="4"/>
    </row>
    <row r="14" spans="1:11">
      <c r="A14" s="210">
        <v>45200</v>
      </c>
      <c r="B14" s="22"/>
      <c r="C14" s="21"/>
      <c r="D14" s="4"/>
      <c r="E14" s="4"/>
      <c r="F14" s="4"/>
      <c r="H14" s="25"/>
    </row>
    <row r="15" spans="1:11">
      <c r="A15" s="210">
        <v>45231</v>
      </c>
      <c r="B15" s="22"/>
      <c r="C15" s="21"/>
      <c r="D15" s="4"/>
      <c r="E15" s="4"/>
      <c r="F15" s="4"/>
    </row>
    <row r="16" spans="1:11" ht="15.75" thickBot="1">
      <c r="A16" s="211">
        <v>45261</v>
      </c>
      <c r="B16" s="26"/>
      <c r="C16" s="27"/>
      <c r="D16" s="4"/>
      <c r="E16" s="4"/>
      <c r="F16" s="4"/>
    </row>
    <row r="17" spans="1:19" ht="15.75" thickBot="1">
      <c r="A17" s="442" t="s">
        <v>3</v>
      </c>
      <c r="B17" s="821">
        <f>SUM(B5:B16)</f>
        <v>14824</v>
      </c>
    </row>
    <row r="18" spans="1:19" ht="30.75" thickBot="1">
      <c r="A18" s="436" t="s">
        <v>4</v>
      </c>
      <c r="B18" s="822">
        <f>AVERAGE(B5:B16)</f>
        <v>4941.333333333333</v>
      </c>
      <c r="D18" s="266" t="s">
        <v>10</v>
      </c>
      <c r="E18" s="30">
        <v>45261</v>
      </c>
      <c r="F18" s="31">
        <v>45231</v>
      </c>
      <c r="G18" s="31">
        <v>45200</v>
      </c>
      <c r="H18" s="31">
        <v>45170</v>
      </c>
      <c r="I18" s="31">
        <v>45139</v>
      </c>
      <c r="J18" s="31">
        <v>45108</v>
      </c>
      <c r="K18" s="31">
        <v>45078</v>
      </c>
      <c r="L18" s="31">
        <v>45047</v>
      </c>
      <c r="M18" s="264">
        <v>45017</v>
      </c>
      <c r="N18" s="711">
        <v>44986</v>
      </c>
      <c r="O18" s="711">
        <v>44958</v>
      </c>
      <c r="P18" s="141">
        <v>44927</v>
      </c>
      <c r="Q18" s="31" t="s">
        <v>3</v>
      </c>
      <c r="R18" s="265" t="s">
        <v>5</v>
      </c>
      <c r="S18" s="265" t="s">
        <v>4</v>
      </c>
    </row>
    <row r="19" spans="1:19">
      <c r="A19" s="987"/>
      <c r="B19" s="987"/>
      <c r="C19" s="987"/>
      <c r="D19" s="273" t="s">
        <v>11</v>
      </c>
      <c r="E19" s="32"/>
      <c r="F19" s="715"/>
      <c r="G19" s="134"/>
      <c r="H19" s="134"/>
      <c r="I19" s="134"/>
      <c r="J19" s="134"/>
      <c r="K19" s="147"/>
      <c r="L19" s="147"/>
      <c r="M19" s="147"/>
      <c r="N19" s="929">
        <v>164</v>
      </c>
      <c r="O19" s="305">
        <v>102</v>
      </c>
      <c r="P19" s="160">
        <v>139</v>
      </c>
      <c r="Q19" s="162">
        <f>SUM(E19:P19)</f>
        <v>405</v>
      </c>
      <c r="R19" s="166">
        <f>(Q19/Q24)*100</f>
        <v>2.7320561252023747</v>
      </c>
      <c r="S19" s="164">
        <f t="shared" ref="S19:S24" si="0">AVERAGE(E19:P19)</f>
        <v>135</v>
      </c>
    </row>
    <row r="20" spans="1:19" ht="15" customHeight="1">
      <c r="A20" s="988" t="s">
        <v>9</v>
      </c>
      <c r="B20" s="989"/>
      <c r="C20" s="433"/>
      <c r="D20" s="274" t="s">
        <v>12</v>
      </c>
      <c r="E20" s="33"/>
      <c r="F20" s="716"/>
      <c r="G20" s="146"/>
      <c r="H20" s="133"/>
      <c r="I20" s="133"/>
      <c r="J20" s="133"/>
      <c r="K20" s="145"/>
      <c r="L20" s="145"/>
      <c r="M20" s="145"/>
      <c r="N20" s="929">
        <v>76</v>
      </c>
      <c r="O20" s="133">
        <v>55</v>
      </c>
      <c r="P20" s="161">
        <v>67</v>
      </c>
      <c r="Q20" s="163">
        <f>SUM(E20:P20)</f>
        <v>198</v>
      </c>
      <c r="R20" s="167">
        <f>(Q20/Q24)*100</f>
        <v>1.3356718834322721</v>
      </c>
      <c r="S20" s="165">
        <f t="shared" si="0"/>
        <v>66</v>
      </c>
    </row>
    <row r="21" spans="1:19">
      <c r="A21" s="989"/>
      <c r="B21" s="989"/>
      <c r="D21" s="274" t="s">
        <v>13</v>
      </c>
      <c r="E21" s="34"/>
      <c r="F21" s="716"/>
      <c r="G21" s="133"/>
      <c r="H21" s="133"/>
      <c r="I21" s="133"/>
      <c r="J21" s="133"/>
      <c r="K21" s="145"/>
      <c r="L21" s="145"/>
      <c r="M21" s="145"/>
      <c r="N21" s="929">
        <v>5075</v>
      </c>
      <c r="O21" s="133">
        <v>4256</v>
      </c>
      <c r="P21" s="161">
        <v>3881</v>
      </c>
      <c r="Q21" s="163">
        <f>SUM(E21:P21)</f>
        <v>13212</v>
      </c>
      <c r="R21" s="167">
        <f>(Q21/Q24)*100</f>
        <v>89.125742039935247</v>
      </c>
      <c r="S21" s="165">
        <f t="shared" si="0"/>
        <v>4404</v>
      </c>
    </row>
    <row r="22" spans="1:19">
      <c r="D22" s="274" t="s">
        <v>14</v>
      </c>
      <c r="E22" s="34"/>
      <c r="F22" s="716"/>
      <c r="G22" s="133"/>
      <c r="H22" s="133"/>
      <c r="I22" s="133"/>
      <c r="J22" s="133"/>
      <c r="K22" s="145"/>
      <c r="L22" s="145"/>
      <c r="M22" s="145"/>
      <c r="N22" s="929">
        <v>292</v>
      </c>
      <c r="O22" s="133">
        <v>262</v>
      </c>
      <c r="P22" s="161">
        <v>253</v>
      </c>
      <c r="Q22" s="163">
        <f>SUM(E22:P22)</f>
        <v>807</v>
      </c>
      <c r="R22" s="167">
        <f>(Q22/Q24)*100</f>
        <v>5.4438747976254724</v>
      </c>
      <c r="S22" s="165">
        <f t="shared" si="0"/>
        <v>269</v>
      </c>
    </row>
    <row r="23" spans="1:19" ht="15.75" thickBot="1">
      <c r="D23" s="274" t="s">
        <v>15</v>
      </c>
      <c r="E23" s="471"/>
      <c r="F23" s="716"/>
      <c r="G23" s="472"/>
      <c r="H23" s="424"/>
      <c r="I23" s="424"/>
      <c r="J23" s="424"/>
      <c r="K23" s="473"/>
      <c r="L23" s="473"/>
      <c r="M23" s="473"/>
      <c r="N23" s="929">
        <v>74</v>
      </c>
      <c r="O23" s="424">
        <v>72</v>
      </c>
      <c r="P23" s="474">
        <v>56</v>
      </c>
      <c r="Q23" s="475">
        <f>SUM(E23:P23)</f>
        <v>202</v>
      </c>
      <c r="R23" s="476">
        <f>(Q23/Q24)*100</f>
        <v>1.3626551538046412</v>
      </c>
      <c r="S23" s="477">
        <f t="shared" si="0"/>
        <v>67.333333333333329</v>
      </c>
    </row>
    <row r="24" spans="1:19" ht="15.75" thickBot="1">
      <c r="D24" s="432" t="s">
        <v>16</v>
      </c>
      <c r="E24" s="151"/>
      <c r="F24" s="358"/>
      <c r="G24" s="358"/>
      <c r="H24" s="358"/>
      <c r="I24" s="358"/>
      <c r="J24" s="358"/>
      <c r="K24" s="358"/>
      <c r="L24" s="358"/>
      <c r="M24" s="358"/>
      <c r="N24" s="835">
        <f>SUM(N19:N23)</f>
        <v>5681</v>
      </c>
      <c r="O24" s="190">
        <f>SUM(O19:O23)</f>
        <v>4747</v>
      </c>
      <c r="P24" s="835">
        <f>SUM(P19:P23)</f>
        <v>4396</v>
      </c>
      <c r="Q24" s="156">
        <f>SUM(Q19:Q23)</f>
        <v>14824</v>
      </c>
      <c r="R24" s="835">
        <f>SUM(R19:R23)</f>
        <v>100</v>
      </c>
      <c r="S24" s="917">
        <f t="shared" si="0"/>
        <v>4941.333333333333</v>
      </c>
    </row>
    <row r="31" spans="1:19">
      <c r="Q31" s="17"/>
    </row>
    <row r="33" spans="13:13">
      <c r="M33" s="17"/>
    </row>
  </sheetData>
  <mergeCells count="2">
    <mergeCell ref="A19:C19"/>
    <mergeCell ref="A20:B21"/>
  </mergeCells>
  <pageMargins left="0.511811024" right="0.511811024" top="0.78740157500000008" bottom="0.78740157500000008" header="0.31496062000000008" footer="0.31496062000000008"/>
  <pageSetup paperSize="9" fitToWidth="0" fitToHeight="0" orientation="portrait" verticalDpi="0" r:id="rId1"/>
  <ignoredErrors>
    <ignoredError sqref="N24:P24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7"/>
  <sheetViews>
    <sheetView zoomScaleNormal="100" workbookViewId="0"/>
  </sheetViews>
  <sheetFormatPr defaultRowHeight="15"/>
  <cols>
    <col min="1" max="1" width="68" style="1" customWidth="1"/>
    <col min="2" max="2" width="7.5703125" style="41" bestFit="1" customWidth="1"/>
    <col min="3" max="3" width="7.7109375" style="41" bestFit="1" customWidth="1"/>
    <col min="4" max="4" width="7.140625" style="41" bestFit="1" customWidth="1"/>
    <col min="5" max="5" width="7" style="41" bestFit="1" customWidth="1"/>
    <col min="6" max="6" width="7.5703125" style="41" bestFit="1" customWidth="1"/>
    <col min="7" max="7" width="6.28515625" style="41" bestFit="1" customWidth="1"/>
    <col min="8" max="8" width="7" style="41" bestFit="1" customWidth="1"/>
    <col min="9" max="9" width="7.28515625" style="41" bestFit="1" customWidth="1"/>
    <col min="10" max="10" width="7.140625" style="41" bestFit="1" customWidth="1"/>
    <col min="11" max="11" width="7.5703125" style="41" bestFit="1" customWidth="1"/>
    <col min="12" max="12" width="7.140625" style="39" bestFit="1" customWidth="1"/>
    <col min="13" max="13" width="6.85546875" style="39" bestFit="1" customWidth="1"/>
    <col min="14" max="14" width="6.140625" style="39" bestFit="1" customWidth="1"/>
    <col min="15" max="15" width="8.85546875" style="39" customWidth="1"/>
    <col min="16" max="16" width="8.5703125" style="40" bestFit="1" customWidth="1"/>
  </cols>
  <sheetData>
    <row r="1" spans="1:16">
      <c r="A1" s="13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6">
      <c r="A2" s="13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spans="1:16" ht="15.75" thickBot="1"/>
    <row r="4" spans="1:16" ht="15.75" thickBot="1">
      <c r="A4" s="361" t="s">
        <v>17</v>
      </c>
      <c r="B4" s="720">
        <v>45261</v>
      </c>
      <c r="C4" s="721">
        <v>45231</v>
      </c>
      <c r="D4" s="645">
        <v>45200</v>
      </c>
      <c r="E4" s="643">
        <v>45170</v>
      </c>
      <c r="F4" s="643">
        <v>45139</v>
      </c>
      <c r="G4" s="643">
        <v>45108</v>
      </c>
      <c r="H4" s="643">
        <v>45078</v>
      </c>
      <c r="I4" s="644">
        <v>45047</v>
      </c>
      <c r="J4" s="643">
        <v>45017</v>
      </c>
      <c r="K4" s="720">
        <v>44986</v>
      </c>
      <c r="L4" s="711">
        <v>44958</v>
      </c>
      <c r="M4" s="188">
        <v>44927</v>
      </c>
      <c r="N4" s="646" t="s">
        <v>3</v>
      </c>
      <c r="O4" s="747" t="s">
        <v>4</v>
      </c>
      <c r="P4" s="750" t="s">
        <v>18</v>
      </c>
    </row>
    <row r="5" spans="1:16" s="42" customFormat="1">
      <c r="A5" s="676" t="s">
        <v>19</v>
      </c>
      <c r="B5" s="634"/>
      <c r="C5" s="710"/>
      <c r="D5" s="697"/>
      <c r="E5" s="186"/>
      <c r="F5" s="186"/>
      <c r="G5" s="186"/>
      <c r="H5" s="186"/>
      <c r="I5" s="186"/>
      <c r="J5" s="186"/>
      <c r="K5" s="725">
        <v>0</v>
      </c>
      <c r="L5" s="838">
        <v>0</v>
      </c>
      <c r="M5" s="725">
        <v>1</v>
      </c>
      <c r="N5" s="642">
        <f>SUM(B5:M5)</f>
        <v>1</v>
      </c>
      <c r="O5" s="748">
        <f>AVERAGE(B5:M5)</f>
        <v>0.33333333333333331</v>
      </c>
      <c r="P5" s="751">
        <f t="shared" ref="P5:P36" si="0">(N5/$N$187)*100</f>
        <v>6.9352937096886051E-3</v>
      </c>
    </row>
    <row r="6" spans="1:16" s="42" customFormat="1">
      <c r="A6" s="673" t="s">
        <v>248</v>
      </c>
      <c r="B6" s="635"/>
      <c r="C6" s="709"/>
      <c r="D6" s="698"/>
      <c r="E6" s="129"/>
      <c r="F6" s="129"/>
      <c r="G6" s="129"/>
      <c r="H6" s="186"/>
      <c r="I6" s="186"/>
      <c r="J6" s="186"/>
      <c r="K6" s="932">
        <v>1</v>
      </c>
      <c r="L6" s="837">
        <v>0</v>
      </c>
      <c r="M6" s="725">
        <v>0</v>
      </c>
      <c r="N6" s="330">
        <f>SUM(B6:M6)</f>
        <v>1</v>
      </c>
      <c r="O6" s="749">
        <f>AVERAGE(B6:M6)</f>
        <v>0.33333333333333331</v>
      </c>
      <c r="P6" s="751">
        <f t="shared" si="0"/>
        <v>6.9352937096886051E-3</v>
      </c>
    </row>
    <row r="7" spans="1:16" s="42" customFormat="1">
      <c r="A7" s="673" t="s">
        <v>20</v>
      </c>
      <c r="B7" s="635"/>
      <c r="C7" s="709"/>
      <c r="D7" s="698"/>
      <c r="E7" s="129"/>
      <c r="F7" s="129"/>
      <c r="G7" s="129"/>
      <c r="H7" s="129"/>
      <c r="I7" s="129"/>
      <c r="J7" s="129"/>
      <c r="K7" s="932">
        <v>3</v>
      </c>
      <c r="L7" s="837">
        <v>2</v>
      </c>
      <c r="M7" s="725">
        <v>4</v>
      </c>
      <c r="N7" s="330">
        <f>SUM(B7:M7)</f>
        <v>9</v>
      </c>
      <c r="O7" s="749">
        <f t="shared" ref="O7:O64" si="1">AVERAGE(B7:M7)</f>
        <v>3</v>
      </c>
      <c r="P7" s="751">
        <f t="shared" si="0"/>
        <v>6.241764338719745E-2</v>
      </c>
    </row>
    <row r="8" spans="1:16" s="42" customFormat="1">
      <c r="A8" s="673" t="s">
        <v>220</v>
      </c>
      <c r="B8" s="635"/>
      <c r="C8" s="709"/>
      <c r="D8" s="698"/>
      <c r="E8" s="129"/>
      <c r="F8" s="129"/>
      <c r="G8" s="129"/>
      <c r="H8" s="129"/>
      <c r="I8" s="129"/>
      <c r="J8" s="129"/>
      <c r="K8" s="932">
        <v>0</v>
      </c>
      <c r="L8" s="837">
        <v>1</v>
      </c>
      <c r="M8" s="725">
        <v>2</v>
      </c>
      <c r="N8" s="330">
        <f>SUM(B8:M8)</f>
        <v>3</v>
      </c>
      <c r="O8" s="749">
        <f>AVERAGE(B8:M8)</f>
        <v>1</v>
      </c>
      <c r="P8" s="751">
        <f t="shared" si="0"/>
        <v>2.0805881129065815E-2</v>
      </c>
    </row>
    <row r="9" spans="1:16" s="42" customFormat="1">
      <c r="A9" s="647" t="s">
        <v>371</v>
      </c>
      <c r="B9" s="635"/>
      <c r="C9" s="709"/>
      <c r="D9" s="698"/>
      <c r="E9" s="129"/>
      <c r="F9" s="129"/>
      <c r="G9" s="129"/>
      <c r="H9" s="129"/>
      <c r="I9" s="129"/>
      <c r="J9" s="129"/>
      <c r="K9" s="932">
        <v>11</v>
      </c>
      <c r="L9" s="837">
        <v>3</v>
      </c>
      <c r="M9" s="725">
        <v>1</v>
      </c>
      <c r="N9" s="330">
        <f t="shared" ref="N9:N65" si="2">SUM(B9:M9)</f>
        <v>15</v>
      </c>
      <c r="O9" s="749">
        <f t="shared" si="1"/>
        <v>5</v>
      </c>
      <c r="P9" s="751">
        <f t="shared" si="0"/>
        <v>0.10402940564532909</v>
      </c>
    </row>
    <row r="10" spans="1:16" s="42" customFormat="1">
      <c r="A10" s="673" t="s">
        <v>221</v>
      </c>
      <c r="B10" s="635"/>
      <c r="C10" s="709"/>
      <c r="D10" s="698"/>
      <c r="E10" s="129"/>
      <c r="F10" s="129"/>
      <c r="G10" s="129"/>
      <c r="H10" s="129"/>
      <c r="I10" s="129"/>
      <c r="J10" s="129"/>
      <c r="K10" s="933">
        <v>0</v>
      </c>
      <c r="L10" s="837">
        <v>0</v>
      </c>
      <c r="M10" s="725">
        <v>0</v>
      </c>
      <c r="N10" s="330">
        <f t="shared" si="2"/>
        <v>0</v>
      </c>
      <c r="O10" s="749">
        <f t="shared" si="1"/>
        <v>0</v>
      </c>
      <c r="P10" s="751">
        <f t="shared" si="0"/>
        <v>0</v>
      </c>
    </row>
    <row r="11" spans="1:16" s="42" customFormat="1">
      <c r="A11" s="673" t="s">
        <v>21</v>
      </c>
      <c r="B11" s="635"/>
      <c r="C11" s="709"/>
      <c r="D11" s="698"/>
      <c r="E11" s="129"/>
      <c r="F11" s="129"/>
      <c r="G11" s="129"/>
      <c r="H11" s="129"/>
      <c r="I11" s="129"/>
      <c r="J11" s="129"/>
      <c r="K11" s="932">
        <v>2</v>
      </c>
      <c r="L11" s="837">
        <v>0</v>
      </c>
      <c r="M11" s="725">
        <v>0</v>
      </c>
      <c r="N11" s="330">
        <f t="shared" si="2"/>
        <v>2</v>
      </c>
      <c r="O11" s="749">
        <f t="shared" si="1"/>
        <v>0.66666666666666663</v>
      </c>
      <c r="P11" s="751">
        <f t="shared" si="0"/>
        <v>1.387058741937721E-2</v>
      </c>
    </row>
    <row r="12" spans="1:16" s="42" customFormat="1">
      <c r="A12" s="673" t="s">
        <v>22</v>
      </c>
      <c r="B12" s="635"/>
      <c r="C12" s="709"/>
      <c r="D12" s="698"/>
      <c r="E12" s="129"/>
      <c r="F12" s="129"/>
      <c r="G12" s="129"/>
      <c r="H12" s="129"/>
      <c r="I12" s="129"/>
      <c r="J12" s="129"/>
      <c r="K12" s="932">
        <v>3</v>
      </c>
      <c r="L12" s="837">
        <v>0</v>
      </c>
      <c r="M12" s="725">
        <v>1</v>
      </c>
      <c r="N12" s="330">
        <f t="shared" si="2"/>
        <v>4</v>
      </c>
      <c r="O12" s="749">
        <f t="shared" si="1"/>
        <v>1.3333333333333333</v>
      </c>
      <c r="P12" s="751">
        <f t="shared" si="0"/>
        <v>2.774117483875442E-2</v>
      </c>
    </row>
    <row r="13" spans="1:16">
      <c r="A13" s="647" t="s">
        <v>372</v>
      </c>
      <c r="B13" s="641"/>
      <c r="C13" s="709"/>
      <c r="D13" s="699"/>
      <c r="E13" s="130"/>
      <c r="F13" s="130"/>
      <c r="G13" s="129"/>
      <c r="H13" s="129"/>
      <c r="I13" s="129"/>
      <c r="J13" s="130"/>
      <c r="K13" s="932">
        <v>10</v>
      </c>
      <c r="L13" s="837">
        <v>8</v>
      </c>
      <c r="M13" s="725">
        <v>9</v>
      </c>
      <c r="N13" s="330">
        <f t="shared" si="2"/>
        <v>27</v>
      </c>
      <c r="O13" s="749">
        <f t="shared" si="1"/>
        <v>9</v>
      </c>
      <c r="P13" s="751">
        <f t="shared" si="0"/>
        <v>0.18725293016159233</v>
      </c>
    </row>
    <row r="14" spans="1:16">
      <c r="A14" s="674" t="s">
        <v>23</v>
      </c>
      <c r="B14" s="641"/>
      <c r="C14" s="709"/>
      <c r="D14" s="699"/>
      <c r="E14" s="130"/>
      <c r="F14" s="130"/>
      <c r="G14" s="129"/>
      <c r="H14" s="129"/>
      <c r="I14" s="129"/>
      <c r="J14" s="130"/>
      <c r="K14" s="932">
        <v>25</v>
      </c>
      <c r="L14" s="837">
        <v>19</v>
      </c>
      <c r="M14" s="725">
        <v>15</v>
      </c>
      <c r="N14" s="330">
        <f t="shared" si="2"/>
        <v>59</v>
      </c>
      <c r="O14" s="749">
        <f t="shared" si="1"/>
        <v>19.666666666666668</v>
      </c>
      <c r="P14" s="751">
        <f t="shared" si="0"/>
        <v>0.4091823288716277</v>
      </c>
    </row>
    <row r="15" spans="1:16">
      <c r="A15" s="674" t="s">
        <v>24</v>
      </c>
      <c r="B15" s="641"/>
      <c r="C15" s="709"/>
      <c r="D15" s="699"/>
      <c r="E15" s="130"/>
      <c r="F15" s="130"/>
      <c r="G15" s="129"/>
      <c r="H15" s="129"/>
      <c r="I15" s="129"/>
      <c r="J15" s="130"/>
      <c r="K15" s="933">
        <v>0</v>
      </c>
      <c r="L15" s="837">
        <v>0</v>
      </c>
      <c r="M15" s="725">
        <v>0</v>
      </c>
      <c r="N15" s="330">
        <f t="shared" si="2"/>
        <v>0</v>
      </c>
      <c r="O15" s="749">
        <f t="shared" si="1"/>
        <v>0</v>
      </c>
      <c r="P15" s="751">
        <f t="shared" si="0"/>
        <v>0</v>
      </c>
    </row>
    <row r="16" spans="1:16">
      <c r="A16" s="674" t="s">
        <v>25</v>
      </c>
      <c r="B16" s="641"/>
      <c r="C16" s="709"/>
      <c r="D16" s="699"/>
      <c r="E16" s="130"/>
      <c r="F16" s="130"/>
      <c r="G16" s="129"/>
      <c r="H16" s="129"/>
      <c r="I16" s="129"/>
      <c r="J16" s="130"/>
      <c r="K16" s="932">
        <v>1</v>
      </c>
      <c r="L16" s="837">
        <v>6</v>
      </c>
      <c r="M16" s="725">
        <v>4</v>
      </c>
      <c r="N16" s="330">
        <f t="shared" si="2"/>
        <v>11</v>
      </c>
      <c r="O16" s="749">
        <f t="shared" si="1"/>
        <v>3.6666666666666665</v>
      </c>
      <c r="P16" s="751">
        <f t="shared" si="0"/>
        <v>7.6288230806574667E-2</v>
      </c>
    </row>
    <row r="17" spans="1:16">
      <c r="A17" s="674" t="s">
        <v>26</v>
      </c>
      <c r="B17" s="641"/>
      <c r="C17" s="709"/>
      <c r="D17" s="699"/>
      <c r="E17" s="130"/>
      <c r="F17" s="130"/>
      <c r="G17" s="129"/>
      <c r="H17" s="129"/>
      <c r="I17" s="129"/>
      <c r="J17" s="130"/>
      <c r="K17" s="932">
        <v>1</v>
      </c>
      <c r="L17" s="837">
        <v>5</v>
      </c>
      <c r="M17" s="725">
        <v>3</v>
      </c>
      <c r="N17" s="330">
        <f t="shared" si="2"/>
        <v>9</v>
      </c>
      <c r="O17" s="749">
        <f t="shared" si="1"/>
        <v>3</v>
      </c>
      <c r="P17" s="751">
        <f t="shared" si="0"/>
        <v>6.241764338719745E-2</v>
      </c>
    </row>
    <row r="18" spans="1:16">
      <c r="A18" s="674" t="s">
        <v>27</v>
      </c>
      <c r="B18" s="641"/>
      <c r="C18" s="709"/>
      <c r="D18" s="699"/>
      <c r="E18" s="130"/>
      <c r="F18" s="130"/>
      <c r="G18" s="129"/>
      <c r="H18" s="129"/>
      <c r="I18" s="129"/>
      <c r="J18" s="130"/>
      <c r="K18" s="932">
        <v>1</v>
      </c>
      <c r="L18" s="837">
        <v>2</v>
      </c>
      <c r="M18" s="725">
        <v>0</v>
      </c>
      <c r="N18" s="330">
        <f t="shared" si="2"/>
        <v>3</v>
      </c>
      <c r="O18" s="749">
        <f t="shared" si="1"/>
        <v>1</v>
      </c>
      <c r="P18" s="751">
        <f t="shared" si="0"/>
        <v>2.0805881129065815E-2</v>
      </c>
    </row>
    <row r="19" spans="1:16">
      <c r="A19" s="674" t="s">
        <v>28</v>
      </c>
      <c r="B19" s="641"/>
      <c r="C19" s="709"/>
      <c r="D19" s="699"/>
      <c r="E19" s="130"/>
      <c r="F19" s="130"/>
      <c r="G19" s="129"/>
      <c r="H19" s="129"/>
      <c r="I19" s="129"/>
      <c r="J19" s="130"/>
      <c r="K19" s="933">
        <v>0</v>
      </c>
      <c r="L19" s="837">
        <v>0</v>
      </c>
      <c r="M19" s="725">
        <v>0</v>
      </c>
      <c r="N19" s="330">
        <f t="shared" si="2"/>
        <v>0</v>
      </c>
      <c r="O19" s="749">
        <f t="shared" si="1"/>
        <v>0</v>
      </c>
      <c r="P19" s="751">
        <f t="shared" si="0"/>
        <v>0</v>
      </c>
    </row>
    <row r="20" spans="1:16">
      <c r="A20" s="674" t="s">
        <v>29</v>
      </c>
      <c r="B20" s="641"/>
      <c r="C20" s="709"/>
      <c r="D20" s="699"/>
      <c r="E20" s="130"/>
      <c r="F20" s="130"/>
      <c r="G20" s="129"/>
      <c r="H20" s="129"/>
      <c r="I20" s="129"/>
      <c r="J20" s="130"/>
      <c r="K20" s="933">
        <v>0</v>
      </c>
      <c r="L20" s="837">
        <v>0</v>
      </c>
      <c r="M20" s="725">
        <v>0</v>
      </c>
      <c r="N20" s="330">
        <f t="shared" si="2"/>
        <v>0</v>
      </c>
      <c r="O20" s="749">
        <f t="shared" si="1"/>
        <v>0</v>
      </c>
      <c r="P20" s="751">
        <f t="shared" si="0"/>
        <v>0</v>
      </c>
    </row>
    <row r="21" spans="1:16">
      <c r="A21" s="674" t="s">
        <v>30</v>
      </c>
      <c r="B21" s="641"/>
      <c r="C21" s="709"/>
      <c r="D21" s="699"/>
      <c r="E21" s="130"/>
      <c r="F21" s="130"/>
      <c r="G21" s="129"/>
      <c r="H21" s="129"/>
      <c r="I21" s="129"/>
      <c r="J21" s="130"/>
      <c r="K21" s="932">
        <v>11</v>
      </c>
      <c r="L21" s="837">
        <v>13</v>
      </c>
      <c r="M21" s="725">
        <v>11</v>
      </c>
      <c r="N21" s="330">
        <f t="shared" si="2"/>
        <v>35</v>
      </c>
      <c r="O21" s="749">
        <f t="shared" si="1"/>
        <v>11.666666666666666</v>
      </c>
      <c r="P21" s="751">
        <f t="shared" si="0"/>
        <v>0.2427352798391012</v>
      </c>
    </row>
    <row r="22" spans="1:16">
      <c r="A22" s="674" t="s">
        <v>31</v>
      </c>
      <c r="B22" s="641"/>
      <c r="C22" s="709"/>
      <c r="D22" s="699"/>
      <c r="E22" s="130"/>
      <c r="F22" s="130"/>
      <c r="G22" s="129"/>
      <c r="H22" s="129"/>
      <c r="I22" s="129"/>
      <c r="J22" s="130"/>
      <c r="K22" s="932">
        <v>270</v>
      </c>
      <c r="L22" s="837">
        <v>265</v>
      </c>
      <c r="M22" s="725">
        <v>301</v>
      </c>
      <c r="N22" s="330">
        <f t="shared" si="2"/>
        <v>836</v>
      </c>
      <c r="O22" s="749">
        <f t="shared" si="1"/>
        <v>278.66666666666669</v>
      </c>
      <c r="P22" s="751">
        <f t="shared" si="0"/>
        <v>5.7979055412996745</v>
      </c>
    </row>
    <row r="23" spans="1:16">
      <c r="A23" s="674" t="s">
        <v>32</v>
      </c>
      <c r="B23" s="641"/>
      <c r="C23" s="709"/>
      <c r="D23" s="699"/>
      <c r="E23" s="130"/>
      <c r="F23" s="130"/>
      <c r="G23" s="129"/>
      <c r="H23" s="129"/>
      <c r="I23" s="129"/>
      <c r="J23" s="130"/>
      <c r="K23" s="933">
        <v>0</v>
      </c>
      <c r="L23" s="837">
        <v>0</v>
      </c>
      <c r="M23" s="1023">
        <v>0</v>
      </c>
      <c r="N23" s="330">
        <f t="shared" si="2"/>
        <v>0</v>
      </c>
      <c r="O23" s="749">
        <f t="shared" si="1"/>
        <v>0</v>
      </c>
      <c r="P23" s="751">
        <f t="shared" si="0"/>
        <v>0</v>
      </c>
    </row>
    <row r="24" spans="1:16">
      <c r="A24" s="674" t="s">
        <v>33</v>
      </c>
      <c r="B24" s="641"/>
      <c r="C24" s="709"/>
      <c r="D24" s="699"/>
      <c r="E24" s="130"/>
      <c r="F24" s="130"/>
      <c r="G24" s="129"/>
      <c r="H24" s="129"/>
      <c r="I24" s="129"/>
      <c r="J24" s="130"/>
      <c r="K24" s="932">
        <v>1</v>
      </c>
      <c r="L24" s="837">
        <v>0</v>
      </c>
      <c r="M24" s="1023">
        <v>0</v>
      </c>
      <c r="N24" s="330">
        <f t="shared" si="2"/>
        <v>1</v>
      </c>
      <c r="O24" s="749">
        <f t="shared" si="1"/>
        <v>0.33333333333333331</v>
      </c>
      <c r="P24" s="751">
        <f t="shared" si="0"/>
        <v>6.9352937096886051E-3</v>
      </c>
    </row>
    <row r="25" spans="1:16">
      <c r="A25" s="674" t="s">
        <v>34</v>
      </c>
      <c r="B25" s="641"/>
      <c r="C25" s="709"/>
      <c r="D25" s="699"/>
      <c r="E25" s="130"/>
      <c r="F25" s="130"/>
      <c r="G25" s="129"/>
      <c r="H25" s="129"/>
      <c r="I25" s="129"/>
      <c r="J25" s="130"/>
      <c r="K25" s="932">
        <v>8</v>
      </c>
      <c r="L25" s="837">
        <v>2</v>
      </c>
      <c r="M25" s="1023">
        <v>2</v>
      </c>
      <c r="N25" s="330">
        <f t="shared" si="2"/>
        <v>12</v>
      </c>
      <c r="O25" s="749">
        <f t="shared" si="1"/>
        <v>4</v>
      </c>
      <c r="P25" s="751">
        <f t="shared" si="0"/>
        <v>8.3223524516263261E-2</v>
      </c>
    </row>
    <row r="26" spans="1:16">
      <c r="A26" s="647" t="s">
        <v>373</v>
      </c>
      <c r="B26" s="641"/>
      <c r="C26" s="709"/>
      <c r="D26" s="699"/>
      <c r="E26" s="130"/>
      <c r="F26" s="130"/>
      <c r="G26" s="129"/>
      <c r="H26" s="129"/>
      <c r="I26" s="129"/>
      <c r="J26" s="130"/>
      <c r="K26" s="932">
        <v>37</v>
      </c>
      <c r="L26" s="837">
        <v>11</v>
      </c>
      <c r="M26" s="725">
        <v>11</v>
      </c>
      <c r="N26" s="330">
        <f t="shared" si="2"/>
        <v>59</v>
      </c>
      <c r="O26" s="749">
        <f t="shared" si="1"/>
        <v>19.666666666666668</v>
      </c>
      <c r="P26" s="751">
        <f t="shared" si="0"/>
        <v>0.4091823288716277</v>
      </c>
    </row>
    <row r="27" spans="1:16">
      <c r="A27" s="647" t="s">
        <v>374</v>
      </c>
      <c r="B27" s="641"/>
      <c r="C27" s="709"/>
      <c r="D27" s="699"/>
      <c r="E27" s="130"/>
      <c r="F27" s="130"/>
      <c r="G27" s="129"/>
      <c r="H27" s="129"/>
      <c r="I27" s="129"/>
      <c r="J27" s="130"/>
      <c r="K27" s="932">
        <v>5</v>
      </c>
      <c r="L27" s="837">
        <v>0</v>
      </c>
      <c r="M27" s="725">
        <v>4</v>
      </c>
      <c r="N27" s="330">
        <f t="shared" si="2"/>
        <v>9</v>
      </c>
      <c r="O27" s="749">
        <f t="shared" si="1"/>
        <v>3</v>
      </c>
      <c r="P27" s="751">
        <f t="shared" si="0"/>
        <v>6.241764338719745E-2</v>
      </c>
    </row>
    <row r="28" spans="1:16">
      <c r="A28" s="674" t="s">
        <v>35</v>
      </c>
      <c r="B28" s="641"/>
      <c r="C28" s="709"/>
      <c r="D28" s="699"/>
      <c r="E28" s="130"/>
      <c r="F28" s="130"/>
      <c r="G28" s="129"/>
      <c r="H28" s="129"/>
      <c r="I28" s="129"/>
      <c r="J28" s="130"/>
      <c r="K28" s="932">
        <v>3</v>
      </c>
      <c r="L28" s="837">
        <v>2</v>
      </c>
      <c r="M28" s="725">
        <v>0</v>
      </c>
      <c r="N28" s="330">
        <f t="shared" si="2"/>
        <v>5</v>
      </c>
      <c r="O28" s="749">
        <f t="shared" si="1"/>
        <v>1.6666666666666667</v>
      </c>
      <c r="P28" s="751">
        <f t="shared" si="0"/>
        <v>3.4676468548443029E-2</v>
      </c>
    </row>
    <row r="29" spans="1:16" s="639" customFormat="1">
      <c r="A29" s="674" t="s">
        <v>356</v>
      </c>
      <c r="B29" s="641"/>
      <c r="C29" s="709"/>
      <c r="D29" s="699"/>
      <c r="E29" s="130"/>
      <c r="F29" s="130"/>
      <c r="G29" s="129"/>
      <c r="H29" s="129"/>
      <c r="I29" s="129"/>
      <c r="J29" s="130"/>
      <c r="K29" s="932">
        <v>3</v>
      </c>
      <c r="L29" s="837">
        <v>0</v>
      </c>
      <c r="M29" s="725">
        <v>4</v>
      </c>
      <c r="N29" s="330">
        <f t="shared" si="2"/>
        <v>7</v>
      </c>
      <c r="O29" s="749">
        <f t="shared" si="1"/>
        <v>2.3333333333333335</v>
      </c>
      <c r="P29" s="751">
        <f t="shared" si="0"/>
        <v>4.8547055967820239E-2</v>
      </c>
    </row>
    <row r="30" spans="1:16">
      <c r="A30" s="647" t="s">
        <v>386</v>
      </c>
      <c r="B30" s="641"/>
      <c r="C30" s="709"/>
      <c r="D30" s="699"/>
      <c r="E30" s="130"/>
      <c r="F30" s="130"/>
      <c r="G30" s="129"/>
      <c r="H30" s="129"/>
      <c r="I30" s="129"/>
      <c r="J30" s="130"/>
      <c r="K30" s="932">
        <v>2</v>
      </c>
      <c r="L30" s="837">
        <v>4</v>
      </c>
      <c r="M30" s="725">
        <v>1</v>
      </c>
      <c r="N30" s="330">
        <f t="shared" si="2"/>
        <v>7</v>
      </c>
      <c r="O30" s="749">
        <f t="shared" si="1"/>
        <v>2.3333333333333335</v>
      </c>
      <c r="P30" s="751">
        <f t="shared" si="0"/>
        <v>4.8547055967820239E-2</v>
      </c>
    </row>
    <row r="31" spans="1:16">
      <c r="A31" s="674" t="s">
        <v>36</v>
      </c>
      <c r="B31" s="641"/>
      <c r="C31" s="709"/>
      <c r="D31" s="699"/>
      <c r="E31" s="130"/>
      <c r="F31" s="130"/>
      <c r="G31" s="129"/>
      <c r="H31" s="129"/>
      <c r="I31" s="129"/>
      <c r="J31" s="130"/>
      <c r="K31" s="932">
        <v>1</v>
      </c>
      <c r="L31" s="837">
        <v>2</v>
      </c>
      <c r="M31" s="725">
        <v>0</v>
      </c>
      <c r="N31" s="330">
        <f t="shared" si="2"/>
        <v>3</v>
      </c>
      <c r="O31" s="749">
        <f t="shared" si="1"/>
        <v>1</v>
      </c>
      <c r="P31" s="751">
        <f t="shared" si="0"/>
        <v>2.0805881129065815E-2</v>
      </c>
    </row>
    <row r="32" spans="1:16">
      <c r="A32" s="674" t="s">
        <v>37</v>
      </c>
      <c r="B32" s="641"/>
      <c r="C32" s="709"/>
      <c r="D32" s="699"/>
      <c r="E32" s="130"/>
      <c r="F32" s="130"/>
      <c r="G32" s="129"/>
      <c r="H32" s="129"/>
      <c r="I32" s="129"/>
      <c r="J32" s="130"/>
      <c r="K32" s="932">
        <v>88</v>
      </c>
      <c r="L32" s="837">
        <v>77</v>
      </c>
      <c r="M32" s="725">
        <v>56</v>
      </c>
      <c r="N32" s="330">
        <f t="shared" si="2"/>
        <v>221</v>
      </c>
      <c r="O32" s="749">
        <f t="shared" si="1"/>
        <v>73.666666666666671</v>
      </c>
      <c r="P32" s="751">
        <f t="shared" si="0"/>
        <v>1.5326999098411818</v>
      </c>
    </row>
    <row r="33" spans="1:16">
      <c r="A33" s="674" t="s">
        <v>38</v>
      </c>
      <c r="B33" s="641"/>
      <c r="C33" s="709"/>
      <c r="D33" s="699"/>
      <c r="E33" s="130"/>
      <c r="F33" s="130"/>
      <c r="G33" s="129"/>
      <c r="H33" s="129"/>
      <c r="I33" s="129"/>
      <c r="J33" s="130"/>
      <c r="K33" s="933">
        <v>0</v>
      </c>
      <c r="L33" s="837">
        <v>0</v>
      </c>
      <c r="M33" s="725">
        <v>0</v>
      </c>
      <c r="N33" s="330">
        <f t="shared" si="2"/>
        <v>0</v>
      </c>
      <c r="O33" s="749">
        <f t="shared" si="1"/>
        <v>0</v>
      </c>
      <c r="P33" s="751">
        <f t="shared" si="0"/>
        <v>0</v>
      </c>
    </row>
    <row r="34" spans="1:16">
      <c r="A34" s="674" t="s">
        <v>39</v>
      </c>
      <c r="B34" s="641"/>
      <c r="C34" s="709"/>
      <c r="D34" s="699"/>
      <c r="E34" s="130"/>
      <c r="F34" s="130"/>
      <c r="G34" s="129"/>
      <c r="H34" s="129"/>
      <c r="I34" s="129"/>
      <c r="J34" s="130"/>
      <c r="K34" s="933">
        <v>0</v>
      </c>
      <c r="L34" s="837">
        <v>0</v>
      </c>
      <c r="M34" s="725">
        <v>0</v>
      </c>
      <c r="N34" s="330">
        <f t="shared" si="2"/>
        <v>0</v>
      </c>
      <c r="O34" s="749">
        <f t="shared" si="1"/>
        <v>0</v>
      </c>
      <c r="P34" s="751">
        <f t="shared" si="0"/>
        <v>0</v>
      </c>
    </row>
    <row r="35" spans="1:16">
      <c r="A35" s="674" t="s">
        <v>40</v>
      </c>
      <c r="B35" s="641"/>
      <c r="C35" s="709"/>
      <c r="D35" s="699"/>
      <c r="E35" s="130"/>
      <c r="F35" s="130"/>
      <c r="G35" s="129"/>
      <c r="H35" s="129"/>
      <c r="I35" s="129"/>
      <c r="J35" s="130"/>
      <c r="K35" s="932">
        <v>313</v>
      </c>
      <c r="L35" s="837">
        <v>290</v>
      </c>
      <c r="M35" s="725">
        <v>263</v>
      </c>
      <c r="N35" s="330">
        <f t="shared" si="2"/>
        <v>866</v>
      </c>
      <c r="O35" s="749">
        <f t="shared" si="1"/>
        <v>288.66666666666669</v>
      </c>
      <c r="P35" s="751">
        <f t="shared" si="0"/>
        <v>6.0059643525903326</v>
      </c>
    </row>
    <row r="36" spans="1:16">
      <c r="A36" s="674" t="s">
        <v>41</v>
      </c>
      <c r="B36" s="641"/>
      <c r="C36" s="709"/>
      <c r="D36" s="699"/>
      <c r="E36" s="130"/>
      <c r="F36" s="130"/>
      <c r="G36" s="129"/>
      <c r="H36" s="129"/>
      <c r="I36" s="129"/>
      <c r="J36" s="130"/>
      <c r="K36" s="933">
        <v>0</v>
      </c>
      <c r="L36" s="837">
        <v>0</v>
      </c>
      <c r="M36" s="725">
        <v>0</v>
      </c>
      <c r="N36" s="330">
        <f t="shared" si="2"/>
        <v>0</v>
      </c>
      <c r="O36" s="749">
        <f t="shared" si="1"/>
        <v>0</v>
      </c>
      <c r="P36" s="751">
        <f t="shared" si="0"/>
        <v>0</v>
      </c>
    </row>
    <row r="37" spans="1:16">
      <c r="A37" s="674" t="s">
        <v>42</v>
      </c>
      <c r="B37" s="641"/>
      <c r="C37" s="709"/>
      <c r="D37" s="699"/>
      <c r="E37" s="130"/>
      <c r="F37" s="130"/>
      <c r="G37" s="129"/>
      <c r="H37" s="129"/>
      <c r="I37" s="129"/>
      <c r="J37" s="130"/>
      <c r="K37" s="932">
        <v>844</v>
      </c>
      <c r="L37" s="837">
        <v>484</v>
      </c>
      <c r="M37" s="725">
        <v>501</v>
      </c>
      <c r="N37" s="330">
        <f t="shared" si="2"/>
        <v>1829</v>
      </c>
      <c r="O37" s="749">
        <f t="shared" si="1"/>
        <v>609.66666666666663</v>
      </c>
      <c r="P37" s="751">
        <f t="shared" ref="P37:P68" si="3">(N37/$N$187)*100</f>
        <v>12.68465219502046</v>
      </c>
    </row>
    <row r="38" spans="1:16">
      <c r="A38" s="674" t="s">
        <v>43</v>
      </c>
      <c r="B38" s="641"/>
      <c r="C38" s="709"/>
      <c r="D38" s="699"/>
      <c r="E38" s="130"/>
      <c r="F38" s="130"/>
      <c r="G38" s="129"/>
      <c r="H38" s="129"/>
      <c r="I38" s="129"/>
      <c r="J38" s="130"/>
      <c r="K38" s="932">
        <v>9</v>
      </c>
      <c r="L38" s="837">
        <v>3</v>
      </c>
      <c r="M38" s="725">
        <v>1</v>
      </c>
      <c r="N38" s="330">
        <f t="shared" si="2"/>
        <v>13</v>
      </c>
      <c r="O38" s="749">
        <f t="shared" si="1"/>
        <v>4.333333333333333</v>
      </c>
      <c r="P38" s="751">
        <f t="shared" si="3"/>
        <v>9.015881822595187E-2</v>
      </c>
    </row>
    <row r="39" spans="1:16">
      <c r="A39" s="674" t="s">
        <v>44</v>
      </c>
      <c r="B39" s="641"/>
      <c r="C39" s="709"/>
      <c r="D39" s="699"/>
      <c r="E39" s="130"/>
      <c r="F39" s="130"/>
      <c r="G39" s="129"/>
      <c r="H39" s="129"/>
      <c r="I39" s="129"/>
      <c r="J39" s="130"/>
      <c r="K39" s="932">
        <v>157</v>
      </c>
      <c r="L39" s="837">
        <v>139</v>
      </c>
      <c r="M39" s="725">
        <v>91</v>
      </c>
      <c r="N39" s="330">
        <f t="shared" si="2"/>
        <v>387</v>
      </c>
      <c r="O39" s="749">
        <f t="shared" si="1"/>
        <v>129</v>
      </c>
      <c r="P39" s="751">
        <f t="shared" si="3"/>
        <v>2.6839586656494903</v>
      </c>
    </row>
    <row r="40" spans="1:16">
      <c r="A40" s="674" t="s">
        <v>45</v>
      </c>
      <c r="B40" s="641"/>
      <c r="C40" s="709"/>
      <c r="D40" s="699"/>
      <c r="E40" s="130"/>
      <c r="F40" s="130"/>
      <c r="G40" s="129"/>
      <c r="H40" s="129"/>
      <c r="I40" s="129"/>
      <c r="J40" s="130"/>
      <c r="K40" s="932">
        <v>155</v>
      </c>
      <c r="L40" s="837">
        <v>123</v>
      </c>
      <c r="M40" s="725">
        <v>81</v>
      </c>
      <c r="N40" s="330">
        <f t="shared" si="2"/>
        <v>359</v>
      </c>
      <c r="O40" s="749">
        <f t="shared" si="1"/>
        <v>119.66666666666667</v>
      </c>
      <c r="P40" s="751">
        <f t="shared" si="3"/>
        <v>2.4897704417782092</v>
      </c>
    </row>
    <row r="41" spans="1:16">
      <c r="A41" s="674" t="s">
        <v>46</v>
      </c>
      <c r="B41" s="641"/>
      <c r="C41" s="709"/>
      <c r="D41" s="699"/>
      <c r="E41" s="130"/>
      <c r="F41" s="130"/>
      <c r="G41" s="129"/>
      <c r="H41" s="129"/>
      <c r="I41" s="129"/>
      <c r="J41" s="130"/>
      <c r="K41" s="932">
        <v>1</v>
      </c>
      <c r="L41" s="837">
        <v>0</v>
      </c>
      <c r="M41" s="725">
        <v>0</v>
      </c>
      <c r="N41" s="330">
        <f t="shared" si="2"/>
        <v>1</v>
      </c>
      <c r="O41" s="749">
        <f t="shared" si="1"/>
        <v>0.33333333333333331</v>
      </c>
      <c r="P41" s="751">
        <f t="shared" si="3"/>
        <v>6.9352937096886051E-3</v>
      </c>
    </row>
    <row r="42" spans="1:16">
      <c r="A42" s="674" t="s">
        <v>47</v>
      </c>
      <c r="B42" s="641"/>
      <c r="C42" s="709"/>
      <c r="D42" s="699"/>
      <c r="E42" s="130"/>
      <c r="F42" s="130"/>
      <c r="G42" s="129"/>
      <c r="H42" s="129"/>
      <c r="I42" s="129"/>
      <c r="J42" s="130"/>
      <c r="K42" s="932">
        <v>4</v>
      </c>
      <c r="L42" s="837">
        <v>3</v>
      </c>
      <c r="M42" s="725">
        <v>5</v>
      </c>
      <c r="N42" s="330">
        <f t="shared" si="2"/>
        <v>12</v>
      </c>
      <c r="O42" s="749">
        <f t="shared" si="1"/>
        <v>4</v>
      </c>
      <c r="P42" s="751">
        <f t="shared" si="3"/>
        <v>8.3223524516263261E-2</v>
      </c>
    </row>
    <row r="43" spans="1:16" s="639" customFormat="1">
      <c r="A43" s="647" t="s">
        <v>375</v>
      </c>
      <c r="B43" s="641"/>
      <c r="C43" s="709"/>
      <c r="D43" s="699"/>
      <c r="E43" s="130"/>
      <c r="F43" s="130"/>
      <c r="G43" s="129"/>
      <c r="H43" s="129"/>
      <c r="I43" s="129"/>
      <c r="J43" s="130"/>
      <c r="K43" s="932">
        <v>1</v>
      </c>
      <c r="L43" s="837">
        <v>1</v>
      </c>
      <c r="M43" s="725">
        <v>0</v>
      </c>
      <c r="N43" s="330">
        <f t="shared" si="2"/>
        <v>2</v>
      </c>
      <c r="O43" s="749">
        <f t="shared" si="1"/>
        <v>0.66666666666666663</v>
      </c>
      <c r="P43" s="751">
        <f t="shared" si="3"/>
        <v>1.387058741937721E-2</v>
      </c>
    </row>
    <row r="44" spans="1:16">
      <c r="A44" s="674" t="s">
        <v>48</v>
      </c>
      <c r="B44" s="641"/>
      <c r="C44" s="709"/>
      <c r="D44" s="699"/>
      <c r="E44" s="130"/>
      <c r="F44" s="130"/>
      <c r="G44" s="129"/>
      <c r="H44" s="129"/>
      <c r="I44" s="129"/>
      <c r="J44" s="130"/>
      <c r="K44" s="932">
        <v>11</v>
      </c>
      <c r="L44" s="837">
        <v>18</v>
      </c>
      <c r="M44" s="725">
        <v>28</v>
      </c>
      <c r="N44" s="330">
        <f t="shared" si="2"/>
        <v>57</v>
      </c>
      <c r="O44" s="749">
        <f t="shared" si="1"/>
        <v>19</v>
      </c>
      <c r="P44" s="751">
        <f t="shared" si="3"/>
        <v>0.39531174145225045</v>
      </c>
    </row>
    <row r="45" spans="1:16">
      <c r="A45" s="674" t="s">
        <v>49</v>
      </c>
      <c r="B45" s="641"/>
      <c r="C45" s="709"/>
      <c r="D45" s="699"/>
      <c r="E45" s="130"/>
      <c r="F45" s="130"/>
      <c r="G45" s="129"/>
      <c r="H45" s="129"/>
      <c r="I45" s="129"/>
      <c r="J45" s="130"/>
      <c r="K45" s="932">
        <v>3</v>
      </c>
      <c r="L45" s="837">
        <v>0</v>
      </c>
      <c r="M45" s="725">
        <v>4</v>
      </c>
      <c r="N45" s="330">
        <f t="shared" si="2"/>
        <v>7</v>
      </c>
      <c r="O45" s="749">
        <f t="shared" si="1"/>
        <v>2.3333333333333335</v>
      </c>
      <c r="P45" s="751">
        <f t="shared" si="3"/>
        <v>4.8547055967820239E-2</v>
      </c>
    </row>
    <row r="46" spans="1:16">
      <c r="A46" s="674" t="s">
        <v>50</v>
      </c>
      <c r="B46" s="641"/>
      <c r="C46" s="709"/>
      <c r="D46" s="699"/>
      <c r="E46" s="130"/>
      <c r="F46" s="130"/>
      <c r="G46" s="129"/>
      <c r="H46" s="129"/>
      <c r="I46" s="129"/>
      <c r="J46" s="130"/>
      <c r="K46" s="932">
        <v>2</v>
      </c>
      <c r="L46" s="837">
        <v>8</v>
      </c>
      <c r="M46" s="725">
        <v>4</v>
      </c>
      <c r="N46" s="330">
        <f t="shared" si="2"/>
        <v>14</v>
      </c>
      <c r="O46" s="749">
        <f t="shared" si="1"/>
        <v>4.666666666666667</v>
      </c>
      <c r="P46" s="751">
        <f t="shared" si="3"/>
        <v>9.7094111935640479E-2</v>
      </c>
    </row>
    <row r="47" spans="1:16">
      <c r="A47" s="674" t="s">
        <v>51</v>
      </c>
      <c r="B47" s="641"/>
      <c r="C47" s="709"/>
      <c r="D47" s="699"/>
      <c r="E47" s="130"/>
      <c r="F47" s="130"/>
      <c r="G47" s="129"/>
      <c r="H47" s="129"/>
      <c r="I47" s="129"/>
      <c r="J47" s="130"/>
      <c r="K47" s="932">
        <v>5</v>
      </c>
      <c r="L47" s="837">
        <v>5</v>
      </c>
      <c r="M47" s="725">
        <v>3</v>
      </c>
      <c r="N47" s="330">
        <f t="shared" si="2"/>
        <v>13</v>
      </c>
      <c r="O47" s="749">
        <f t="shared" si="1"/>
        <v>4.333333333333333</v>
      </c>
      <c r="P47" s="751">
        <f t="shared" si="3"/>
        <v>9.015881822595187E-2</v>
      </c>
    </row>
    <row r="48" spans="1:16">
      <c r="A48" s="674" t="s">
        <v>52</v>
      </c>
      <c r="B48" s="641"/>
      <c r="C48" s="709"/>
      <c r="D48" s="699"/>
      <c r="E48" s="130"/>
      <c r="F48" s="130"/>
      <c r="G48" s="129"/>
      <c r="H48" s="129"/>
      <c r="I48" s="129"/>
      <c r="J48" s="130"/>
      <c r="K48" s="932">
        <v>14</v>
      </c>
      <c r="L48" s="837">
        <v>20</v>
      </c>
      <c r="M48" s="725">
        <v>26</v>
      </c>
      <c r="N48" s="330">
        <f t="shared" si="2"/>
        <v>60</v>
      </c>
      <c r="O48" s="749">
        <f t="shared" si="1"/>
        <v>20</v>
      </c>
      <c r="P48" s="751">
        <f t="shared" si="3"/>
        <v>0.41611762258131635</v>
      </c>
    </row>
    <row r="49" spans="1:16">
      <c r="A49" s="674" t="s">
        <v>53</v>
      </c>
      <c r="B49" s="641"/>
      <c r="C49" s="709"/>
      <c r="D49" s="699"/>
      <c r="E49" s="130"/>
      <c r="F49" s="130"/>
      <c r="G49" s="129"/>
      <c r="H49" s="129"/>
      <c r="I49" s="129"/>
      <c r="J49" s="130"/>
      <c r="K49" s="932">
        <v>31</v>
      </c>
      <c r="L49" s="837">
        <v>16</v>
      </c>
      <c r="M49" s="725">
        <v>13</v>
      </c>
      <c r="N49" s="330">
        <f t="shared" si="2"/>
        <v>60</v>
      </c>
      <c r="O49" s="749">
        <f t="shared" si="1"/>
        <v>20</v>
      </c>
      <c r="P49" s="751">
        <f t="shared" si="3"/>
        <v>0.41611762258131635</v>
      </c>
    </row>
    <row r="50" spans="1:16">
      <c r="A50" s="674" t="s">
        <v>54</v>
      </c>
      <c r="B50" s="641"/>
      <c r="C50" s="709"/>
      <c r="D50" s="699"/>
      <c r="E50" s="130"/>
      <c r="F50" s="130"/>
      <c r="G50" s="129"/>
      <c r="H50" s="129"/>
      <c r="I50" s="129"/>
      <c r="J50" s="130"/>
      <c r="K50" s="933">
        <v>0</v>
      </c>
      <c r="L50" s="837">
        <v>0</v>
      </c>
      <c r="M50" s="725">
        <v>0</v>
      </c>
      <c r="N50" s="330">
        <f t="shared" si="2"/>
        <v>0</v>
      </c>
      <c r="O50" s="749">
        <f t="shared" si="1"/>
        <v>0</v>
      </c>
      <c r="P50" s="751">
        <f t="shared" si="3"/>
        <v>0</v>
      </c>
    </row>
    <row r="51" spans="1:16">
      <c r="A51" s="674" t="s">
        <v>55</v>
      </c>
      <c r="B51" s="641"/>
      <c r="C51" s="709"/>
      <c r="D51" s="699"/>
      <c r="E51" s="130"/>
      <c r="F51" s="130"/>
      <c r="G51" s="129"/>
      <c r="H51" s="129"/>
      <c r="I51" s="129"/>
      <c r="J51" s="130"/>
      <c r="K51" s="932">
        <v>10</v>
      </c>
      <c r="L51" s="837">
        <v>4</v>
      </c>
      <c r="M51" s="725">
        <v>7</v>
      </c>
      <c r="N51" s="330">
        <f t="shared" si="2"/>
        <v>21</v>
      </c>
      <c r="O51" s="749">
        <f t="shared" si="1"/>
        <v>7</v>
      </c>
      <c r="P51" s="751">
        <f t="shared" si="3"/>
        <v>0.14564116790346071</v>
      </c>
    </row>
    <row r="52" spans="1:16">
      <c r="A52" s="674" t="s">
        <v>56</v>
      </c>
      <c r="B52" s="641"/>
      <c r="C52" s="709"/>
      <c r="D52" s="699"/>
      <c r="E52" s="130"/>
      <c r="F52" s="130"/>
      <c r="G52" s="129"/>
      <c r="H52" s="129"/>
      <c r="I52" s="129"/>
      <c r="J52" s="130"/>
      <c r="K52" s="933">
        <v>0</v>
      </c>
      <c r="L52" s="837">
        <v>3</v>
      </c>
      <c r="M52" s="725">
        <v>1</v>
      </c>
      <c r="N52" s="330">
        <f t="shared" si="2"/>
        <v>4</v>
      </c>
      <c r="O52" s="749">
        <f t="shared" si="1"/>
        <v>1.3333333333333333</v>
      </c>
      <c r="P52" s="751">
        <f t="shared" si="3"/>
        <v>2.774117483875442E-2</v>
      </c>
    </row>
    <row r="53" spans="1:16">
      <c r="A53" s="674" t="s">
        <v>57</v>
      </c>
      <c r="B53" s="641"/>
      <c r="C53" s="709"/>
      <c r="D53" s="699"/>
      <c r="E53" s="130"/>
      <c r="F53" s="130"/>
      <c r="G53" s="129"/>
      <c r="H53" s="129"/>
      <c r="I53" s="129"/>
      <c r="J53" s="130"/>
      <c r="K53" s="932">
        <v>9</v>
      </c>
      <c r="L53" s="837">
        <v>11</v>
      </c>
      <c r="M53" s="725">
        <v>20</v>
      </c>
      <c r="N53" s="330">
        <f t="shared" si="2"/>
        <v>40</v>
      </c>
      <c r="O53" s="749">
        <f t="shared" si="1"/>
        <v>13.333333333333334</v>
      </c>
      <c r="P53" s="751">
        <f t="shared" si="3"/>
        <v>0.27741174838754423</v>
      </c>
    </row>
    <row r="54" spans="1:16">
      <c r="A54" s="674" t="s">
        <v>58</v>
      </c>
      <c r="B54" s="641"/>
      <c r="C54" s="709"/>
      <c r="D54" s="699"/>
      <c r="E54" s="130"/>
      <c r="F54" s="130"/>
      <c r="G54" s="129"/>
      <c r="H54" s="129"/>
      <c r="I54" s="129"/>
      <c r="J54" s="130"/>
      <c r="K54" s="932">
        <v>12</v>
      </c>
      <c r="L54" s="837">
        <v>14</v>
      </c>
      <c r="M54" s="725">
        <v>9</v>
      </c>
      <c r="N54" s="330">
        <f t="shared" si="2"/>
        <v>35</v>
      </c>
      <c r="O54" s="749">
        <f t="shared" si="1"/>
        <v>11.666666666666666</v>
      </c>
      <c r="P54" s="751">
        <f t="shared" si="3"/>
        <v>0.2427352798391012</v>
      </c>
    </row>
    <row r="55" spans="1:16">
      <c r="A55" s="674" t="s">
        <v>59</v>
      </c>
      <c r="B55" s="641"/>
      <c r="C55" s="709"/>
      <c r="D55" s="699"/>
      <c r="E55" s="130"/>
      <c r="F55" s="130"/>
      <c r="G55" s="129"/>
      <c r="H55" s="129"/>
      <c r="I55" s="129"/>
      <c r="J55" s="130"/>
      <c r="K55" s="933">
        <v>0</v>
      </c>
      <c r="L55" s="837">
        <v>1</v>
      </c>
      <c r="M55" s="725">
        <v>3</v>
      </c>
      <c r="N55" s="330">
        <f t="shared" si="2"/>
        <v>4</v>
      </c>
      <c r="O55" s="749">
        <f t="shared" si="1"/>
        <v>1.3333333333333333</v>
      </c>
      <c r="P55" s="751">
        <f t="shared" si="3"/>
        <v>2.774117483875442E-2</v>
      </c>
    </row>
    <row r="56" spans="1:16">
      <c r="A56" s="674" t="s">
        <v>60</v>
      </c>
      <c r="B56" s="641"/>
      <c r="C56" s="709"/>
      <c r="D56" s="699"/>
      <c r="E56" s="130"/>
      <c r="F56" s="130"/>
      <c r="G56" s="129"/>
      <c r="H56" s="129"/>
      <c r="I56" s="129"/>
      <c r="J56" s="130"/>
      <c r="K56" s="933">
        <v>0</v>
      </c>
      <c r="L56" s="837">
        <v>1</v>
      </c>
      <c r="M56" s="725">
        <v>2</v>
      </c>
      <c r="N56" s="330">
        <f t="shared" si="2"/>
        <v>3</v>
      </c>
      <c r="O56" s="749">
        <f t="shared" si="1"/>
        <v>1</v>
      </c>
      <c r="P56" s="751">
        <f t="shared" si="3"/>
        <v>2.0805881129065815E-2</v>
      </c>
    </row>
    <row r="57" spans="1:16">
      <c r="A57" s="674" t="s">
        <v>61</v>
      </c>
      <c r="B57" s="641"/>
      <c r="C57" s="709"/>
      <c r="D57" s="699"/>
      <c r="E57" s="130"/>
      <c r="F57" s="130"/>
      <c r="G57" s="129"/>
      <c r="H57" s="129"/>
      <c r="I57" s="129"/>
      <c r="J57" s="130"/>
      <c r="K57" s="933">
        <v>0</v>
      </c>
      <c r="L57" s="837">
        <v>0</v>
      </c>
      <c r="M57" s="725">
        <v>0</v>
      </c>
      <c r="N57" s="330">
        <f t="shared" si="2"/>
        <v>0</v>
      </c>
      <c r="O57" s="749">
        <f t="shared" si="1"/>
        <v>0</v>
      </c>
      <c r="P57" s="751">
        <f t="shared" si="3"/>
        <v>0</v>
      </c>
    </row>
    <row r="58" spans="1:16">
      <c r="A58" s="674" t="s">
        <v>62</v>
      </c>
      <c r="B58" s="641"/>
      <c r="C58" s="709"/>
      <c r="D58" s="699"/>
      <c r="E58" s="130"/>
      <c r="F58" s="130"/>
      <c r="G58" s="129"/>
      <c r="H58" s="129"/>
      <c r="I58" s="129"/>
      <c r="J58" s="130"/>
      <c r="K58" s="932">
        <v>2</v>
      </c>
      <c r="L58" s="837">
        <v>2</v>
      </c>
      <c r="M58" s="725">
        <v>0</v>
      </c>
      <c r="N58" s="330">
        <f t="shared" si="2"/>
        <v>4</v>
      </c>
      <c r="O58" s="749">
        <f t="shared" si="1"/>
        <v>1.3333333333333333</v>
      </c>
      <c r="P58" s="751">
        <f t="shared" si="3"/>
        <v>2.774117483875442E-2</v>
      </c>
    </row>
    <row r="59" spans="1:16">
      <c r="A59" s="674" t="s">
        <v>63</v>
      </c>
      <c r="B59" s="641"/>
      <c r="C59" s="709"/>
      <c r="D59" s="699"/>
      <c r="E59" s="130"/>
      <c r="F59" s="130"/>
      <c r="G59" s="129"/>
      <c r="H59" s="129"/>
      <c r="I59" s="129"/>
      <c r="J59" s="130"/>
      <c r="K59" s="933">
        <v>0</v>
      </c>
      <c r="L59" s="837">
        <v>0</v>
      </c>
      <c r="M59" s="725">
        <v>0</v>
      </c>
      <c r="N59" s="330">
        <f t="shared" si="2"/>
        <v>0</v>
      </c>
      <c r="O59" s="749">
        <f t="shared" si="1"/>
        <v>0</v>
      </c>
      <c r="P59" s="751">
        <f t="shared" si="3"/>
        <v>0</v>
      </c>
    </row>
    <row r="60" spans="1:16">
      <c r="A60" s="674" t="s">
        <v>64</v>
      </c>
      <c r="B60" s="641"/>
      <c r="C60" s="709"/>
      <c r="D60" s="699"/>
      <c r="E60" s="130"/>
      <c r="F60" s="130"/>
      <c r="G60" s="129"/>
      <c r="H60" s="129"/>
      <c r="I60" s="129"/>
      <c r="J60" s="130"/>
      <c r="K60" s="932">
        <v>7</v>
      </c>
      <c r="L60" s="837">
        <v>4</v>
      </c>
      <c r="M60" s="725">
        <v>7</v>
      </c>
      <c r="N60" s="330">
        <f t="shared" si="2"/>
        <v>18</v>
      </c>
      <c r="O60" s="749">
        <f t="shared" si="1"/>
        <v>6</v>
      </c>
      <c r="P60" s="751">
        <f t="shared" si="3"/>
        <v>0.1248352867743949</v>
      </c>
    </row>
    <row r="61" spans="1:16">
      <c r="A61" s="674" t="s">
        <v>65</v>
      </c>
      <c r="B61" s="641"/>
      <c r="C61" s="709"/>
      <c r="D61" s="699"/>
      <c r="E61" s="130"/>
      <c r="F61" s="130"/>
      <c r="G61" s="129"/>
      <c r="H61" s="129"/>
      <c r="I61" s="129"/>
      <c r="J61" s="130"/>
      <c r="K61" s="932">
        <v>2</v>
      </c>
      <c r="L61" s="837">
        <v>3</v>
      </c>
      <c r="M61" s="725">
        <v>2</v>
      </c>
      <c r="N61" s="330">
        <f t="shared" si="2"/>
        <v>7</v>
      </c>
      <c r="O61" s="749">
        <f t="shared" si="1"/>
        <v>2.3333333333333335</v>
      </c>
      <c r="P61" s="751">
        <f t="shared" si="3"/>
        <v>4.8547055967820239E-2</v>
      </c>
    </row>
    <row r="62" spans="1:16">
      <c r="A62" s="674" t="s">
        <v>66</v>
      </c>
      <c r="B62" s="641"/>
      <c r="C62" s="709"/>
      <c r="D62" s="699"/>
      <c r="E62" s="130"/>
      <c r="F62" s="130"/>
      <c r="G62" s="129"/>
      <c r="H62" s="129"/>
      <c r="I62" s="129"/>
      <c r="J62" s="130"/>
      <c r="K62" s="932">
        <v>32</v>
      </c>
      <c r="L62" s="837">
        <v>51</v>
      </c>
      <c r="M62" s="725">
        <v>30</v>
      </c>
      <c r="N62" s="330">
        <f t="shared" si="2"/>
        <v>113</v>
      </c>
      <c r="O62" s="749">
        <f t="shared" si="1"/>
        <v>37.666666666666664</v>
      </c>
      <c r="P62" s="751">
        <f t="shared" si="3"/>
        <v>0.78368818919481231</v>
      </c>
    </row>
    <row r="63" spans="1:16">
      <c r="A63" s="674" t="s">
        <v>67</v>
      </c>
      <c r="B63" s="641"/>
      <c r="C63" s="709"/>
      <c r="D63" s="699"/>
      <c r="E63" s="130"/>
      <c r="F63" s="130"/>
      <c r="G63" s="129"/>
      <c r="H63" s="129"/>
      <c r="I63" s="129"/>
      <c r="J63" s="130"/>
      <c r="K63" s="932">
        <v>3</v>
      </c>
      <c r="L63" s="837">
        <v>2</v>
      </c>
      <c r="M63" s="725">
        <v>0</v>
      </c>
      <c r="N63" s="330">
        <f t="shared" si="2"/>
        <v>5</v>
      </c>
      <c r="O63" s="749">
        <f t="shared" si="1"/>
        <v>1.6666666666666667</v>
      </c>
      <c r="P63" s="751">
        <f t="shared" si="3"/>
        <v>3.4676468548443029E-2</v>
      </c>
    </row>
    <row r="64" spans="1:16" s="206" customFormat="1">
      <c r="A64" s="674" t="s">
        <v>255</v>
      </c>
      <c r="B64" s="641"/>
      <c r="C64" s="709"/>
      <c r="D64" s="699"/>
      <c r="E64" s="130"/>
      <c r="F64" s="130"/>
      <c r="G64" s="129"/>
      <c r="H64" s="129"/>
      <c r="I64" s="129"/>
      <c r="J64" s="130"/>
      <c r="K64" s="933">
        <v>0</v>
      </c>
      <c r="L64" s="837">
        <v>0</v>
      </c>
      <c r="M64" s="725">
        <v>0</v>
      </c>
      <c r="N64" s="330">
        <f t="shared" si="2"/>
        <v>0</v>
      </c>
      <c r="O64" s="749">
        <f t="shared" si="1"/>
        <v>0</v>
      </c>
      <c r="P64" s="751">
        <f t="shared" si="3"/>
        <v>0</v>
      </c>
    </row>
    <row r="65" spans="1:16">
      <c r="A65" s="674" t="s">
        <v>68</v>
      </c>
      <c r="B65" s="641"/>
      <c r="C65" s="709"/>
      <c r="D65" s="699"/>
      <c r="E65" s="130"/>
      <c r="F65" s="130"/>
      <c r="G65" s="129"/>
      <c r="H65" s="129"/>
      <c r="I65" s="129"/>
      <c r="J65" s="130"/>
      <c r="K65" s="932">
        <v>4</v>
      </c>
      <c r="L65" s="837">
        <v>9</v>
      </c>
      <c r="M65" s="725">
        <v>8</v>
      </c>
      <c r="N65" s="330">
        <f t="shared" si="2"/>
        <v>21</v>
      </c>
      <c r="O65" s="749">
        <f t="shared" ref="O65:O121" si="4">AVERAGE(B65:M65)</f>
        <v>7</v>
      </c>
      <c r="P65" s="751">
        <f t="shared" si="3"/>
        <v>0.14564116790346071</v>
      </c>
    </row>
    <row r="66" spans="1:16">
      <c r="A66" s="674" t="s">
        <v>69</v>
      </c>
      <c r="B66" s="641"/>
      <c r="C66" s="709"/>
      <c r="D66" s="699"/>
      <c r="E66" s="130"/>
      <c r="F66" s="130"/>
      <c r="G66" s="129"/>
      <c r="H66" s="129"/>
      <c r="I66" s="129"/>
      <c r="J66" s="130"/>
      <c r="K66" s="932">
        <v>4</v>
      </c>
      <c r="L66" s="837">
        <v>0</v>
      </c>
      <c r="M66" s="725">
        <v>0</v>
      </c>
      <c r="N66" s="330">
        <f t="shared" ref="N66:N122" si="5">SUM(B66:M66)</f>
        <v>4</v>
      </c>
      <c r="O66" s="749">
        <f t="shared" si="4"/>
        <v>1.3333333333333333</v>
      </c>
      <c r="P66" s="751">
        <f t="shared" si="3"/>
        <v>2.774117483875442E-2</v>
      </c>
    </row>
    <row r="67" spans="1:16">
      <c r="A67" s="674" t="s">
        <v>70</v>
      </c>
      <c r="B67" s="641"/>
      <c r="C67" s="709"/>
      <c r="D67" s="699"/>
      <c r="E67" s="130"/>
      <c r="F67" s="130"/>
      <c r="G67" s="129"/>
      <c r="H67" s="129"/>
      <c r="I67" s="129"/>
      <c r="J67" s="130"/>
      <c r="K67" s="932">
        <v>29</v>
      </c>
      <c r="L67" s="837">
        <v>30</v>
      </c>
      <c r="M67" s="725">
        <v>27</v>
      </c>
      <c r="N67" s="330">
        <f t="shared" si="5"/>
        <v>86</v>
      </c>
      <c r="O67" s="749">
        <f t="shared" si="4"/>
        <v>28.666666666666668</v>
      </c>
      <c r="P67" s="751">
        <f t="shared" si="3"/>
        <v>0.59643525903322003</v>
      </c>
    </row>
    <row r="68" spans="1:16">
      <c r="A68" s="674" t="s">
        <v>71</v>
      </c>
      <c r="B68" s="641"/>
      <c r="C68" s="709"/>
      <c r="D68" s="699"/>
      <c r="E68" s="130"/>
      <c r="F68" s="130"/>
      <c r="G68" s="129"/>
      <c r="H68" s="129"/>
      <c r="I68" s="129"/>
      <c r="J68" s="130"/>
      <c r="K68" s="932">
        <v>11</v>
      </c>
      <c r="L68" s="837">
        <v>5</v>
      </c>
      <c r="M68" s="725">
        <v>3</v>
      </c>
      <c r="N68" s="330">
        <f t="shared" si="5"/>
        <v>19</v>
      </c>
      <c r="O68" s="749">
        <f t="shared" si="4"/>
        <v>6.333333333333333</v>
      </c>
      <c r="P68" s="751">
        <f t="shared" si="3"/>
        <v>0.13177058048408349</v>
      </c>
    </row>
    <row r="69" spans="1:16">
      <c r="A69" s="647" t="s">
        <v>357</v>
      </c>
      <c r="B69" s="641"/>
      <c r="C69" s="709"/>
      <c r="D69" s="699"/>
      <c r="E69" s="130"/>
      <c r="F69" s="130"/>
      <c r="G69" s="129"/>
      <c r="H69" s="129"/>
      <c r="I69" s="129"/>
      <c r="J69" s="130"/>
      <c r="K69" s="932">
        <v>42</v>
      </c>
      <c r="L69" s="837">
        <v>25</v>
      </c>
      <c r="M69" s="725">
        <v>30</v>
      </c>
      <c r="N69" s="330">
        <f t="shared" si="5"/>
        <v>97</v>
      </c>
      <c r="O69" s="749">
        <f t="shared" si="4"/>
        <v>32.333333333333336</v>
      </c>
      <c r="P69" s="751">
        <f t="shared" ref="P69:P100" si="6">(N69/$N$187)*100</f>
        <v>0.6727234898397948</v>
      </c>
    </row>
    <row r="70" spans="1:16">
      <c r="A70" s="674" t="s">
        <v>72</v>
      </c>
      <c r="B70" s="641"/>
      <c r="C70" s="709"/>
      <c r="D70" s="699"/>
      <c r="E70" s="130"/>
      <c r="F70" s="130"/>
      <c r="G70" s="129"/>
      <c r="H70" s="129"/>
      <c r="I70" s="129"/>
      <c r="J70" s="130"/>
      <c r="K70" s="932">
        <v>15</v>
      </c>
      <c r="L70" s="837">
        <v>15</v>
      </c>
      <c r="M70" s="725">
        <v>19</v>
      </c>
      <c r="N70" s="330">
        <f t="shared" si="5"/>
        <v>49</v>
      </c>
      <c r="O70" s="749">
        <f t="shared" si="4"/>
        <v>16.333333333333332</v>
      </c>
      <c r="P70" s="751">
        <f t="shared" si="6"/>
        <v>0.33982939177474164</v>
      </c>
    </row>
    <row r="71" spans="1:16">
      <c r="A71" s="674" t="s">
        <v>73</v>
      </c>
      <c r="B71" s="641"/>
      <c r="C71" s="709"/>
      <c r="D71" s="699"/>
      <c r="E71" s="130"/>
      <c r="F71" s="130"/>
      <c r="G71" s="129"/>
      <c r="H71" s="129"/>
      <c r="I71" s="129"/>
      <c r="J71" s="130"/>
      <c r="K71" s="932">
        <v>1</v>
      </c>
      <c r="L71" s="837">
        <v>2</v>
      </c>
      <c r="M71" s="725">
        <v>7</v>
      </c>
      <c r="N71" s="330">
        <f t="shared" si="5"/>
        <v>10</v>
      </c>
      <c r="O71" s="749">
        <f t="shared" si="4"/>
        <v>3.3333333333333335</v>
      </c>
      <c r="P71" s="751">
        <f t="shared" si="6"/>
        <v>6.9352937096886058E-2</v>
      </c>
    </row>
    <row r="72" spans="1:16" s="206" customFormat="1">
      <c r="A72" s="647" t="s">
        <v>376</v>
      </c>
      <c r="B72" s="641"/>
      <c r="C72" s="709"/>
      <c r="D72" s="699"/>
      <c r="E72" s="130"/>
      <c r="F72" s="130"/>
      <c r="G72" s="129"/>
      <c r="H72" s="129"/>
      <c r="I72" s="129"/>
      <c r="J72" s="130"/>
      <c r="K72" s="933">
        <v>0</v>
      </c>
      <c r="L72" s="837">
        <v>1</v>
      </c>
      <c r="M72" s="725">
        <v>5</v>
      </c>
      <c r="N72" s="330">
        <f>SUM(B72:M72)</f>
        <v>6</v>
      </c>
      <c r="O72" s="749">
        <f>AVERAGE(B72:M72)</f>
        <v>2</v>
      </c>
      <c r="P72" s="751">
        <f t="shared" si="6"/>
        <v>4.1611762258131631E-2</v>
      </c>
    </row>
    <row r="73" spans="1:16">
      <c r="A73" s="647" t="s">
        <v>358</v>
      </c>
      <c r="B73" s="641"/>
      <c r="C73" s="709"/>
      <c r="D73" s="699"/>
      <c r="E73" s="130"/>
      <c r="F73" s="130"/>
      <c r="G73" s="129"/>
      <c r="H73" s="129"/>
      <c r="I73" s="129"/>
      <c r="J73" s="130"/>
      <c r="K73" s="932">
        <v>7</v>
      </c>
      <c r="L73" s="837">
        <v>8</v>
      </c>
      <c r="M73" s="725">
        <v>21</v>
      </c>
      <c r="N73" s="330">
        <f t="shared" si="5"/>
        <v>36</v>
      </c>
      <c r="O73" s="749">
        <f t="shared" si="4"/>
        <v>12</v>
      </c>
      <c r="P73" s="751">
        <f t="shared" si="6"/>
        <v>0.2496705735487898</v>
      </c>
    </row>
    <row r="74" spans="1:16">
      <c r="A74" s="674" t="s">
        <v>74</v>
      </c>
      <c r="B74" s="641"/>
      <c r="C74" s="709"/>
      <c r="D74" s="699"/>
      <c r="E74" s="130"/>
      <c r="F74" s="130"/>
      <c r="G74" s="129"/>
      <c r="H74" s="129"/>
      <c r="I74" s="129"/>
      <c r="J74" s="130"/>
      <c r="K74" s="932">
        <v>176</v>
      </c>
      <c r="L74" s="837">
        <v>135</v>
      </c>
      <c r="M74" s="725">
        <v>118</v>
      </c>
      <c r="N74" s="330">
        <f t="shared" si="5"/>
        <v>429</v>
      </c>
      <c r="O74" s="749">
        <f t="shared" si="4"/>
        <v>143</v>
      </c>
      <c r="P74" s="751">
        <f t="shared" si="6"/>
        <v>2.9752410014564119</v>
      </c>
    </row>
    <row r="75" spans="1:16">
      <c r="A75" s="674" t="s">
        <v>75</v>
      </c>
      <c r="B75" s="641"/>
      <c r="C75" s="709"/>
      <c r="D75" s="699"/>
      <c r="E75" s="130"/>
      <c r="F75" s="130"/>
      <c r="G75" s="129"/>
      <c r="H75" s="129"/>
      <c r="I75" s="129"/>
      <c r="J75" s="130"/>
      <c r="K75" s="933">
        <v>0</v>
      </c>
      <c r="L75" s="837">
        <v>1</v>
      </c>
      <c r="M75" s="725">
        <v>1</v>
      </c>
      <c r="N75" s="330">
        <f t="shared" si="5"/>
        <v>2</v>
      </c>
      <c r="O75" s="749">
        <f t="shared" si="4"/>
        <v>0.66666666666666663</v>
      </c>
      <c r="P75" s="751">
        <f t="shared" si="6"/>
        <v>1.387058741937721E-2</v>
      </c>
    </row>
    <row r="76" spans="1:16">
      <c r="A76" s="674" t="s">
        <v>76</v>
      </c>
      <c r="B76" s="641"/>
      <c r="C76" s="709"/>
      <c r="D76" s="699"/>
      <c r="E76" s="130"/>
      <c r="F76" s="130"/>
      <c r="G76" s="129"/>
      <c r="H76" s="129"/>
      <c r="I76" s="129"/>
      <c r="J76" s="130"/>
      <c r="K76" s="933">
        <v>0</v>
      </c>
      <c r="L76" s="837">
        <v>0</v>
      </c>
      <c r="M76" s="725">
        <v>0</v>
      </c>
      <c r="N76" s="330">
        <f t="shared" si="5"/>
        <v>0</v>
      </c>
      <c r="O76" s="749">
        <f t="shared" si="4"/>
        <v>0</v>
      </c>
      <c r="P76" s="751">
        <f t="shared" si="6"/>
        <v>0</v>
      </c>
    </row>
    <row r="77" spans="1:16" s="435" customFormat="1">
      <c r="A77" s="674" t="s">
        <v>12</v>
      </c>
      <c r="B77" s="641"/>
      <c r="C77" s="717"/>
      <c r="D77" s="699"/>
      <c r="E77" s="130"/>
      <c r="F77" s="130"/>
      <c r="G77" s="129"/>
      <c r="H77" s="129"/>
      <c r="I77" s="129"/>
      <c r="J77" s="130"/>
      <c r="K77" s="933">
        <v>76</v>
      </c>
      <c r="L77" s="837">
        <v>55</v>
      </c>
      <c r="M77" s="725">
        <v>67</v>
      </c>
      <c r="N77" s="330">
        <f>SUM(B77:M77)</f>
        <v>198</v>
      </c>
      <c r="O77" s="749">
        <f>AVERAGE(B77:M77)</f>
        <v>66</v>
      </c>
      <c r="P77" s="751">
        <f t="shared" si="6"/>
        <v>1.3731881545183438</v>
      </c>
    </row>
    <row r="78" spans="1:16">
      <c r="A78" s="674" t="s">
        <v>77</v>
      </c>
      <c r="B78" s="641"/>
      <c r="C78" s="717"/>
      <c r="D78" s="699"/>
      <c r="E78" s="130"/>
      <c r="F78" s="130"/>
      <c r="G78" s="129"/>
      <c r="H78" s="129"/>
      <c r="I78" s="129"/>
      <c r="J78" s="130"/>
      <c r="K78" s="932">
        <v>1</v>
      </c>
      <c r="L78" s="837">
        <v>0</v>
      </c>
      <c r="M78" s="725">
        <v>2</v>
      </c>
      <c r="N78" s="330">
        <f t="shared" si="5"/>
        <v>3</v>
      </c>
      <c r="O78" s="749">
        <f t="shared" si="4"/>
        <v>1</v>
      </c>
      <c r="P78" s="751">
        <f t="shared" si="6"/>
        <v>2.0805881129065815E-2</v>
      </c>
    </row>
    <row r="79" spans="1:16">
      <c r="A79" s="674" t="s">
        <v>78</v>
      </c>
      <c r="B79" s="641"/>
      <c r="C79" s="709"/>
      <c r="D79" s="699"/>
      <c r="E79" s="130"/>
      <c r="F79" s="130"/>
      <c r="G79" s="129"/>
      <c r="H79" s="129"/>
      <c r="I79" s="129"/>
      <c r="J79" s="130"/>
      <c r="K79" s="932">
        <v>5</v>
      </c>
      <c r="L79" s="837">
        <v>0</v>
      </c>
      <c r="M79" s="725">
        <v>0</v>
      </c>
      <c r="N79" s="330">
        <f t="shared" si="5"/>
        <v>5</v>
      </c>
      <c r="O79" s="749">
        <f t="shared" si="4"/>
        <v>1.6666666666666667</v>
      </c>
      <c r="P79" s="751">
        <f t="shared" si="6"/>
        <v>3.4676468548443029E-2</v>
      </c>
    </row>
    <row r="80" spans="1:16">
      <c r="A80" s="674" t="s">
        <v>79</v>
      </c>
      <c r="B80" s="641"/>
      <c r="C80" s="709"/>
      <c r="D80" s="699"/>
      <c r="E80" s="130"/>
      <c r="F80" s="130"/>
      <c r="G80" s="129"/>
      <c r="H80" s="129"/>
      <c r="I80" s="129"/>
      <c r="J80" s="130"/>
      <c r="K80" s="932">
        <v>164</v>
      </c>
      <c r="L80" s="837">
        <v>93</v>
      </c>
      <c r="M80" s="725">
        <v>113</v>
      </c>
      <c r="N80" s="330">
        <f t="shared" si="5"/>
        <v>370</v>
      </c>
      <c r="O80" s="749">
        <f t="shared" si="4"/>
        <v>123.33333333333333</v>
      </c>
      <c r="P80" s="751">
        <f t="shared" si="6"/>
        <v>2.5660586725847838</v>
      </c>
    </row>
    <row r="81" spans="1:16">
      <c r="A81" s="674" t="s">
        <v>274</v>
      </c>
      <c r="B81" s="641"/>
      <c r="C81" s="709"/>
      <c r="D81" s="699"/>
      <c r="E81" s="130"/>
      <c r="F81" s="130"/>
      <c r="G81" s="129"/>
      <c r="H81" s="129"/>
      <c r="I81" s="129"/>
      <c r="J81" s="130"/>
      <c r="K81" s="932">
        <v>49</v>
      </c>
      <c r="L81" s="837">
        <v>47</v>
      </c>
      <c r="M81" s="725">
        <v>103</v>
      </c>
      <c r="N81" s="330">
        <f t="shared" si="5"/>
        <v>199</v>
      </c>
      <c r="O81" s="749">
        <f t="shared" si="4"/>
        <v>66.333333333333329</v>
      </c>
      <c r="P81" s="751">
        <f t="shared" si="6"/>
        <v>1.3801234482280325</v>
      </c>
    </row>
    <row r="82" spans="1:16" s="206" customFormat="1">
      <c r="A82" s="674" t="s">
        <v>222</v>
      </c>
      <c r="B82" s="641"/>
      <c r="C82" s="709"/>
      <c r="D82" s="699"/>
      <c r="E82" s="130"/>
      <c r="F82" s="130"/>
      <c r="G82" s="129"/>
      <c r="H82" s="129"/>
      <c r="I82" s="129"/>
      <c r="J82" s="130"/>
      <c r="K82" s="933">
        <v>0</v>
      </c>
      <c r="L82" s="837">
        <v>0</v>
      </c>
      <c r="M82" s="725">
        <v>0</v>
      </c>
      <c r="N82" s="330">
        <f t="shared" si="5"/>
        <v>0</v>
      </c>
      <c r="O82" s="749">
        <f t="shared" si="4"/>
        <v>0</v>
      </c>
      <c r="P82" s="751">
        <f t="shared" si="6"/>
        <v>0</v>
      </c>
    </row>
    <row r="83" spans="1:16">
      <c r="A83" s="674" t="s">
        <v>80</v>
      </c>
      <c r="B83" s="641"/>
      <c r="C83" s="709"/>
      <c r="D83" s="699"/>
      <c r="E83" s="130"/>
      <c r="F83" s="130"/>
      <c r="G83" s="129"/>
      <c r="H83" s="129"/>
      <c r="I83" s="129"/>
      <c r="J83" s="130"/>
      <c r="K83" s="932">
        <v>3</v>
      </c>
      <c r="L83" s="837">
        <v>9</v>
      </c>
      <c r="M83" s="725">
        <v>1</v>
      </c>
      <c r="N83" s="330">
        <f t="shared" si="5"/>
        <v>13</v>
      </c>
      <c r="O83" s="749">
        <f t="shared" si="4"/>
        <v>4.333333333333333</v>
      </c>
      <c r="P83" s="751">
        <f t="shared" si="6"/>
        <v>9.015881822595187E-2</v>
      </c>
    </row>
    <row r="84" spans="1:16">
      <c r="A84" s="674" t="s">
        <v>81</v>
      </c>
      <c r="B84" s="641"/>
      <c r="C84" s="709"/>
      <c r="D84" s="699"/>
      <c r="E84" s="130"/>
      <c r="F84" s="130"/>
      <c r="G84" s="129"/>
      <c r="H84" s="129"/>
      <c r="I84" s="129"/>
      <c r="J84" s="130"/>
      <c r="K84" s="933">
        <v>1</v>
      </c>
      <c r="L84" s="837">
        <v>8</v>
      </c>
      <c r="M84" s="725">
        <v>6</v>
      </c>
      <c r="N84" s="330">
        <f t="shared" si="5"/>
        <v>15</v>
      </c>
      <c r="O84" s="749">
        <f t="shared" si="4"/>
        <v>5</v>
      </c>
      <c r="P84" s="751">
        <f t="shared" si="6"/>
        <v>0.10402940564532909</v>
      </c>
    </row>
    <row r="85" spans="1:16">
      <c r="A85" s="674" t="s">
        <v>275</v>
      </c>
      <c r="B85" s="641"/>
      <c r="C85" s="709"/>
      <c r="D85" s="699"/>
      <c r="E85" s="130"/>
      <c r="F85" s="130"/>
      <c r="G85" s="129"/>
      <c r="H85" s="129"/>
      <c r="I85" s="129"/>
      <c r="J85" s="130"/>
      <c r="K85" s="933">
        <v>12</v>
      </c>
      <c r="L85" s="837">
        <v>8</v>
      </c>
      <c r="M85" s="725">
        <v>12</v>
      </c>
      <c r="N85" s="330">
        <f>SUM(B85:M85)</f>
        <v>32</v>
      </c>
      <c r="O85" s="749">
        <f>AVERAGE(B85:M85)</f>
        <v>10.666666666666666</v>
      </c>
      <c r="P85" s="751">
        <f t="shared" si="6"/>
        <v>0.22192939871003536</v>
      </c>
    </row>
    <row r="86" spans="1:16">
      <c r="A86" s="674" t="s">
        <v>82</v>
      </c>
      <c r="B86" s="641"/>
      <c r="C86" s="709"/>
      <c r="D86" s="699"/>
      <c r="E86" s="130"/>
      <c r="F86" s="130"/>
      <c r="G86" s="129"/>
      <c r="H86" s="129"/>
      <c r="I86" s="129"/>
      <c r="J86" s="130"/>
      <c r="K86" s="933">
        <v>0</v>
      </c>
      <c r="L86" s="837">
        <v>2</v>
      </c>
      <c r="M86" s="725">
        <v>0</v>
      </c>
      <c r="N86" s="330">
        <f t="shared" si="5"/>
        <v>2</v>
      </c>
      <c r="O86" s="749">
        <f t="shared" si="4"/>
        <v>0.66666666666666663</v>
      </c>
      <c r="P86" s="751">
        <f t="shared" si="6"/>
        <v>1.387058741937721E-2</v>
      </c>
    </row>
    <row r="87" spans="1:16">
      <c r="A87" s="674" t="s">
        <v>83</v>
      </c>
      <c r="B87" s="641"/>
      <c r="C87" s="709"/>
      <c r="D87" s="699"/>
      <c r="E87" s="130"/>
      <c r="F87" s="130"/>
      <c r="G87" s="129"/>
      <c r="H87" s="129"/>
      <c r="I87" s="129"/>
      <c r="J87" s="130"/>
      <c r="K87" s="932">
        <v>14</v>
      </c>
      <c r="L87" s="837">
        <v>8</v>
      </c>
      <c r="M87" s="725">
        <v>11</v>
      </c>
      <c r="N87" s="330">
        <f t="shared" si="5"/>
        <v>33</v>
      </c>
      <c r="O87" s="749">
        <f t="shared" si="4"/>
        <v>11</v>
      </c>
      <c r="P87" s="751">
        <f t="shared" si="6"/>
        <v>0.22886469241972396</v>
      </c>
    </row>
    <row r="88" spans="1:16">
      <c r="A88" s="674" t="s">
        <v>84</v>
      </c>
      <c r="B88" s="641"/>
      <c r="C88" s="709"/>
      <c r="D88" s="699"/>
      <c r="E88" s="130"/>
      <c r="F88" s="130"/>
      <c r="G88" s="129"/>
      <c r="H88" s="129"/>
      <c r="I88" s="129"/>
      <c r="J88" s="130"/>
      <c r="K88" s="933">
        <v>0</v>
      </c>
      <c r="L88" s="837">
        <v>0</v>
      </c>
      <c r="M88" s="725">
        <v>0</v>
      </c>
      <c r="N88" s="330">
        <f t="shared" si="5"/>
        <v>0</v>
      </c>
      <c r="O88" s="749">
        <f t="shared" si="4"/>
        <v>0</v>
      </c>
      <c r="P88" s="751">
        <f t="shared" si="6"/>
        <v>0</v>
      </c>
    </row>
    <row r="89" spans="1:16">
      <c r="A89" s="674" t="s">
        <v>85</v>
      </c>
      <c r="B89" s="641"/>
      <c r="C89" s="709"/>
      <c r="D89" s="699"/>
      <c r="E89" s="130"/>
      <c r="F89" s="130"/>
      <c r="G89" s="129"/>
      <c r="H89" s="129"/>
      <c r="I89" s="129"/>
      <c r="J89" s="130"/>
      <c r="K89" s="932">
        <v>119</v>
      </c>
      <c r="L89" s="837">
        <v>104</v>
      </c>
      <c r="M89" s="725">
        <v>88</v>
      </c>
      <c r="N89" s="330">
        <f t="shared" si="5"/>
        <v>311</v>
      </c>
      <c r="O89" s="749">
        <f t="shared" si="4"/>
        <v>103.66666666666667</v>
      </c>
      <c r="P89" s="751">
        <f t="shared" si="6"/>
        <v>2.1568763437131562</v>
      </c>
    </row>
    <row r="90" spans="1:16">
      <c r="A90" s="674" t="s">
        <v>86</v>
      </c>
      <c r="B90" s="641"/>
      <c r="C90" s="709"/>
      <c r="D90" s="699"/>
      <c r="E90" s="130"/>
      <c r="F90" s="130"/>
      <c r="G90" s="129"/>
      <c r="H90" s="129"/>
      <c r="I90" s="129"/>
      <c r="J90" s="130"/>
      <c r="K90" s="932">
        <v>2</v>
      </c>
      <c r="L90" s="837">
        <v>3</v>
      </c>
      <c r="M90" s="725">
        <v>1</v>
      </c>
      <c r="N90" s="330">
        <f t="shared" si="5"/>
        <v>6</v>
      </c>
      <c r="O90" s="749">
        <f t="shared" si="4"/>
        <v>2</v>
      </c>
      <c r="P90" s="751">
        <f t="shared" si="6"/>
        <v>4.1611762258131631E-2</v>
      </c>
    </row>
    <row r="91" spans="1:16">
      <c r="A91" s="647" t="s">
        <v>359</v>
      </c>
      <c r="B91" s="641"/>
      <c r="C91" s="709"/>
      <c r="D91" s="699"/>
      <c r="E91" s="130"/>
      <c r="F91" s="130"/>
      <c r="G91" s="129"/>
      <c r="H91" s="129"/>
      <c r="I91" s="129"/>
      <c r="J91" s="130"/>
      <c r="K91" s="932">
        <v>26</v>
      </c>
      <c r="L91" s="837">
        <v>17</v>
      </c>
      <c r="M91" s="725">
        <v>13</v>
      </c>
      <c r="N91" s="330">
        <f t="shared" si="5"/>
        <v>56</v>
      </c>
      <c r="O91" s="749">
        <f t="shared" si="4"/>
        <v>18.666666666666668</v>
      </c>
      <c r="P91" s="751">
        <f t="shared" si="6"/>
        <v>0.38837644774256191</v>
      </c>
    </row>
    <row r="92" spans="1:16">
      <c r="A92" s="674" t="s">
        <v>87</v>
      </c>
      <c r="B92" s="641"/>
      <c r="C92" s="709"/>
      <c r="D92" s="699"/>
      <c r="E92" s="130"/>
      <c r="F92" s="130"/>
      <c r="G92" s="129"/>
      <c r="H92" s="129"/>
      <c r="I92" s="129"/>
      <c r="J92" s="130"/>
      <c r="K92" s="932">
        <v>6</v>
      </c>
      <c r="L92" s="837">
        <v>4</v>
      </c>
      <c r="M92" s="725">
        <v>2</v>
      </c>
      <c r="N92" s="330">
        <f t="shared" si="5"/>
        <v>12</v>
      </c>
      <c r="O92" s="749">
        <f t="shared" si="4"/>
        <v>4</v>
      </c>
      <c r="P92" s="751">
        <f t="shared" si="6"/>
        <v>8.3223524516263261E-2</v>
      </c>
    </row>
    <row r="93" spans="1:16">
      <c r="A93" s="674" t="s">
        <v>88</v>
      </c>
      <c r="B93" s="641"/>
      <c r="C93" s="709"/>
      <c r="D93" s="699"/>
      <c r="E93" s="130"/>
      <c r="F93" s="130"/>
      <c r="G93" s="129"/>
      <c r="H93" s="129"/>
      <c r="I93" s="129"/>
      <c r="J93" s="130"/>
      <c r="K93" s="932">
        <v>1</v>
      </c>
      <c r="L93" s="837">
        <v>0</v>
      </c>
      <c r="M93" s="725">
        <v>0</v>
      </c>
      <c r="N93" s="330">
        <f t="shared" si="5"/>
        <v>1</v>
      </c>
      <c r="O93" s="749">
        <f t="shared" si="4"/>
        <v>0.33333333333333331</v>
      </c>
      <c r="P93" s="751">
        <f t="shared" si="6"/>
        <v>6.9352937096886051E-3</v>
      </c>
    </row>
    <row r="94" spans="1:16" s="206" customFormat="1">
      <c r="A94" s="674" t="s">
        <v>223</v>
      </c>
      <c r="B94" s="641"/>
      <c r="C94" s="709"/>
      <c r="D94" s="699"/>
      <c r="E94" s="130"/>
      <c r="F94" s="130"/>
      <c r="G94" s="129"/>
      <c r="H94" s="129"/>
      <c r="I94" s="129"/>
      <c r="J94" s="130"/>
      <c r="K94" s="933">
        <v>0</v>
      </c>
      <c r="L94" s="837">
        <v>0</v>
      </c>
      <c r="M94" s="725">
        <v>0</v>
      </c>
      <c r="N94" s="330">
        <f t="shared" si="5"/>
        <v>0</v>
      </c>
      <c r="O94" s="749">
        <f t="shared" si="4"/>
        <v>0</v>
      </c>
      <c r="P94" s="751">
        <f t="shared" si="6"/>
        <v>0</v>
      </c>
    </row>
    <row r="95" spans="1:16">
      <c r="A95" s="674" t="s">
        <v>89</v>
      </c>
      <c r="B95" s="641"/>
      <c r="C95" s="709"/>
      <c r="D95" s="699"/>
      <c r="E95" s="130"/>
      <c r="F95" s="130"/>
      <c r="G95" s="129"/>
      <c r="H95" s="129"/>
      <c r="I95" s="129"/>
      <c r="J95" s="130"/>
      <c r="K95" s="932">
        <v>3</v>
      </c>
      <c r="L95" s="837">
        <v>0</v>
      </c>
      <c r="M95" s="725">
        <v>0</v>
      </c>
      <c r="N95" s="330">
        <f t="shared" si="5"/>
        <v>3</v>
      </c>
      <c r="O95" s="749">
        <f t="shared" si="4"/>
        <v>1</v>
      </c>
      <c r="P95" s="751">
        <f t="shared" si="6"/>
        <v>2.0805881129065815E-2</v>
      </c>
    </row>
    <row r="96" spans="1:16">
      <c r="A96" s="674" t="s">
        <v>90</v>
      </c>
      <c r="B96" s="641"/>
      <c r="C96" s="709"/>
      <c r="D96" s="699"/>
      <c r="E96" s="130"/>
      <c r="F96" s="130"/>
      <c r="G96" s="129"/>
      <c r="H96" s="129"/>
      <c r="I96" s="129"/>
      <c r="J96" s="130"/>
      <c r="K96" s="933">
        <v>0</v>
      </c>
      <c r="L96" s="837">
        <v>1</v>
      </c>
      <c r="M96" s="725">
        <v>1</v>
      </c>
      <c r="N96" s="330">
        <f t="shared" si="5"/>
        <v>2</v>
      </c>
      <c r="O96" s="749">
        <f t="shared" si="4"/>
        <v>0.66666666666666663</v>
      </c>
      <c r="P96" s="751">
        <f t="shared" si="6"/>
        <v>1.387058741937721E-2</v>
      </c>
    </row>
    <row r="97" spans="1:16">
      <c r="A97" s="647" t="s">
        <v>360</v>
      </c>
      <c r="B97" s="641"/>
      <c r="C97" s="709"/>
      <c r="D97" s="699"/>
      <c r="E97" s="130"/>
      <c r="F97" s="130"/>
      <c r="G97" s="129"/>
      <c r="H97" s="129"/>
      <c r="I97" s="129"/>
      <c r="J97" s="130"/>
      <c r="K97" s="932">
        <v>128</v>
      </c>
      <c r="L97" s="837">
        <v>89</v>
      </c>
      <c r="M97" s="725">
        <v>54</v>
      </c>
      <c r="N97" s="330">
        <f t="shared" si="5"/>
        <v>271</v>
      </c>
      <c r="O97" s="749">
        <f t="shared" si="4"/>
        <v>90.333333333333329</v>
      </c>
      <c r="P97" s="751">
        <f t="shared" si="6"/>
        <v>1.8794645953256122</v>
      </c>
    </row>
    <row r="98" spans="1:16" s="660" customFormat="1">
      <c r="A98" s="647" t="s">
        <v>377</v>
      </c>
      <c r="B98" s="641"/>
      <c r="C98" s="709"/>
      <c r="D98" s="699"/>
      <c r="E98" s="130"/>
      <c r="F98" s="130"/>
      <c r="G98" s="129"/>
      <c r="H98" s="129"/>
      <c r="I98" s="129"/>
      <c r="J98" s="130"/>
      <c r="K98" s="933">
        <v>0</v>
      </c>
      <c r="L98" s="837">
        <v>0</v>
      </c>
      <c r="M98" s="725">
        <v>0</v>
      </c>
      <c r="N98" s="330">
        <f>SUM(B98:M98)</f>
        <v>0</v>
      </c>
      <c r="O98" s="749">
        <f>AVERAGE(B98:M98)</f>
        <v>0</v>
      </c>
      <c r="P98" s="751">
        <f t="shared" si="6"/>
        <v>0</v>
      </c>
    </row>
    <row r="99" spans="1:16">
      <c r="A99" s="647" t="s">
        <v>361</v>
      </c>
      <c r="B99" s="641"/>
      <c r="C99" s="709"/>
      <c r="D99" s="699"/>
      <c r="E99" s="130"/>
      <c r="F99" s="130"/>
      <c r="G99" s="129"/>
      <c r="H99" s="129"/>
      <c r="I99" s="129"/>
      <c r="J99" s="130"/>
      <c r="K99" s="933">
        <v>0</v>
      </c>
      <c r="L99" s="837">
        <v>1</v>
      </c>
      <c r="M99" s="725">
        <v>1</v>
      </c>
      <c r="N99" s="330">
        <f t="shared" si="5"/>
        <v>2</v>
      </c>
      <c r="O99" s="749">
        <f t="shared" si="4"/>
        <v>0.66666666666666663</v>
      </c>
      <c r="P99" s="751">
        <f t="shared" si="6"/>
        <v>1.387058741937721E-2</v>
      </c>
    </row>
    <row r="100" spans="1:16" s="603" customFormat="1">
      <c r="A100" s="674" t="s">
        <v>334</v>
      </c>
      <c r="B100" s="641"/>
      <c r="C100" s="709"/>
      <c r="D100" s="699"/>
      <c r="E100" s="130"/>
      <c r="F100" s="130"/>
      <c r="G100" s="129"/>
      <c r="H100" s="129"/>
      <c r="I100" s="129"/>
      <c r="J100" s="130"/>
      <c r="K100" s="933">
        <v>0</v>
      </c>
      <c r="L100" s="837">
        <v>0</v>
      </c>
      <c r="M100" s="725">
        <v>0</v>
      </c>
      <c r="N100" s="330">
        <f>SUM(B100:M100)</f>
        <v>0</v>
      </c>
      <c r="O100" s="749">
        <f>AVERAGE(B100:M100)</f>
        <v>0</v>
      </c>
      <c r="P100" s="751">
        <f t="shared" si="6"/>
        <v>0</v>
      </c>
    </row>
    <row r="101" spans="1:16">
      <c r="A101" s="674" t="s">
        <v>91</v>
      </c>
      <c r="B101" s="641"/>
      <c r="C101" s="709"/>
      <c r="D101" s="699"/>
      <c r="E101" s="130"/>
      <c r="F101" s="130"/>
      <c r="G101" s="129"/>
      <c r="H101" s="129"/>
      <c r="I101" s="129"/>
      <c r="J101" s="130"/>
      <c r="K101" s="932">
        <v>100</v>
      </c>
      <c r="L101" s="837">
        <v>110</v>
      </c>
      <c r="M101" s="725">
        <v>92</v>
      </c>
      <c r="N101" s="330">
        <f t="shared" si="5"/>
        <v>302</v>
      </c>
      <c r="O101" s="749">
        <f t="shared" si="4"/>
        <v>100.66666666666667</v>
      </c>
      <c r="P101" s="751">
        <f t="shared" ref="P101:P132" si="7">(N101/$N$187)*100</f>
        <v>2.0944587003259589</v>
      </c>
    </row>
    <row r="102" spans="1:16">
      <c r="A102" s="647" t="s">
        <v>362</v>
      </c>
      <c r="B102" s="641"/>
      <c r="C102" s="709"/>
      <c r="D102" s="699"/>
      <c r="E102" s="130"/>
      <c r="F102" s="130"/>
      <c r="G102" s="129"/>
      <c r="H102" s="129"/>
      <c r="I102" s="129"/>
      <c r="J102" s="130"/>
      <c r="K102" s="932">
        <v>10</v>
      </c>
      <c r="L102" s="837">
        <v>10</v>
      </c>
      <c r="M102" s="725">
        <v>8</v>
      </c>
      <c r="N102" s="330">
        <f t="shared" si="5"/>
        <v>28</v>
      </c>
      <c r="O102" s="749">
        <f t="shared" si="4"/>
        <v>9.3333333333333339</v>
      </c>
      <c r="P102" s="751">
        <f t="shared" si="7"/>
        <v>0.19418822387128096</v>
      </c>
    </row>
    <row r="103" spans="1:16">
      <c r="A103" s="647" t="s">
        <v>363</v>
      </c>
      <c r="B103" s="641"/>
      <c r="C103" s="709"/>
      <c r="D103" s="699"/>
      <c r="E103" s="130"/>
      <c r="F103" s="130"/>
      <c r="G103" s="129"/>
      <c r="H103" s="129"/>
      <c r="I103" s="129"/>
      <c r="J103" s="130"/>
      <c r="K103" s="932">
        <v>21</v>
      </c>
      <c r="L103" s="837">
        <v>5</v>
      </c>
      <c r="M103" s="725">
        <v>11</v>
      </c>
      <c r="N103" s="330">
        <f t="shared" si="5"/>
        <v>37</v>
      </c>
      <c r="O103" s="749">
        <f t="shared" si="4"/>
        <v>12.333333333333334</v>
      </c>
      <c r="P103" s="751">
        <f t="shared" si="7"/>
        <v>0.25660586725847839</v>
      </c>
    </row>
    <row r="104" spans="1:16" s="159" customFormat="1">
      <c r="A104" s="674" t="s">
        <v>207</v>
      </c>
      <c r="B104" s="641"/>
      <c r="C104" s="709"/>
      <c r="D104" s="699"/>
      <c r="E104" s="130"/>
      <c r="F104" s="130"/>
      <c r="G104" s="129"/>
      <c r="H104" s="129"/>
      <c r="I104" s="129"/>
      <c r="J104" s="130"/>
      <c r="K104" s="933">
        <v>0</v>
      </c>
      <c r="L104" s="837">
        <v>0</v>
      </c>
      <c r="M104" s="725">
        <v>0</v>
      </c>
      <c r="N104" s="330">
        <f t="shared" si="5"/>
        <v>0</v>
      </c>
      <c r="O104" s="749">
        <f t="shared" si="4"/>
        <v>0</v>
      </c>
      <c r="P104" s="751">
        <f t="shared" si="7"/>
        <v>0</v>
      </c>
    </row>
    <row r="105" spans="1:16">
      <c r="A105" s="674" t="s">
        <v>92</v>
      </c>
      <c r="B105" s="641"/>
      <c r="C105" s="709"/>
      <c r="D105" s="699"/>
      <c r="E105" s="130"/>
      <c r="F105" s="130"/>
      <c r="G105" s="129"/>
      <c r="H105" s="129"/>
      <c r="I105" s="129"/>
      <c r="J105" s="130"/>
      <c r="K105" s="932">
        <v>32</v>
      </c>
      <c r="L105" s="837">
        <v>21</v>
      </c>
      <c r="M105" s="725">
        <v>21</v>
      </c>
      <c r="N105" s="330">
        <f t="shared" si="5"/>
        <v>74</v>
      </c>
      <c r="O105" s="749">
        <f t="shared" si="4"/>
        <v>24.666666666666668</v>
      </c>
      <c r="P105" s="751">
        <f t="shared" si="7"/>
        <v>0.51321173451695679</v>
      </c>
    </row>
    <row r="106" spans="1:16">
      <c r="A106" s="674" t="s">
        <v>93</v>
      </c>
      <c r="B106" s="641"/>
      <c r="C106" s="709"/>
      <c r="D106" s="699"/>
      <c r="E106" s="130"/>
      <c r="F106" s="130"/>
      <c r="G106" s="129"/>
      <c r="H106" s="129"/>
      <c r="I106" s="129"/>
      <c r="J106" s="130"/>
      <c r="K106" s="933">
        <v>0</v>
      </c>
      <c r="L106" s="837">
        <v>0</v>
      </c>
      <c r="M106" s="725">
        <v>1</v>
      </c>
      <c r="N106" s="330">
        <f t="shared" si="5"/>
        <v>1</v>
      </c>
      <c r="O106" s="749">
        <f t="shared" si="4"/>
        <v>0.33333333333333331</v>
      </c>
      <c r="P106" s="751">
        <f t="shared" si="7"/>
        <v>6.9352937096886051E-3</v>
      </c>
    </row>
    <row r="107" spans="1:16">
      <c r="A107" s="674" t="s">
        <v>94</v>
      </c>
      <c r="B107" s="641"/>
      <c r="C107" s="709"/>
      <c r="D107" s="699"/>
      <c r="E107" s="130"/>
      <c r="F107" s="130"/>
      <c r="G107" s="129"/>
      <c r="H107" s="129"/>
      <c r="I107" s="129"/>
      <c r="J107" s="130"/>
      <c r="K107" s="932">
        <v>21</v>
      </c>
      <c r="L107" s="837">
        <v>25</v>
      </c>
      <c r="M107" s="725">
        <v>20</v>
      </c>
      <c r="N107" s="330">
        <f t="shared" si="5"/>
        <v>66</v>
      </c>
      <c r="O107" s="749">
        <f t="shared" si="4"/>
        <v>22</v>
      </c>
      <c r="P107" s="751">
        <f t="shared" si="7"/>
        <v>0.45772938483944792</v>
      </c>
    </row>
    <row r="108" spans="1:16">
      <c r="A108" s="674" t="s">
        <v>95</v>
      </c>
      <c r="B108" s="641"/>
      <c r="C108" s="709"/>
      <c r="D108" s="699"/>
      <c r="E108" s="130"/>
      <c r="F108" s="130"/>
      <c r="G108" s="129"/>
      <c r="H108" s="129"/>
      <c r="I108" s="129"/>
      <c r="J108" s="130"/>
      <c r="K108" s="932">
        <v>0</v>
      </c>
      <c r="L108" s="837">
        <v>0</v>
      </c>
      <c r="M108" s="732">
        <v>0</v>
      </c>
      <c r="N108" s="330">
        <f t="shared" si="5"/>
        <v>0</v>
      </c>
      <c r="O108" s="749">
        <f t="shared" si="4"/>
        <v>0</v>
      </c>
      <c r="P108" s="751">
        <f t="shared" si="7"/>
        <v>0</v>
      </c>
    </row>
    <row r="109" spans="1:16">
      <c r="A109" s="674" t="s">
        <v>96</v>
      </c>
      <c r="B109" s="641"/>
      <c r="C109" s="709"/>
      <c r="D109" s="699"/>
      <c r="E109" s="130"/>
      <c r="F109" s="130"/>
      <c r="G109" s="129"/>
      <c r="H109" s="129"/>
      <c r="I109" s="129"/>
      <c r="J109" s="130"/>
      <c r="K109" s="933">
        <v>11</v>
      </c>
      <c r="L109" s="837">
        <v>5</v>
      </c>
      <c r="M109" s="725">
        <v>6</v>
      </c>
      <c r="N109" s="330">
        <f t="shared" si="5"/>
        <v>22</v>
      </c>
      <c r="O109" s="749">
        <f t="shared" si="4"/>
        <v>7.333333333333333</v>
      </c>
      <c r="P109" s="751">
        <f t="shared" si="7"/>
        <v>0.15257646161314933</v>
      </c>
    </row>
    <row r="110" spans="1:16">
      <c r="A110" s="674" t="s">
        <v>97</v>
      </c>
      <c r="B110" s="641"/>
      <c r="C110" s="709"/>
      <c r="D110" s="699"/>
      <c r="E110" s="130"/>
      <c r="F110" s="130"/>
      <c r="G110" s="129"/>
      <c r="H110" s="129"/>
      <c r="I110" s="129"/>
      <c r="J110" s="130"/>
      <c r="K110" s="932">
        <v>83</v>
      </c>
      <c r="L110" s="837">
        <v>113</v>
      </c>
      <c r="M110" s="725">
        <v>42</v>
      </c>
      <c r="N110" s="330">
        <f t="shared" si="5"/>
        <v>238</v>
      </c>
      <c r="O110" s="749">
        <f t="shared" si="4"/>
        <v>79.333333333333329</v>
      </c>
      <c r="P110" s="751">
        <f t="shared" si="7"/>
        <v>1.650599902905888</v>
      </c>
    </row>
    <row r="111" spans="1:16">
      <c r="A111" s="674" t="s">
        <v>98</v>
      </c>
      <c r="B111" s="641"/>
      <c r="C111" s="709"/>
      <c r="D111" s="699"/>
      <c r="E111" s="130"/>
      <c r="F111" s="130"/>
      <c r="G111" s="129"/>
      <c r="H111" s="129"/>
      <c r="I111" s="129"/>
      <c r="J111" s="130"/>
      <c r="K111" s="932">
        <v>3</v>
      </c>
      <c r="L111" s="837">
        <v>1</v>
      </c>
      <c r="M111" s="725">
        <v>0</v>
      </c>
      <c r="N111" s="330">
        <f t="shared" si="5"/>
        <v>4</v>
      </c>
      <c r="O111" s="749">
        <f t="shared" si="4"/>
        <v>1.3333333333333333</v>
      </c>
      <c r="P111" s="751">
        <f t="shared" si="7"/>
        <v>2.774117483875442E-2</v>
      </c>
    </row>
    <row r="112" spans="1:16">
      <c r="A112" s="674" t="s">
        <v>99</v>
      </c>
      <c r="B112" s="641"/>
      <c r="C112" s="709"/>
      <c r="D112" s="699"/>
      <c r="E112" s="130"/>
      <c r="F112" s="130"/>
      <c r="G112" s="129"/>
      <c r="H112" s="129"/>
      <c r="I112" s="129"/>
      <c r="J112" s="130"/>
      <c r="K112" s="932">
        <v>2</v>
      </c>
      <c r="L112" s="837">
        <v>3</v>
      </c>
      <c r="M112" s="725">
        <v>4</v>
      </c>
      <c r="N112" s="330">
        <f t="shared" si="5"/>
        <v>9</v>
      </c>
      <c r="O112" s="749">
        <f t="shared" si="4"/>
        <v>3</v>
      </c>
      <c r="P112" s="751">
        <f t="shared" si="7"/>
        <v>6.241764338719745E-2</v>
      </c>
    </row>
    <row r="113" spans="1:16">
      <c r="A113" s="674" t="s">
        <v>100</v>
      </c>
      <c r="B113" s="641"/>
      <c r="C113" s="709"/>
      <c r="D113" s="699"/>
      <c r="E113" s="130"/>
      <c r="F113" s="130"/>
      <c r="G113" s="129"/>
      <c r="H113" s="129"/>
      <c r="I113" s="129"/>
      <c r="J113" s="130"/>
      <c r="K113" s="933">
        <v>0</v>
      </c>
      <c r="L113" s="837">
        <v>0</v>
      </c>
      <c r="M113" s="725">
        <v>0</v>
      </c>
      <c r="N113" s="330">
        <f t="shared" si="5"/>
        <v>0</v>
      </c>
      <c r="O113" s="749">
        <f t="shared" si="4"/>
        <v>0</v>
      </c>
      <c r="P113" s="751">
        <f t="shared" si="7"/>
        <v>0</v>
      </c>
    </row>
    <row r="114" spans="1:16">
      <c r="A114" s="674" t="s">
        <v>101</v>
      </c>
      <c r="B114" s="641"/>
      <c r="C114" s="709"/>
      <c r="D114" s="699"/>
      <c r="E114" s="130"/>
      <c r="F114" s="130"/>
      <c r="G114" s="129"/>
      <c r="H114" s="129"/>
      <c r="I114" s="129"/>
      <c r="J114" s="130"/>
      <c r="K114" s="932">
        <v>2</v>
      </c>
      <c r="L114" s="837">
        <v>2</v>
      </c>
      <c r="M114" s="725">
        <v>0</v>
      </c>
      <c r="N114" s="330">
        <f t="shared" si="5"/>
        <v>4</v>
      </c>
      <c r="O114" s="749">
        <f t="shared" si="4"/>
        <v>1.3333333333333333</v>
      </c>
      <c r="P114" s="751">
        <f t="shared" si="7"/>
        <v>2.774117483875442E-2</v>
      </c>
    </row>
    <row r="115" spans="1:16">
      <c r="A115" s="647" t="s">
        <v>378</v>
      </c>
      <c r="B115" s="641"/>
      <c r="C115" s="709"/>
      <c r="D115" s="699"/>
      <c r="E115" s="130"/>
      <c r="F115" s="130"/>
      <c r="G115" s="129"/>
      <c r="H115" s="129"/>
      <c r="I115" s="129"/>
      <c r="J115" s="130"/>
      <c r="K115" s="932">
        <v>1</v>
      </c>
      <c r="L115" s="837">
        <v>0</v>
      </c>
      <c r="M115" s="725">
        <v>0</v>
      </c>
      <c r="N115" s="330">
        <f t="shared" si="5"/>
        <v>1</v>
      </c>
      <c r="O115" s="749">
        <f t="shared" si="4"/>
        <v>0.33333333333333331</v>
      </c>
      <c r="P115" s="751">
        <f t="shared" si="7"/>
        <v>6.9352937096886051E-3</v>
      </c>
    </row>
    <row r="116" spans="1:16">
      <c r="A116" s="674" t="s">
        <v>102</v>
      </c>
      <c r="B116" s="641"/>
      <c r="C116" s="709"/>
      <c r="D116" s="699"/>
      <c r="E116" s="130"/>
      <c r="F116" s="130"/>
      <c r="G116" s="129"/>
      <c r="H116" s="129"/>
      <c r="I116" s="129"/>
      <c r="J116" s="130"/>
      <c r="K116" s="933">
        <v>0</v>
      </c>
      <c r="L116" s="837">
        <v>1</v>
      </c>
      <c r="M116" s="725">
        <v>0</v>
      </c>
      <c r="N116" s="330">
        <f t="shared" si="5"/>
        <v>1</v>
      </c>
      <c r="O116" s="749">
        <f t="shared" si="4"/>
        <v>0.33333333333333331</v>
      </c>
      <c r="P116" s="751">
        <f t="shared" si="7"/>
        <v>6.9352937096886051E-3</v>
      </c>
    </row>
    <row r="117" spans="1:16">
      <c r="A117" s="674" t="s">
        <v>103</v>
      </c>
      <c r="B117" s="641"/>
      <c r="C117" s="709"/>
      <c r="D117" s="699"/>
      <c r="E117" s="130"/>
      <c r="F117" s="130"/>
      <c r="G117" s="129"/>
      <c r="H117" s="129"/>
      <c r="I117" s="129"/>
      <c r="J117" s="130"/>
      <c r="K117" s="932">
        <v>112</v>
      </c>
      <c r="L117" s="837">
        <v>144</v>
      </c>
      <c r="M117" s="725">
        <v>151</v>
      </c>
      <c r="N117" s="330">
        <f t="shared" si="5"/>
        <v>407</v>
      </c>
      <c r="O117" s="749">
        <f t="shared" si="4"/>
        <v>135.66666666666666</v>
      </c>
      <c r="P117" s="751">
        <f t="shared" si="7"/>
        <v>2.8226645398432626</v>
      </c>
    </row>
    <row r="118" spans="1:16">
      <c r="A118" s="674" t="s">
        <v>104</v>
      </c>
      <c r="B118" s="641"/>
      <c r="C118" s="709"/>
      <c r="D118" s="699"/>
      <c r="E118" s="130"/>
      <c r="F118" s="130"/>
      <c r="G118" s="129"/>
      <c r="H118" s="129"/>
      <c r="I118" s="129"/>
      <c r="J118" s="130"/>
      <c r="K118" s="932">
        <v>1</v>
      </c>
      <c r="L118" s="837">
        <v>1</v>
      </c>
      <c r="M118" s="725">
        <v>0</v>
      </c>
      <c r="N118" s="330">
        <f t="shared" si="5"/>
        <v>2</v>
      </c>
      <c r="O118" s="749">
        <f t="shared" si="4"/>
        <v>0.66666666666666663</v>
      </c>
      <c r="P118" s="751">
        <f t="shared" si="7"/>
        <v>1.387058741937721E-2</v>
      </c>
    </row>
    <row r="119" spans="1:16">
      <c r="A119" s="674" t="s">
        <v>224</v>
      </c>
      <c r="B119" s="641"/>
      <c r="C119" s="709"/>
      <c r="D119" s="699"/>
      <c r="E119" s="130"/>
      <c r="F119" s="130"/>
      <c r="G119" s="129"/>
      <c r="H119" s="129"/>
      <c r="I119" s="129"/>
      <c r="J119" s="130"/>
      <c r="K119" s="932">
        <v>277</v>
      </c>
      <c r="L119" s="837">
        <v>245</v>
      </c>
      <c r="M119" s="725">
        <v>183</v>
      </c>
      <c r="N119" s="330">
        <f t="shared" si="5"/>
        <v>705</v>
      </c>
      <c r="O119" s="749">
        <f t="shared" si="4"/>
        <v>235</v>
      </c>
      <c r="P119" s="751">
        <f t="shared" si="7"/>
        <v>4.8893820653304667</v>
      </c>
    </row>
    <row r="120" spans="1:16">
      <c r="A120" s="647" t="s">
        <v>364</v>
      </c>
      <c r="B120" s="641"/>
      <c r="C120" s="709"/>
      <c r="D120" s="699"/>
      <c r="E120" s="130"/>
      <c r="F120" s="130"/>
      <c r="G120" s="129"/>
      <c r="H120" s="129"/>
      <c r="I120" s="129"/>
      <c r="J120" s="130"/>
      <c r="K120" s="932">
        <v>14</v>
      </c>
      <c r="L120" s="837">
        <v>13</v>
      </c>
      <c r="M120" s="725">
        <v>11</v>
      </c>
      <c r="N120" s="330">
        <f t="shared" si="5"/>
        <v>38</v>
      </c>
      <c r="O120" s="749">
        <f t="shared" si="4"/>
        <v>12.666666666666666</v>
      </c>
      <c r="P120" s="751">
        <f t="shared" si="7"/>
        <v>0.26354116096816699</v>
      </c>
    </row>
    <row r="121" spans="1:16">
      <c r="A121" s="674" t="s">
        <v>105</v>
      </c>
      <c r="B121" s="641"/>
      <c r="C121" s="709"/>
      <c r="D121" s="699"/>
      <c r="E121" s="130"/>
      <c r="F121" s="130"/>
      <c r="G121" s="129"/>
      <c r="H121" s="129"/>
      <c r="I121" s="129"/>
      <c r="J121" s="130"/>
      <c r="K121" s="932">
        <v>3</v>
      </c>
      <c r="L121" s="837">
        <v>0</v>
      </c>
      <c r="M121" s="725">
        <v>0</v>
      </c>
      <c r="N121" s="330">
        <f t="shared" si="5"/>
        <v>3</v>
      </c>
      <c r="O121" s="749">
        <f t="shared" si="4"/>
        <v>1</v>
      </c>
      <c r="P121" s="751">
        <f t="shared" si="7"/>
        <v>2.0805881129065815E-2</v>
      </c>
    </row>
    <row r="122" spans="1:16">
      <c r="A122" s="674" t="s">
        <v>106</v>
      </c>
      <c r="B122" s="641"/>
      <c r="C122" s="709"/>
      <c r="D122" s="699"/>
      <c r="E122" s="130"/>
      <c r="F122" s="130"/>
      <c r="G122" s="129"/>
      <c r="H122" s="129"/>
      <c r="I122" s="129"/>
      <c r="J122" s="130"/>
      <c r="K122" s="933">
        <v>0</v>
      </c>
      <c r="L122" s="837">
        <v>0</v>
      </c>
      <c r="M122" s="725">
        <v>0</v>
      </c>
      <c r="N122" s="330">
        <f t="shared" si="5"/>
        <v>0</v>
      </c>
      <c r="O122" s="749">
        <f t="shared" ref="O122:O165" si="8">AVERAGE(B122:M122)</f>
        <v>0</v>
      </c>
      <c r="P122" s="751">
        <f t="shared" si="7"/>
        <v>0</v>
      </c>
    </row>
    <row r="123" spans="1:16">
      <c r="A123" s="674" t="s">
        <v>107</v>
      </c>
      <c r="B123" s="641"/>
      <c r="C123" s="709"/>
      <c r="D123" s="699"/>
      <c r="E123" s="130"/>
      <c r="F123" s="130"/>
      <c r="G123" s="129"/>
      <c r="H123" s="129"/>
      <c r="I123" s="129"/>
      <c r="J123" s="130"/>
      <c r="K123" s="932">
        <v>1</v>
      </c>
      <c r="L123" s="837">
        <v>1</v>
      </c>
      <c r="M123" s="725">
        <v>1</v>
      </c>
      <c r="N123" s="330">
        <f t="shared" ref="N123:N165" si="9">SUM(B123:M123)</f>
        <v>3</v>
      </c>
      <c r="O123" s="749">
        <f t="shared" si="8"/>
        <v>1</v>
      </c>
      <c r="P123" s="751">
        <f t="shared" si="7"/>
        <v>2.0805881129065815E-2</v>
      </c>
    </row>
    <row r="124" spans="1:16">
      <c r="A124" s="674" t="s">
        <v>225</v>
      </c>
      <c r="B124" s="641"/>
      <c r="C124" s="709"/>
      <c r="D124" s="699"/>
      <c r="E124" s="130"/>
      <c r="F124" s="130"/>
      <c r="G124" s="129"/>
      <c r="H124" s="129"/>
      <c r="I124" s="129"/>
      <c r="J124" s="130"/>
      <c r="K124" s="932">
        <v>175</v>
      </c>
      <c r="L124" s="837">
        <v>88</v>
      </c>
      <c r="M124" s="725">
        <v>61</v>
      </c>
      <c r="N124" s="330">
        <f t="shared" si="9"/>
        <v>324</v>
      </c>
      <c r="O124" s="749">
        <f t="shared" si="8"/>
        <v>108</v>
      </c>
      <c r="P124" s="751">
        <f t="shared" si="7"/>
        <v>2.2470351619391078</v>
      </c>
    </row>
    <row r="125" spans="1:16" s="334" customFormat="1">
      <c r="A125" s="674" t="s">
        <v>250</v>
      </c>
      <c r="B125" s="641"/>
      <c r="C125" s="709"/>
      <c r="D125" s="699"/>
      <c r="E125" s="130"/>
      <c r="F125" s="130"/>
      <c r="G125" s="129"/>
      <c r="H125" s="129"/>
      <c r="I125" s="129"/>
      <c r="J125" s="130"/>
      <c r="K125" s="932">
        <v>4</v>
      </c>
      <c r="L125" s="837">
        <v>1</v>
      </c>
      <c r="M125" s="725">
        <v>2</v>
      </c>
      <c r="N125" s="330">
        <f t="shared" si="9"/>
        <v>7</v>
      </c>
      <c r="O125" s="749">
        <f t="shared" si="8"/>
        <v>2.3333333333333335</v>
      </c>
      <c r="P125" s="751">
        <f t="shared" si="7"/>
        <v>4.8547055967820239E-2</v>
      </c>
    </row>
    <row r="126" spans="1:16" s="303" customFormat="1">
      <c r="A126" s="674" t="s">
        <v>387</v>
      </c>
      <c r="B126" s="641"/>
      <c r="C126" s="709"/>
      <c r="D126" s="699"/>
      <c r="E126" s="130"/>
      <c r="F126" s="130"/>
      <c r="G126" s="129"/>
      <c r="H126" s="129"/>
      <c r="I126" s="129"/>
      <c r="J126" s="130"/>
      <c r="K126" s="932">
        <v>1</v>
      </c>
      <c r="L126" s="837">
        <v>0</v>
      </c>
      <c r="M126" s="725">
        <v>0</v>
      </c>
      <c r="N126" s="330">
        <f t="shared" si="9"/>
        <v>1</v>
      </c>
      <c r="O126" s="749">
        <f t="shared" si="8"/>
        <v>0.33333333333333331</v>
      </c>
      <c r="P126" s="751">
        <f t="shared" si="7"/>
        <v>6.9352937096886051E-3</v>
      </c>
    </row>
    <row r="127" spans="1:16" s="1" customFormat="1">
      <c r="A127" s="647" t="s">
        <v>201</v>
      </c>
      <c r="B127" s="641"/>
      <c r="C127" s="709"/>
      <c r="D127" s="699"/>
      <c r="E127" s="130"/>
      <c r="F127" s="130"/>
      <c r="G127" s="129"/>
      <c r="H127" s="129"/>
      <c r="I127" s="129"/>
      <c r="J127" s="130"/>
      <c r="K127" s="932">
        <v>96</v>
      </c>
      <c r="L127" s="837">
        <v>72</v>
      </c>
      <c r="M127" s="725">
        <v>85</v>
      </c>
      <c r="N127" s="330">
        <f t="shared" si="9"/>
        <v>253</v>
      </c>
      <c r="O127" s="749">
        <f t="shared" si="8"/>
        <v>84.333333333333329</v>
      </c>
      <c r="P127" s="751">
        <f t="shared" si="7"/>
        <v>1.754629308551217</v>
      </c>
    </row>
    <row r="128" spans="1:16" s="1" customFormat="1">
      <c r="A128" s="647" t="s">
        <v>267</v>
      </c>
      <c r="B128" s="641"/>
      <c r="C128" s="709"/>
      <c r="D128" s="699"/>
      <c r="E128" s="130"/>
      <c r="F128" s="130"/>
      <c r="G128" s="129"/>
      <c r="H128" s="129"/>
      <c r="I128" s="129"/>
      <c r="J128" s="130"/>
      <c r="K128" s="933">
        <v>0</v>
      </c>
      <c r="L128" s="837">
        <v>0</v>
      </c>
      <c r="M128" s="725">
        <v>0</v>
      </c>
      <c r="N128" s="330">
        <f t="shared" si="9"/>
        <v>0</v>
      </c>
      <c r="O128" s="749">
        <f t="shared" si="8"/>
        <v>0</v>
      </c>
      <c r="P128" s="751">
        <f t="shared" si="7"/>
        <v>0</v>
      </c>
    </row>
    <row r="129" spans="1:16">
      <c r="A129" s="674" t="s">
        <v>388</v>
      </c>
      <c r="B129" s="641"/>
      <c r="C129" s="709"/>
      <c r="D129" s="699"/>
      <c r="E129" s="130"/>
      <c r="F129" s="130"/>
      <c r="G129" s="129"/>
      <c r="H129" s="129"/>
      <c r="I129" s="129"/>
      <c r="J129" s="130"/>
      <c r="K129" s="932">
        <v>2</v>
      </c>
      <c r="L129" s="837">
        <v>7</v>
      </c>
      <c r="M129" s="725">
        <v>4</v>
      </c>
      <c r="N129" s="330">
        <f t="shared" si="9"/>
        <v>13</v>
      </c>
      <c r="O129" s="749">
        <f t="shared" si="8"/>
        <v>4.333333333333333</v>
      </c>
      <c r="P129" s="751">
        <f t="shared" si="7"/>
        <v>9.015881822595187E-2</v>
      </c>
    </row>
    <row r="130" spans="1:16">
      <c r="A130" s="674" t="s">
        <v>108</v>
      </c>
      <c r="B130" s="641"/>
      <c r="C130" s="709"/>
      <c r="D130" s="699"/>
      <c r="E130" s="130"/>
      <c r="F130" s="130"/>
      <c r="G130" s="129"/>
      <c r="H130" s="129"/>
      <c r="I130" s="129"/>
      <c r="J130" s="130"/>
      <c r="K130" s="932">
        <v>6</v>
      </c>
      <c r="L130" s="837">
        <v>14</v>
      </c>
      <c r="M130" s="725">
        <v>9</v>
      </c>
      <c r="N130" s="330">
        <f t="shared" si="9"/>
        <v>29</v>
      </c>
      <c r="O130" s="749">
        <f t="shared" si="8"/>
        <v>9.6666666666666661</v>
      </c>
      <c r="P130" s="751">
        <f t="shared" si="7"/>
        <v>0.20112351758096955</v>
      </c>
    </row>
    <row r="131" spans="1:16" s="206" customFormat="1">
      <c r="A131" s="674" t="s">
        <v>226</v>
      </c>
      <c r="B131" s="641"/>
      <c r="C131" s="709"/>
      <c r="D131" s="699"/>
      <c r="E131" s="130"/>
      <c r="F131" s="130"/>
      <c r="G131" s="129"/>
      <c r="H131" s="129"/>
      <c r="I131" s="129"/>
      <c r="J131" s="130"/>
      <c r="K131" s="933">
        <v>0</v>
      </c>
      <c r="L131" s="837">
        <v>1</v>
      </c>
      <c r="M131" s="725">
        <v>0</v>
      </c>
      <c r="N131" s="330">
        <f t="shared" si="9"/>
        <v>1</v>
      </c>
      <c r="O131" s="749">
        <f t="shared" si="8"/>
        <v>0.33333333333333331</v>
      </c>
      <c r="P131" s="751">
        <f t="shared" si="7"/>
        <v>6.9352937096886051E-3</v>
      </c>
    </row>
    <row r="132" spans="1:16" s="42" customFormat="1">
      <c r="A132" s="647" t="s">
        <v>379</v>
      </c>
      <c r="B132" s="635"/>
      <c r="C132" s="709"/>
      <c r="D132" s="698"/>
      <c r="E132" s="129"/>
      <c r="F132" s="129"/>
      <c r="G132" s="129"/>
      <c r="H132" s="129"/>
      <c r="I132" s="129"/>
      <c r="J132" s="129"/>
      <c r="K132" s="932">
        <v>2</v>
      </c>
      <c r="L132" s="837">
        <v>6</v>
      </c>
      <c r="M132" s="725">
        <v>3</v>
      </c>
      <c r="N132" s="330">
        <f>SUM(B132:M132)</f>
        <v>11</v>
      </c>
      <c r="O132" s="749">
        <f>AVERAGE(B132:M132)</f>
        <v>3.6666666666666665</v>
      </c>
      <c r="P132" s="751">
        <f t="shared" si="7"/>
        <v>7.6288230806574667E-2</v>
      </c>
    </row>
    <row r="133" spans="1:16">
      <c r="A133" s="674" t="s">
        <v>109</v>
      </c>
      <c r="B133" s="641"/>
      <c r="C133" s="709"/>
      <c r="D133" s="699"/>
      <c r="E133" s="130"/>
      <c r="F133" s="130"/>
      <c r="G133" s="129"/>
      <c r="H133" s="129"/>
      <c r="I133" s="129"/>
      <c r="J133" s="130"/>
      <c r="K133" s="933">
        <v>0</v>
      </c>
      <c r="L133" s="837">
        <v>0</v>
      </c>
      <c r="M133" s="725">
        <v>1</v>
      </c>
      <c r="N133" s="330">
        <f t="shared" si="9"/>
        <v>1</v>
      </c>
      <c r="O133" s="749">
        <f t="shared" si="8"/>
        <v>0.33333333333333331</v>
      </c>
      <c r="P133" s="751">
        <f t="shared" ref="P133:P164" si="10">(N133/$N$187)*100</f>
        <v>6.9352937096886051E-3</v>
      </c>
    </row>
    <row r="134" spans="1:16">
      <c r="A134" s="674" t="s">
        <v>110</v>
      </c>
      <c r="B134" s="641"/>
      <c r="C134" s="709"/>
      <c r="D134" s="699"/>
      <c r="E134" s="130"/>
      <c r="F134" s="130"/>
      <c r="G134" s="129"/>
      <c r="H134" s="129"/>
      <c r="I134" s="129"/>
      <c r="J134" s="130"/>
      <c r="K134" s="933">
        <v>0</v>
      </c>
      <c r="L134" s="837">
        <v>0</v>
      </c>
      <c r="M134" s="725">
        <v>0</v>
      </c>
      <c r="N134" s="330">
        <f t="shared" si="9"/>
        <v>0</v>
      </c>
      <c r="O134" s="749">
        <f t="shared" si="8"/>
        <v>0</v>
      </c>
      <c r="P134" s="751">
        <f t="shared" si="10"/>
        <v>0</v>
      </c>
    </row>
    <row r="135" spans="1:16">
      <c r="A135" s="674" t="s">
        <v>111</v>
      </c>
      <c r="B135" s="641"/>
      <c r="C135" s="709"/>
      <c r="D135" s="699"/>
      <c r="E135" s="130"/>
      <c r="F135" s="130"/>
      <c r="G135" s="129"/>
      <c r="H135" s="129"/>
      <c r="I135" s="129"/>
      <c r="J135" s="130"/>
      <c r="K135" s="933">
        <v>0</v>
      </c>
      <c r="L135" s="837">
        <v>0</v>
      </c>
      <c r="M135" s="725">
        <v>0</v>
      </c>
      <c r="N135" s="330">
        <f t="shared" si="9"/>
        <v>0</v>
      </c>
      <c r="O135" s="749">
        <f t="shared" si="8"/>
        <v>0</v>
      </c>
      <c r="P135" s="751">
        <f t="shared" si="10"/>
        <v>0</v>
      </c>
    </row>
    <row r="136" spans="1:16">
      <c r="A136" s="674" t="s">
        <v>112</v>
      </c>
      <c r="B136" s="641"/>
      <c r="C136" s="709"/>
      <c r="D136" s="699"/>
      <c r="E136" s="130"/>
      <c r="F136" s="130"/>
      <c r="G136" s="129"/>
      <c r="H136" s="129"/>
      <c r="I136" s="129"/>
      <c r="J136" s="130"/>
      <c r="K136" s="932">
        <v>46</v>
      </c>
      <c r="L136" s="837">
        <v>11</v>
      </c>
      <c r="M136" s="725">
        <v>6</v>
      </c>
      <c r="N136" s="330">
        <f t="shared" si="9"/>
        <v>63</v>
      </c>
      <c r="O136" s="749">
        <f t="shared" si="8"/>
        <v>21</v>
      </c>
      <c r="P136" s="751">
        <f t="shared" si="10"/>
        <v>0.43692350371038219</v>
      </c>
    </row>
    <row r="137" spans="1:16">
      <c r="A137" s="674" t="s">
        <v>113</v>
      </c>
      <c r="B137" s="641"/>
      <c r="C137" s="709"/>
      <c r="D137" s="699"/>
      <c r="E137" s="130"/>
      <c r="F137" s="130"/>
      <c r="G137" s="129"/>
      <c r="H137" s="129"/>
      <c r="I137" s="129"/>
      <c r="J137" s="130"/>
      <c r="K137" s="932">
        <v>215</v>
      </c>
      <c r="L137" s="837">
        <v>193</v>
      </c>
      <c r="M137" s="725">
        <v>239</v>
      </c>
      <c r="N137" s="330">
        <f t="shared" si="9"/>
        <v>647</v>
      </c>
      <c r="O137" s="749">
        <f t="shared" si="8"/>
        <v>215.66666666666666</v>
      </c>
      <c r="P137" s="751">
        <f t="shared" si="10"/>
        <v>4.4871350301685275</v>
      </c>
    </row>
    <row r="138" spans="1:16" s="206" customFormat="1">
      <c r="A138" s="674" t="s">
        <v>227</v>
      </c>
      <c r="B138" s="641"/>
      <c r="C138" s="709"/>
      <c r="D138" s="699"/>
      <c r="E138" s="130"/>
      <c r="F138" s="130"/>
      <c r="G138" s="129"/>
      <c r="H138" s="129"/>
      <c r="I138" s="129"/>
      <c r="J138" s="130"/>
      <c r="K138" s="932">
        <v>19</v>
      </c>
      <c r="L138" s="837">
        <v>11</v>
      </c>
      <c r="M138" s="725">
        <v>15</v>
      </c>
      <c r="N138" s="330">
        <f>SUM(B138:M138)</f>
        <v>45</v>
      </c>
      <c r="O138" s="749">
        <f>AVERAGE(B138:M138)</f>
        <v>15</v>
      </c>
      <c r="P138" s="751">
        <f t="shared" si="10"/>
        <v>0.31208821693598721</v>
      </c>
    </row>
    <row r="139" spans="1:16">
      <c r="A139" s="674" t="s">
        <v>114</v>
      </c>
      <c r="B139" s="641"/>
      <c r="C139" s="709"/>
      <c r="D139" s="699"/>
      <c r="E139" s="130"/>
      <c r="F139" s="130"/>
      <c r="G139" s="129"/>
      <c r="H139" s="129"/>
      <c r="I139" s="129"/>
      <c r="J139" s="130"/>
      <c r="K139" s="932">
        <v>87</v>
      </c>
      <c r="L139" s="837">
        <v>79</v>
      </c>
      <c r="M139" s="725">
        <v>67</v>
      </c>
      <c r="N139" s="330">
        <f t="shared" si="9"/>
        <v>233</v>
      </c>
      <c r="O139" s="749">
        <f t="shared" si="8"/>
        <v>77.666666666666671</v>
      </c>
      <c r="P139" s="751">
        <f t="shared" si="10"/>
        <v>1.6159234343574451</v>
      </c>
    </row>
    <row r="140" spans="1:16">
      <c r="A140" s="647" t="s">
        <v>381</v>
      </c>
      <c r="B140" s="641"/>
      <c r="C140" s="709"/>
      <c r="D140" s="699"/>
      <c r="E140" s="130"/>
      <c r="F140" s="130"/>
      <c r="G140" s="129"/>
      <c r="H140" s="129"/>
      <c r="I140" s="129"/>
      <c r="J140" s="130"/>
      <c r="K140" s="932">
        <v>14</v>
      </c>
      <c r="L140" s="837">
        <v>25</v>
      </c>
      <c r="M140" s="725">
        <v>25</v>
      </c>
      <c r="N140" s="330">
        <f t="shared" si="9"/>
        <v>64</v>
      </c>
      <c r="O140" s="749">
        <f t="shared" si="8"/>
        <v>21.333333333333332</v>
      </c>
      <c r="P140" s="751">
        <f t="shared" si="10"/>
        <v>0.44385879742007073</v>
      </c>
    </row>
    <row r="141" spans="1:16">
      <c r="A141" s="674" t="s">
        <v>115</v>
      </c>
      <c r="B141" s="641"/>
      <c r="C141" s="709"/>
      <c r="D141" s="699"/>
      <c r="E141" s="130"/>
      <c r="F141" s="130"/>
      <c r="G141" s="129"/>
      <c r="H141" s="129"/>
      <c r="I141" s="129"/>
      <c r="J141" s="130"/>
      <c r="K141" s="932">
        <v>11</v>
      </c>
      <c r="L141" s="837">
        <v>11</v>
      </c>
      <c r="M141" s="725">
        <v>11</v>
      </c>
      <c r="N141" s="330">
        <f t="shared" si="9"/>
        <v>33</v>
      </c>
      <c r="O141" s="749">
        <f t="shared" si="8"/>
        <v>11</v>
      </c>
      <c r="P141" s="751">
        <f t="shared" si="10"/>
        <v>0.22886469241972396</v>
      </c>
    </row>
    <row r="142" spans="1:16">
      <c r="A142" s="674" t="s">
        <v>116</v>
      </c>
      <c r="B142" s="641"/>
      <c r="C142" s="709"/>
      <c r="D142" s="699"/>
      <c r="E142" s="130"/>
      <c r="F142" s="130"/>
      <c r="G142" s="129"/>
      <c r="H142" s="129"/>
      <c r="I142" s="129"/>
      <c r="J142" s="130"/>
      <c r="K142" s="932">
        <v>20</v>
      </c>
      <c r="L142" s="837">
        <v>22</v>
      </c>
      <c r="M142" s="725">
        <v>11</v>
      </c>
      <c r="N142" s="330">
        <f t="shared" si="9"/>
        <v>53</v>
      </c>
      <c r="O142" s="749">
        <f t="shared" si="8"/>
        <v>17.666666666666668</v>
      </c>
      <c r="P142" s="751">
        <f t="shared" si="10"/>
        <v>0.36757056661349607</v>
      </c>
    </row>
    <row r="143" spans="1:16">
      <c r="A143" s="674" t="s">
        <v>117</v>
      </c>
      <c r="B143" s="641"/>
      <c r="C143" s="709"/>
      <c r="D143" s="699"/>
      <c r="E143" s="130"/>
      <c r="F143" s="130"/>
      <c r="G143" s="129"/>
      <c r="H143" s="129"/>
      <c r="I143" s="129"/>
      <c r="J143" s="130"/>
      <c r="K143" s="932">
        <v>7</v>
      </c>
      <c r="L143" s="837">
        <v>1</v>
      </c>
      <c r="M143" s="725">
        <v>2</v>
      </c>
      <c r="N143" s="330">
        <f t="shared" si="9"/>
        <v>10</v>
      </c>
      <c r="O143" s="749">
        <f t="shared" si="8"/>
        <v>3.3333333333333335</v>
      </c>
      <c r="P143" s="751">
        <f t="shared" si="10"/>
        <v>6.9352937096886058E-2</v>
      </c>
    </row>
    <row r="144" spans="1:16">
      <c r="A144" s="647" t="s">
        <v>365</v>
      </c>
      <c r="B144" s="641"/>
      <c r="C144" s="709"/>
      <c r="D144" s="699"/>
      <c r="E144" s="130"/>
      <c r="F144" s="130"/>
      <c r="G144" s="129"/>
      <c r="H144" s="129"/>
      <c r="I144" s="129"/>
      <c r="J144" s="130"/>
      <c r="K144" s="932">
        <v>86</v>
      </c>
      <c r="L144" s="837">
        <v>98</v>
      </c>
      <c r="M144" s="725">
        <v>138</v>
      </c>
      <c r="N144" s="330">
        <f t="shared" si="9"/>
        <v>322</v>
      </c>
      <c r="O144" s="749">
        <f t="shared" si="8"/>
        <v>107.33333333333333</v>
      </c>
      <c r="P144" s="751">
        <f t="shared" si="10"/>
        <v>2.2331645745197313</v>
      </c>
    </row>
    <row r="145" spans="1:16" s="615" customFormat="1">
      <c r="A145" s="674" t="s">
        <v>346</v>
      </c>
      <c r="B145" s="641"/>
      <c r="C145" s="709"/>
      <c r="D145" s="699"/>
      <c r="E145" s="130"/>
      <c r="F145" s="130"/>
      <c r="G145" s="129"/>
      <c r="H145" s="129"/>
      <c r="I145" s="129"/>
      <c r="J145" s="130"/>
      <c r="K145" s="933">
        <v>0</v>
      </c>
      <c r="L145" s="837">
        <v>0</v>
      </c>
      <c r="M145" s="725">
        <v>1</v>
      </c>
      <c r="N145" s="330">
        <f t="shared" si="9"/>
        <v>1</v>
      </c>
      <c r="O145" s="749">
        <f t="shared" si="8"/>
        <v>0.33333333333333331</v>
      </c>
      <c r="P145" s="751">
        <f t="shared" si="10"/>
        <v>6.9352937096886051E-3</v>
      </c>
    </row>
    <row r="146" spans="1:16" s="417" customFormat="1">
      <c r="A146" s="674" t="s">
        <v>273</v>
      </c>
      <c r="B146" s="641"/>
      <c r="C146" s="709"/>
      <c r="D146" s="699"/>
      <c r="E146" s="130"/>
      <c r="F146" s="130"/>
      <c r="G146" s="129"/>
      <c r="H146" s="129"/>
      <c r="I146" s="129"/>
      <c r="J146" s="130"/>
      <c r="K146" s="933">
        <v>0</v>
      </c>
      <c r="L146" s="837">
        <v>0</v>
      </c>
      <c r="M146" s="725">
        <v>0</v>
      </c>
      <c r="N146" s="330">
        <f t="shared" si="9"/>
        <v>0</v>
      </c>
      <c r="O146" s="749">
        <f t="shared" si="8"/>
        <v>0</v>
      </c>
      <c r="P146" s="751">
        <f t="shared" si="10"/>
        <v>0</v>
      </c>
    </row>
    <row r="147" spans="1:16">
      <c r="A147" s="647" t="s">
        <v>118</v>
      </c>
      <c r="B147" s="641"/>
      <c r="C147" s="709"/>
      <c r="D147" s="699"/>
      <c r="E147" s="130"/>
      <c r="F147" s="130"/>
      <c r="G147" s="129"/>
      <c r="H147" s="129"/>
      <c r="I147" s="129"/>
      <c r="J147" s="130"/>
      <c r="K147" s="932">
        <v>1</v>
      </c>
      <c r="L147" s="837">
        <v>0</v>
      </c>
      <c r="M147" s="725">
        <v>0</v>
      </c>
      <c r="N147" s="330">
        <f t="shared" si="9"/>
        <v>1</v>
      </c>
      <c r="O147" s="749">
        <f t="shared" si="8"/>
        <v>0.33333333333333331</v>
      </c>
      <c r="P147" s="751">
        <f t="shared" si="10"/>
        <v>6.9352937096886051E-3</v>
      </c>
    </row>
    <row r="148" spans="1:16" s="684" customFormat="1">
      <c r="A148" s="647" t="s">
        <v>389</v>
      </c>
      <c r="B148" s="641"/>
      <c r="C148" s="709"/>
      <c r="D148" s="699"/>
      <c r="E148" s="130"/>
      <c r="F148" s="130"/>
      <c r="G148" s="129"/>
      <c r="H148" s="129"/>
      <c r="I148" s="129"/>
      <c r="J148" s="130"/>
      <c r="K148" s="932">
        <v>2</v>
      </c>
      <c r="L148" s="837">
        <v>0</v>
      </c>
      <c r="M148" s="725">
        <v>0</v>
      </c>
      <c r="N148" s="330">
        <f t="shared" si="9"/>
        <v>2</v>
      </c>
      <c r="O148" s="749">
        <f t="shared" si="8"/>
        <v>0.66666666666666663</v>
      </c>
      <c r="P148" s="751">
        <f t="shared" si="10"/>
        <v>1.387058741937721E-2</v>
      </c>
    </row>
    <row r="149" spans="1:16" s="353" customFormat="1">
      <c r="A149" s="647" t="s">
        <v>256</v>
      </c>
      <c r="B149" s="641"/>
      <c r="C149" s="709"/>
      <c r="D149" s="699"/>
      <c r="E149" s="130"/>
      <c r="F149" s="130"/>
      <c r="G149" s="129"/>
      <c r="H149" s="129"/>
      <c r="I149" s="129"/>
      <c r="J149" s="130"/>
      <c r="K149" s="933">
        <v>0</v>
      </c>
      <c r="L149" s="837">
        <v>0</v>
      </c>
      <c r="M149" s="725">
        <v>0</v>
      </c>
      <c r="N149" s="330">
        <f t="shared" si="9"/>
        <v>0</v>
      </c>
      <c r="O149" s="749">
        <f t="shared" si="8"/>
        <v>0</v>
      </c>
      <c r="P149" s="751">
        <f t="shared" si="10"/>
        <v>0</v>
      </c>
    </row>
    <row r="150" spans="1:16" s="303" customFormat="1" ht="14.25" customHeight="1">
      <c r="A150" s="674" t="s">
        <v>249</v>
      </c>
      <c r="B150" s="641"/>
      <c r="C150" s="709"/>
      <c r="D150" s="699"/>
      <c r="E150" s="130"/>
      <c r="F150" s="130"/>
      <c r="G150" s="129"/>
      <c r="H150" s="129"/>
      <c r="I150" s="129"/>
      <c r="J150" s="130"/>
      <c r="K150" s="932">
        <v>2</v>
      </c>
      <c r="L150" s="837">
        <v>3</v>
      </c>
      <c r="M150" s="725">
        <v>3</v>
      </c>
      <c r="N150" s="330">
        <f t="shared" si="9"/>
        <v>8</v>
      </c>
      <c r="O150" s="749">
        <f t="shared" si="8"/>
        <v>2.6666666666666665</v>
      </c>
      <c r="P150" s="751">
        <f t="shared" si="10"/>
        <v>5.5482349677508841E-2</v>
      </c>
    </row>
    <row r="151" spans="1:16" s="334" customFormat="1">
      <c r="A151" s="674" t="s">
        <v>251</v>
      </c>
      <c r="B151" s="641"/>
      <c r="C151" s="709"/>
      <c r="D151" s="699"/>
      <c r="E151" s="130"/>
      <c r="F151" s="130"/>
      <c r="G151" s="129"/>
      <c r="H151" s="129"/>
      <c r="I151" s="129"/>
      <c r="J151" s="130"/>
      <c r="K151" s="933">
        <v>0</v>
      </c>
      <c r="L151" s="837">
        <v>0</v>
      </c>
      <c r="M151" s="725">
        <v>0</v>
      </c>
      <c r="N151" s="330">
        <f t="shared" si="9"/>
        <v>0</v>
      </c>
      <c r="O151" s="749">
        <f t="shared" si="8"/>
        <v>0</v>
      </c>
      <c r="P151" s="751">
        <f t="shared" si="10"/>
        <v>0</v>
      </c>
    </row>
    <row r="152" spans="1:16">
      <c r="A152" s="674" t="s">
        <v>119</v>
      </c>
      <c r="B152" s="641"/>
      <c r="C152" s="709"/>
      <c r="D152" s="699"/>
      <c r="E152" s="130"/>
      <c r="F152" s="130"/>
      <c r="G152" s="129"/>
      <c r="H152" s="129"/>
      <c r="I152" s="129"/>
      <c r="J152" s="130"/>
      <c r="K152" s="933">
        <v>0</v>
      </c>
      <c r="L152" s="837">
        <v>1</v>
      </c>
      <c r="M152" s="725">
        <v>0</v>
      </c>
      <c r="N152" s="330">
        <f t="shared" si="9"/>
        <v>1</v>
      </c>
      <c r="O152" s="749">
        <f t="shared" si="8"/>
        <v>0.33333333333333331</v>
      </c>
      <c r="P152" s="751">
        <f t="shared" si="10"/>
        <v>6.9352937096886051E-3</v>
      </c>
    </row>
    <row r="153" spans="1:16">
      <c r="A153" s="674" t="s">
        <v>120</v>
      </c>
      <c r="B153" s="641"/>
      <c r="C153" s="709"/>
      <c r="D153" s="699"/>
      <c r="E153" s="130"/>
      <c r="F153" s="130"/>
      <c r="G153" s="129"/>
      <c r="H153" s="129"/>
      <c r="I153" s="129"/>
      <c r="J153" s="130"/>
      <c r="K153" s="932">
        <v>2</v>
      </c>
      <c r="L153" s="837">
        <v>6</v>
      </c>
      <c r="M153" s="725">
        <v>2</v>
      </c>
      <c r="N153" s="330">
        <f t="shared" si="9"/>
        <v>10</v>
      </c>
      <c r="O153" s="749">
        <f t="shared" si="8"/>
        <v>3.3333333333333335</v>
      </c>
      <c r="P153" s="751">
        <f t="shared" si="10"/>
        <v>6.9352937096886058E-2</v>
      </c>
    </row>
    <row r="154" spans="1:16">
      <c r="A154" s="647" t="s">
        <v>366</v>
      </c>
      <c r="B154" s="641"/>
      <c r="C154" s="709"/>
      <c r="D154" s="699"/>
      <c r="E154" s="130"/>
      <c r="F154" s="130"/>
      <c r="G154" s="129"/>
      <c r="H154" s="129"/>
      <c r="I154" s="129"/>
      <c r="J154" s="130"/>
      <c r="K154" s="932">
        <v>347</v>
      </c>
      <c r="L154" s="837">
        <v>325</v>
      </c>
      <c r="M154" s="725">
        <v>337</v>
      </c>
      <c r="N154" s="330">
        <f t="shared" si="9"/>
        <v>1009</v>
      </c>
      <c r="O154" s="749">
        <f t="shared" si="8"/>
        <v>336.33333333333331</v>
      </c>
      <c r="P154" s="751">
        <f t="shared" si="10"/>
        <v>6.9977113530758031</v>
      </c>
    </row>
    <row r="155" spans="1:16" s="159" customFormat="1">
      <c r="A155" s="674" t="s">
        <v>208</v>
      </c>
      <c r="B155" s="641"/>
      <c r="C155" s="709"/>
      <c r="D155" s="699"/>
      <c r="E155" s="130"/>
      <c r="F155" s="130"/>
      <c r="G155" s="129"/>
      <c r="H155" s="129"/>
      <c r="I155" s="129"/>
      <c r="J155" s="130"/>
      <c r="K155" s="933">
        <v>0</v>
      </c>
      <c r="L155" s="837">
        <v>0</v>
      </c>
      <c r="M155" s="725">
        <v>1</v>
      </c>
      <c r="N155" s="330">
        <f t="shared" si="9"/>
        <v>1</v>
      </c>
      <c r="O155" s="749">
        <f t="shared" si="8"/>
        <v>0.33333333333333331</v>
      </c>
      <c r="P155" s="751">
        <f t="shared" si="10"/>
        <v>6.9352937096886051E-3</v>
      </c>
    </row>
    <row r="156" spans="1:16">
      <c r="A156" s="674" t="s">
        <v>121</v>
      </c>
      <c r="B156" s="641"/>
      <c r="C156" s="709"/>
      <c r="D156" s="699"/>
      <c r="E156" s="130"/>
      <c r="F156" s="130"/>
      <c r="G156" s="129"/>
      <c r="H156" s="129"/>
      <c r="I156" s="129"/>
      <c r="J156" s="130"/>
      <c r="K156" s="933">
        <v>0</v>
      </c>
      <c r="L156" s="837">
        <v>0</v>
      </c>
      <c r="M156" s="725">
        <v>0</v>
      </c>
      <c r="N156" s="330">
        <f t="shared" si="9"/>
        <v>0</v>
      </c>
      <c r="O156" s="749">
        <f t="shared" si="8"/>
        <v>0</v>
      </c>
      <c r="P156" s="751">
        <f t="shared" si="10"/>
        <v>0</v>
      </c>
    </row>
    <row r="157" spans="1:16">
      <c r="A157" s="647" t="s">
        <v>367</v>
      </c>
      <c r="B157" s="641"/>
      <c r="C157" s="709"/>
      <c r="D157" s="699"/>
      <c r="E157" s="130"/>
      <c r="F157" s="130"/>
      <c r="G157" s="129"/>
      <c r="H157" s="129"/>
      <c r="I157" s="129"/>
      <c r="J157" s="130"/>
      <c r="K157" s="932">
        <v>7</v>
      </c>
      <c r="L157" s="837">
        <v>6</v>
      </c>
      <c r="M157" s="725">
        <v>0</v>
      </c>
      <c r="N157" s="330">
        <f t="shared" si="9"/>
        <v>13</v>
      </c>
      <c r="O157" s="749">
        <f t="shared" si="8"/>
        <v>4.333333333333333</v>
      </c>
      <c r="P157" s="751">
        <f t="shared" si="10"/>
        <v>9.015881822595187E-2</v>
      </c>
    </row>
    <row r="158" spans="1:16">
      <c r="A158" s="674" t="s">
        <v>122</v>
      </c>
      <c r="B158" s="641"/>
      <c r="C158" s="709"/>
      <c r="D158" s="699"/>
      <c r="E158" s="130"/>
      <c r="F158" s="130"/>
      <c r="G158" s="129"/>
      <c r="H158" s="129"/>
      <c r="I158" s="129"/>
      <c r="J158" s="130"/>
      <c r="K158" s="932">
        <v>4</v>
      </c>
      <c r="L158" s="837">
        <v>1</v>
      </c>
      <c r="M158" s="725">
        <v>7</v>
      </c>
      <c r="N158" s="330">
        <f t="shared" si="9"/>
        <v>12</v>
      </c>
      <c r="O158" s="749">
        <f t="shared" si="8"/>
        <v>4</v>
      </c>
      <c r="P158" s="751">
        <f t="shared" si="10"/>
        <v>8.3223524516263261E-2</v>
      </c>
    </row>
    <row r="159" spans="1:16" s="159" customFormat="1">
      <c r="A159" s="647" t="s">
        <v>380</v>
      </c>
      <c r="B159" s="641"/>
      <c r="C159" s="709"/>
      <c r="D159" s="699"/>
      <c r="E159" s="130"/>
      <c r="F159" s="130"/>
      <c r="G159" s="129"/>
      <c r="H159" s="129"/>
      <c r="I159" s="129"/>
      <c r="J159" s="130"/>
      <c r="K159" s="933">
        <v>0</v>
      </c>
      <c r="L159" s="837">
        <v>0</v>
      </c>
      <c r="M159" s="725">
        <v>0</v>
      </c>
      <c r="N159" s="330">
        <f t="shared" si="9"/>
        <v>0</v>
      </c>
      <c r="O159" s="749">
        <f t="shared" si="8"/>
        <v>0</v>
      </c>
      <c r="P159" s="751">
        <f t="shared" si="10"/>
        <v>0</v>
      </c>
    </row>
    <row r="160" spans="1:16">
      <c r="A160" s="674" t="s">
        <v>123</v>
      </c>
      <c r="B160" s="641"/>
      <c r="C160" s="709"/>
      <c r="D160" s="699"/>
      <c r="E160" s="130"/>
      <c r="F160" s="130"/>
      <c r="G160" s="129"/>
      <c r="H160" s="129"/>
      <c r="I160" s="129"/>
      <c r="J160" s="130"/>
      <c r="K160" s="932">
        <v>15</v>
      </c>
      <c r="L160" s="837">
        <v>6</v>
      </c>
      <c r="M160" s="725">
        <v>7</v>
      </c>
      <c r="N160" s="330">
        <f t="shared" si="9"/>
        <v>28</v>
      </c>
      <c r="O160" s="749">
        <f t="shared" si="8"/>
        <v>9.3333333333333339</v>
      </c>
      <c r="P160" s="751">
        <f t="shared" si="10"/>
        <v>0.19418822387128096</v>
      </c>
    </row>
    <row r="161" spans="1:16" s="159" customFormat="1">
      <c r="A161" s="674" t="s">
        <v>209</v>
      </c>
      <c r="B161" s="641"/>
      <c r="C161" s="709"/>
      <c r="D161" s="699"/>
      <c r="E161" s="130"/>
      <c r="F161" s="130"/>
      <c r="G161" s="129"/>
      <c r="H161" s="129"/>
      <c r="I161" s="129"/>
      <c r="J161" s="130"/>
      <c r="K161" s="932">
        <v>0</v>
      </c>
      <c r="L161" s="837">
        <v>0</v>
      </c>
      <c r="M161" s="725">
        <v>3</v>
      </c>
      <c r="N161" s="330">
        <f t="shared" si="9"/>
        <v>3</v>
      </c>
      <c r="O161" s="749">
        <f t="shared" si="8"/>
        <v>1</v>
      </c>
      <c r="P161" s="751">
        <f t="shared" si="10"/>
        <v>2.0805881129065815E-2</v>
      </c>
    </row>
    <row r="162" spans="1:16">
      <c r="A162" s="674" t="s">
        <v>124</v>
      </c>
      <c r="B162" s="641"/>
      <c r="C162" s="709"/>
      <c r="D162" s="699"/>
      <c r="E162" s="130"/>
      <c r="F162" s="130"/>
      <c r="G162" s="129"/>
      <c r="H162" s="129"/>
      <c r="I162" s="129"/>
      <c r="J162" s="130"/>
      <c r="K162" s="933">
        <v>0</v>
      </c>
      <c r="L162" s="837">
        <v>0</v>
      </c>
      <c r="M162" s="725">
        <v>0</v>
      </c>
      <c r="N162" s="330">
        <f t="shared" si="9"/>
        <v>0</v>
      </c>
      <c r="O162" s="749">
        <f t="shared" si="8"/>
        <v>0</v>
      </c>
      <c r="P162" s="751">
        <f t="shared" si="10"/>
        <v>0</v>
      </c>
    </row>
    <row r="163" spans="1:16">
      <c r="A163" s="674" t="s">
        <v>125</v>
      </c>
      <c r="B163" s="641"/>
      <c r="C163" s="709"/>
      <c r="D163" s="699"/>
      <c r="E163" s="130"/>
      <c r="F163" s="130"/>
      <c r="G163" s="129"/>
      <c r="H163" s="129"/>
      <c r="I163" s="129"/>
      <c r="J163" s="130"/>
      <c r="K163" s="932">
        <v>23</v>
      </c>
      <c r="L163" s="837">
        <v>22</v>
      </c>
      <c r="M163" s="725">
        <v>9</v>
      </c>
      <c r="N163" s="330">
        <f t="shared" si="9"/>
        <v>54</v>
      </c>
      <c r="O163" s="749">
        <f t="shared" si="8"/>
        <v>18</v>
      </c>
      <c r="P163" s="751">
        <f t="shared" si="10"/>
        <v>0.37450586032318467</v>
      </c>
    </row>
    <row r="164" spans="1:16">
      <c r="A164" s="674" t="s">
        <v>126</v>
      </c>
      <c r="B164" s="641"/>
      <c r="C164" s="709"/>
      <c r="D164" s="699"/>
      <c r="E164" s="130"/>
      <c r="F164" s="130"/>
      <c r="G164" s="129"/>
      <c r="H164" s="129"/>
      <c r="I164" s="129"/>
      <c r="J164" s="130"/>
      <c r="K164" s="932">
        <v>4</v>
      </c>
      <c r="L164" s="837">
        <v>8</v>
      </c>
      <c r="M164" s="725">
        <v>5</v>
      </c>
      <c r="N164" s="330">
        <f t="shared" si="9"/>
        <v>17</v>
      </c>
      <c r="O164" s="749">
        <f t="shared" si="8"/>
        <v>5.666666666666667</v>
      </c>
      <c r="P164" s="751">
        <f t="shared" si="10"/>
        <v>0.11789999306470629</v>
      </c>
    </row>
    <row r="165" spans="1:16">
      <c r="A165" s="647" t="s">
        <v>368</v>
      </c>
      <c r="B165" s="641"/>
      <c r="C165" s="709"/>
      <c r="D165" s="699"/>
      <c r="E165" s="130"/>
      <c r="F165" s="130"/>
      <c r="G165" s="129"/>
      <c r="H165" s="129"/>
      <c r="I165" s="129"/>
      <c r="J165" s="130"/>
      <c r="K165" s="932">
        <v>4</v>
      </c>
      <c r="L165" s="837">
        <v>0</v>
      </c>
      <c r="M165" s="725">
        <v>2</v>
      </c>
      <c r="N165" s="330">
        <f t="shared" si="9"/>
        <v>6</v>
      </c>
      <c r="O165" s="749">
        <f t="shared" si="8"/>
        <v>2</v>
      </c>
      <c r="P165" s="751">
        <f t="shared" ref="P165:P187" si="11">(N165/$N$187)*100</f>
        <v>4.1611762258131631E-2</v>
      </c>
    </row>
    <row r="166" spans="1:16">
      <c r="A166" s="674" t="s">
        <v>127</v>
      </c>
      <c r="B166" s="641"/>
      <c r="C166" s="709"/>
      <c r="D166" s="699"/>
      <c r="E166" s="130"/>
      <c r="F166" s="130"/>
      <c r="G166" s="129"/>
      <c r="H166" s="129"/>
      <c r="I166" s="129"/>
      <c r="J166" s="130"/>
      <c r="K166" s="932">
        <v>1</v>
      </c>
      <c r="L166" s="837">
        <v>1</v>
      </c>
      <c r="M166" s="725">
        <v>1</v>
      </c>
      <c r="N166" s="330">
        <f t="shared" ref="N166:N186" si="12">SUM(B166:M166)</f>
        <v>3</v>
      </c>
      <c r="O166" s="749">
        <f t="shared" ref="O166:O187" si="13">AVERAGE(B166:M166)</f>
        <v>1</v>
      </c>
      <c r="P166" s="751">
        <f t="shared" si="11"/>
        <v>2.0805881129065815E-2</v>
      </c>
    </row>
    <row r="167" spans="1:16">
      <c r="A167" s="674" t="s">
        <v>128</v>
      </c>
      <c r="B167" s="641"/>
      <c r="C167" s="709"/>
      <c r="D167" s="699"/>
      <c r="E167" s="130"/>
      <c r="F167" s="130"/>
      <c r="G167" s="129"/>
      <c r="H167" s="129"/>
      <c r="I167" s="129"/>
      <c r="J167" s="130"/>
      <c r="K167" s="933">
        <v>0</v>
      </c>
      <c r="L167" s="837">
        <v>0</v>
      </c>
      <c r="M167" s="725">
        <v>0</v>
      </c>
      <c r="N167" s="330">
        <f t="shared" si="12"/>
        <v>0</v>
      </c>
      <c r="O167" s="749">
        <f t="shared" si="13"/>
        <v>0</v>
      </c>
      <c r="P167" s="751">
        <f t="shared" si="11"/>
        <v>0</v>
      </c>
    </row>
    <row r="168" spans="1:16">
      <c r="A168" s="674" t="s">
        <v>129</v>
      </c>
      <c r="B168" s="641"/>
      <c r="C168" s="709"/>
      <c r="D168" s="699"/>
      <c r="E168" s="130"/>
      <c r="F168" s="130"/>
      <c r="G168" s="129"/>
      <c r="H168" s="129"/>
      <c r="I168" s="129"/>
      <c r="J168" s="130"/>
      <c r="K168" s="932">
        <v>2</v>
      </c>
      <c r="L168" s="837">
        <v>6</v>
      </c>
      <c r="M168" s="725">
        <v>3</v>
      </c>
      <c r="N168" s="330">
        <f t="shared" si="12"/>
        <v>11</v>
      </c>
      <c r="O168" s="749">
        <f t="shared" si="13"/>
        <v>3.6666666666666665</v>
      </c>
      <c r="P168" s="751">
        <f t="shared" si="11"/>
        <v>7.6288230806574667E-2</v>
      </c>
    </row>
    <row r="169" spans="1:16">
      <c r="A169" s="674" t="s">
        <v>130</v>
      </c>
      <c r="B169" s="641"/>
      <c r="C169" s="709"/>
      <c r="D169" s="699"/>
      <c r="E169" s="130"/>
      <c r="F169" s="130"/>
      <c r="G169" s="129"/>
      <c r="H169" s="129"/>
      <c r="I169" s="129"/>
      <c r="J169" s="130"/>
      <c r="K169" s="932">
        <v>16</v>
      </c>
      <c r="L169" s="837">
        <v>18</v>
      </c>
      <c r="M169" s="725">
        <v>6</v>
      </c>
      <c r="N169" s="330">
        <f t="shared" si="12"/>
        <v>40</v>
      </c>
      <c r="O169" s="749">
        <f t="shared" si="13"/>
        <v>13.333333333333334</v>
      </c>
      <c r="P169" s="751">
        <f t="shared" si="11"/>
        <v>0.27741174838754423</v>
      </c>
    </row>
    <row r="170" spans="1:16">
      <c r="A170" s="674" t="s">
        <v>131</v>
      </c>
      <c r="B170" s="641"/>
      <c r="C170" s="709"/>
      <c r="D170" s="699"/>
      <c r="E170" s="130"/>
      <c r="F170" s="130"/>
      <c r="G170" s="129"/>
      <c r="H170" s="129"/>
      <c r="I170" s="129"/>
      <c r="J170" s="130"/>
      <c r="K170" s="933">
        <v>0</v>
      </c>
      <c r="L170" s="837">
        <v>1</v>
      </c>
      <c r="M170" s="725">
        <v>0</v>
      </c>
      <c r="N170" s="330">
        <f t="shared" si="12"/>
        <v>1</v>
      </c>
      <c r="O170" s="749">
        <f t="shared" si="13"/>
        <v>0.33333333333333331</v>
      </c>
      <c r="P170" s="751">
        <f t="shared" si="11"/>
        <v>6.9352937096886051E-3</v>
      </c>
    </row>
    <row r="171" spans="1:16">
      <c r="A171" s="674" t="s">
        <v>132</v>
      </c>
      <c r="B171" s="641"/>
      <c r="C171" s="709"/>
      <c r="D171" s="699"/>
      <c r="E171" s="130"/>
      <c r="F171" s="130"/>
      <c r="G171" s="129"/>
      <c r="H171" s="129"/>
      <c r="I171" s="129"/>
      <c r="J171" s="130"/>
      <c r="K171" s="932">
        <v>164</v>
      </c>
      <c r="L171" s="837">
        <v>149</v>
      </c>
      <c r="M171" s="725">
        <v>129</v>
      </c>
      <c r="N171" s="330">
        <f t="shared" si="12"/>
        <v>442</v>
      </c>
      <c r="O171" s="749">
        <f t="shared" si="13"/>
        <v>147.33333333333334</v>
      </c>
      <c r="P171" s="751">
        <f t="shared" si="11"/>
        <v>3.0653998196823635</v>
      </c>
    </row>
    <row r="172" spans="1:16">
      <c r="A172" s="674" t="s">
        <v>133</v>
      </c>
      <c r="B172" s="641"/>
      <c r="C172" s="709"/>
      <c r="D172" s="699"/>
      <c r="E172" s="130"/>
      <c r="F172" s="130"/>
      <c r="G172" s="129"/>
      <c r="H172" s="129"/>
      <c r="I172" s="129"/>
      <c r="J172" s="130"/>
      <c r="K172" s="933">
        <v>0</v>
      </c>
      <c r="L172" s="837">
        <v>2</v>
      </c>
      <c r="M172" s="725">
        <v>1</v>
      </c>
      <c r="N172" s="330">
        <f t="shared" si="12"/>
        <v>3</v>
      </c>
      <c r="O172" s="749">
        <f t="shared" si="13"/>
        <v>1</v>
      </c>
      <c r="P172" s="751">
        <f t="shared" si="11"/>
        <v>2.0805881129065815E-2</v>
      </c>
    </row>
    <row r="173" spans="1:16" s="695" customFormat="1">
      <c r="A173" s="674" t="s">
        <v>390</v>
      </c>
      <c r="B173" s="641"/>
      <c r="C173" s="709"/>
      <c r="D173" s="699"/>
      <c r="E173" s="130"/>
      <c r="F173" s="130"/>
      <c r="G173" s="129"/>
      <c r="H173" s="129"/>
      <c r="I173" s="129"/>
      <c r="J173" s="130"/>
      <c r="K173" s="933">
        <v>17</v>
      </c>
      <c r="L173" s="837">
        <v>38</v>
      </c>
      <c r="M173" s="725">
        <v>28</v>
      </c>
      <c r="N173" s="330">
        <f t="shared" si="12"/>
        <v>83</v>
      </c>
      <c r="O173" s="749">
        <f t="shared" si="13"/>
        <v>27.666666666666668</v>
      </c>
      <c r="P173" s="751">
        <f t="shared" si="11"/>
        <v>0.57562937790415425</v>
      </c>
    </row>
    <row r="174" spans="1:16">
      <c r="A174" s="674" t="s">
        <v>134</v>
      </c>
      <c r="B174" s="641"/>
      <c r="C174" s="709"/>
      <c r="D174" s="699"/>
      <c r="E174" s="130"/>
      <c r="F174" s="130"/>
      <c r="G174" s="129"/>
      <c r="H174" s="129"/>
      <c r="I174" s="129"/>
      <c r="J174" s="130"/>
      <c r="K174" s="932">
        <v>2</v>
      </c>
      <c r="L174" s="837">
        <v>3</v>
      </c>
      <c r="M174" s="725">
        <v>10</v>
      </c>
      <c r="N174" s="330">
        <f t="shared" si="12"/>
        <v>15</v>
      </c>
      <c r="O174" s="749">
        <f t="shared" si="13"/>
        <v>5</v>
      </c>
      <c r="P174" s="751">
        <f t="shared" si="11"/>
        <v>0.10402940564532909</v>
      </c>
    </row>
    <row r="175" spans="1:16">
      <c r="A175" s="647" t="s">
        <v>369</v>
      </c>
      <c r="B175" s="641"/>
      <c r="C175" s="709"/>
      <c r="D175" s="699"/>
      <c r="E175" s="130"/>
      <c r="F175" s="130"/>
      <c r="G175" s="129"/>
      <c r="H175" s="129"/>
      <c r="I175" s="129"/>
      <c r="J175" s="130"/>
      <c r="K175" s="932">
        <v>10</v>
      </c>
      <c r="L175" s="837">
        <v>18</v>
      </c>
      <c r="M175" s="725">
        <v>10</v>
      </c>
      <c r="N175" s="330">
        <f t="shared" si="12"/>
        <v>38</v>
      </c>
      <c r="O175" s="749">
        <f t="shared" si="13"/>
        <v>12.666666666666666</v>
      </c>
      <c r="P175" s="751">
        <f t="shared" si="11"/>
        <v>0.26354116096816699</v>
      </c>
    </row>
    <row r="176" spans="1:16" s="434" customFormat="1">
      <c r="A176" s="647" t="s">
        <v>370</v>
      </c>
      <c r="B176" s="641"/>
      <c r="C176" s="709"/>
      <c r="D176" s="699"/>
      <c r="E176" s="130"/>
      <c r="F176" s="130"/>
      <c r="G176" s="129"/>
      <c r="H176" s="129"/>
      <c r="I176" s="129"/>
      <c r="J176" s="130"/>
      <c r="K176" s="933">
        <v>0</v>
      </c>
      <c r="L176" s="837">
        <v>0</v>
      </c>
      <c r="M176" s="725">
        <v>0</v>
      </c>
      <c r="N176" s="330">
        <f t="shared" si="12"/>
        <v>0</v>
      </c>
      <c r="O176" s="749">
        <f t="shared" si="13"/>
        <v>0</v>
      </c>
      <c r="P176" s="751">
        <f t="shared" si="11"/>
        <v>0</v>
      </c>
    </row>
    <row r="177" spans="1:16">
      <c r="A177" s="674" t="s">
        <v>135</v>
      </c>
      <c r="B177" s="641"/>
      <c r="C177" s="709"/>
      <c r="D177" s="699"/>
      <c r="E177" s="130"/>
      <c r="F177" s="130"/>
      <c r="G177" s="129"/>
      <c r="H177" s="129"/>
      <c r="I177" s="129"/>
      <c r="J177" s="130"/>
      <c r="K177" s="932">
        <v>58</v>
      </c>
      <c r="L177" s="837">
        <v>37</v>
      </c>
      <c r="M177" s="725">
        <v>43</v>
      </c>
      <c r="N177" s="330">
        <f t="shared" si="12"/>
        <v>138</v>
      </c>
      <c r="O177" s="749">
        <f t="shared" si="13"/>
        <v>46</v>
      </c>
      <c r="P177" s="751">
        <f t="shared" si="11"/>
        <v>0.95707053193702751</v>
      </c>
    </row>
    <row r="178" spans="1:16">
      <c r="A178" s="674" t="s">
        <v>136</v>
      </c>
      <c r="B178" s="641"/>
      <c r="C178" s="709"/>
      <c r="D178" s="699"/>
      <c r="E178" s="130"/>
      <c r="F178" s="130"/>
      <c r="G178" s="129"/>
      <c r="H178" s="129"/>
      <c r="I178" s="129"/>
      <c r="J178" s="130"/>
      <c r="K178" s="932">
        <v>100</v>
      </c>
      <c r="L178" s="837">
        <v>110</v>
      </c>
      <c r="M178" s="725">
        <v>17</v>
      </c>
      <c r="N178" s="330">
        <f t="shared" si="12"/>
        <v>227</v>
      </c>
      <c r="O178" s="749">
        <f t="shared" si="13"/>
        <v>75.666666666666671</v>
      </c>
      <c r="P178" s="751">
        <f t="shared" si="11"/>
        <v>1.5743116720993136</v>
      </c>
    </row>
    <row r="179" spans="1:16" s="414" customFormat="1">
      <c r="A179" s="674" t="s">
        <v>271</v>
      </c>
      <c r="B179" s="641"/>
      <c r="C179" s="709"/>
      <c r="D179" s="699"/>
      <c r="E179" s="130"/>
      <c r="F179" s="130"/>
      <c r="G179" s="129"/>
      <c r="H179" s="129"/>
      <c r="I179" s="129"/>
      <c r="J179" s="130"/>
      <c r="K179" s="932">
        <v>2</v>
      </c>
      <c r="L179" s="837">
        <v>1</v>
      </c>
      <c r="M179" s="1023">
        <v>0</v>
      </c>
      <c r="N179" s="330">
        <f t="shared" si="12"/>
        <v>3</v>
      </c>
      <c r="O179" s="749">
        <f t="shared" si="13"/>
        <v>1</v>
      </c>
      <c r="P179" s="751">
        <f t="shared" si="11"/>
        <v>2.0805881129065815E-2</v>
      </c>
    </row>
    <row r="180" spans="1:16">
      <c r="A180" s="674" t="s">
        <v>276</v>
      </c>
      <c r="B180" s="641"/>
      <c r="C180" s="709"/>
      <c r="D180" s="699"/>
      <c r="E180" s="130"/>
      <c r="F180" s="130"/>
      <c r="G180" s="129"/>
      <c r="H180" s="129"/>
      <c r="I180" s="129"/>
      <c r="J180" s="130"/>
      <c r="K180" s="932">
        <v>69</v>
      </c>
      <c r="L180" s="837">
        <v>71</v>
      </c>
      <c r="M180" s="1023">
        <v>24</v>
      </c>
      <c r="N180" s="330">
        <f>SUM(B180:M180)</f>
        <v>164</v>
      </c>
      <c r="O180" s="749">
        <f>AVERAGE(B180:M180)</f>
        <v>54.666666666666664</v>
      </c>
      <c r="P180" s="751">
        <f t="shared" si="11"/>
        <v>1.1373881683889313</v>
      </c>
    </row>
    <row r="181" spans="1:16">
      <c r="A181" s="674" t="s">
        <v>137</v>
      </c>
      <c r="B181" s="641"/>
      <c r="C181" s="709"/>
      <c r="D181" s="699"/>
      <c r="E181" s="130"/>
      <c r="F181" s="130"/>
      <c r="G181" s="129"/>
      <c r="H181" s="129"/>
      <c r="I181" s="129"/>
      <c r="J181" s="130"/>
      <c r="K181" s="932">
        <v>2</v>
      </c>
      <c r="L181" s="837">
        <v>0</v>
      </c>
      <c r="M181" s="725">
        <v>0</v>
      </c>
      <c r="N181" s="330">
        <f t="shared" si="12"/>
        <v>2</v>
      </c>
      <c r="O181" s="749">
        <f t="shared" si="13"/>
        <v>0.66666666666666663</v>
      </c>
      <c r="P181" s="751">
        <f t="shared" si="11"/>
        <v>1.387058741937721E-2</v>
      </c>
    </row>
    <row r="182" spans="1:16">
      <c r="A182" s="674" t="s">
        <v>138</v>
      </c>
      <c r="B182" s="641"/>
      <c r="C182" s="709"/>
      <c r="D182" s="699"/>
      <c r="E182" s="130"/>
      <c r="F182" s="130"/>
      <c r="G182" s="129"/>
      <c r="H182" s="129"/>
      <c r="I182" s="129"/>
      <c r="J182" s="130"/>
      <c r="K182" s="932">
        <v>5</v>
      </c>
      <c r="L182" s="837">
        <v>4</v>
      </c>
      <c r="M182" s="725">
        <v>0</v>
      </c>
      <c r="N182" s="330">
        <f t="shared" si="12"/>
        <v>9</v>
      </c>
      <c r="O182" s="749">
        <f t="shared" si="13"/>
        <v>3</v>
      </c>
      <c r="P182" s="751">
        <f t="shared" si="11"/>
        <v>6.241764338719745E-2</v>
      </c>
    </row>
    <row r="183" spans="1:16">
      <c r="A183" s="674" t="s">
        <v>139</v>
      </c>
      <c r="B183" s="641"/>
      <c r="C183" s="709"/>
      <c r="D183" s="699"/>
      <c r="E183" s="130"/>
      <c r="F183" s="130"/>
      <c r="G183" s="129"/>
      <c r="H183" s="129"/>
      <c r="I183" s="129"/>
      <c r="J183" s="130"/>
      <c r="K183" s="932">
        <v>48</v>
      </c>
      <c r="L183" s="837">
        <v>33</v>
      </c>
      <c r="M183" s="725">
        <v>22</v>
      </c>
      <c r="N183" s="330">
        <f t="shared" si="12"/>
        <v>103</v>
      </c>
      <c r="O183" s="749">
        <f t="shared" si="13"/>
        <v>34.333333333333336</v>
      </c>
      <c r="P183" s="751">
        <f t="shared" si="11"/>
        <v>0.71433525209792637</v>
      </c>
    </row>
    <row r="184" spans="1:16">
      <c r="A184" s="674" t="s">
        <v>140</v>
      </c>
      <c r="B184" s="641"/>
      <c r="C184" s="709"/>
      <c r="D184" s="699"/>
      <c r="E184" s="130"/>
      <c r="F184" s="130"/>
      <c r="G184" s="129"/>
      <c r="H184" s="129"/>
      <c r="I184" s="129"/>
      <c r="J184" s="130"/>
      <c r="K184" s="932">
        <v>108</v>
      </c>
      <c r="L184" s="837">
        <v>122</v>
      </c>
      <c r="M184" s="725">
        <v>107</v>
      </c>
      <c r="N184" s="330">
        <f t="shared" si="12"/>
        <v>337</v>
      </c>
      <c r="O184" s="749">
        <f t="shared" si="13"/>
        <v>112.33333333333333</v>
      </c>
      <c r="P184" s="751">
        <f t="shared" si="11"/>
        <v>2.3371939801650603</v>
      </c>
    </row>
    <row r="185" spans="1:16" s="435" customFormat="1">
      <c r="A185" s="674" t="s">
        <v>277</v>
      </c>
      <c r="B185" s="641"/>
      <c r="C185" s="709"/>
      <c r="D185" s="699"/>
      <c r="E185" s="130"/>
      <c r="F185" s="130"/>
      <c r="G185" s="129"/>
      <c r="H185" s="443"/>
      <c r="I185" s="443"/>
      <c r="J185" s="437"/>
      <c r="K185" s="932">
        <v>4</v>
      </c>
      <c r="L185" s="837">
        <v>5</v>
      </c>
      <c r="M185" s="725">
        <v>4</v>
      </c>
      <c r="N185" s="444">
        <f t="shared" si="12"/>
        <v>13</v>
      </c>
      <c r="O185" s="746">
        <f t="shared" si="13"/>
        <v>4.333333333333333</v>
      </c>
      <c r="P185" s="752">
        <f t="shared" si="11"/>
        <v>9.015881822595187E-2</v>
      </c>
    </row>
    <row r="186" spans="1:16" s="1" customFormat="1" ht="15.75" thickBot="1">
      <c r="A186" s="675" t="s">
        <v>141</v>
      </c>
      <c r="B186" s="649"/>
      <c r="C186" s="713"/>
      <c r="D186" s="700"/>
      <c r="E186" s="437"/>
      <c r="F186" s="437"/>
      <c r="G186" s="443"/>
      <c r="H186" s="443"/>
      <c r="I186" s="443"/>
      <c r="J186" s="437"/>
      <c r="K186" s="932">
        <v>0</v>
      </c>
      <c r="L186" s="839">
        <v>0</v>
      </c>
      <c r="M186" s="725">
        <v>0</v>
      </c>
      <c r="N186" s="444">
        <f t="shared" si="12"/>
        <v>0</v>
      </c>
      <c r="O186" s="746">
        <f t="shared" si="13"/>
        <v>0</v>
      </c>
      <c r="P186" s="753">
        <f t="shared" si="11"/>
        <v>0</v>
      </c>
    </row>
    <row r="187" spans="1:16" ht="15.75" thickBot="1">
      <c r="A187" s="648" t="s">
        <v>3</v>
      </c>
      <c r="B187" s="718"/>
      <c r="C187" s="719"/>
      <c r="D187" s="701"/>
      <c r="E187" s="650"/>
      <c r="F187" s="650"/>
      <c r="G187" s="650"/>
      <c r="H187" s="650"/>
      <c r="I187" s="650"/>
      <c r="J187" s="650"/>
      <c r="K187" s="719">
        <f>SUM(K5:K186)</f>
        <v>5517</v>
      </c>
      <c r="L187" s="719">
        <f>SUM(L5:L186)</f>
        <v>4645</v>
      </c>
      <c r="M187" s="651">
        <f>SUM(M5:M186)</f>
        <v>4257</v>
      </c>
      <c r="N187" s="185">
        <f>SUM(B187:M187)</f>
        <v>14419</v>
      </c>
      <c r="O187" s="918">
        <f t="shared" si="13"/>
        <v>4806.333333333333</v>
      </c>
      <c r="P187" s="754">
        <f t="shared" si="11"/>
        <v>100</v>
      </c>
    </row>
    <row r="188" spans="1:16" s="1" customFormat="1" ht="16.5" customHeight="1">
      <c r="A188" s="43"/>
      <c r="B188" s="44"/>
      <c r="C188" s="44"/>
      <c r="D188" s="44"/>
      <c r="E188" s="44"/>
      <c r="F188" s="44"/>
      <c r="G188" s="44"/>
      <c r="H188" s="44"/>
      <c r="I188" s="44"/>
      <c r="J188" s="44"/>
      <c r="K188" s="44"/>
      <c r="L188" s="45"/>
      <c r="M188" s="41"/>
      <c r="N188" s="41"/>
      <c r="O188" s="41"/>
      <c r="P188" s="46"/>
    </row>
    <row r="189" spans="1:16" ht="65.25" customHeight="1">
      <c r="A189" s="47" t="s">
        <v>142</v>
      </c>
      <c r="B189" s="48"/>
      <c r="C189" s="48"/>
      <c r="D189" s="48"/>
      <c r="E189" s="48"/>
      <c r="F189" s="48"/>
      <c r="G189" s="48"/>
      <c r="H189" s="48"/>
      <c r="I189" s="48"/>
      <c r="J189" s="48"/>
      <c r="K189" s="48"/>
    </row>
    <row r="190" spans="1:16">
      <c r="A190" s="49"/>
      <c r="B190" s="48"/>
      <c r="C190" s="48"/>
      <c r="D190" s="48"/>
      <c r="E190" s="48"/>
      <c r="F190" s="48"/>
      <c r="G190" s="48"/>
      <c r="H190" s="48"/>
      <c r="I190" s="48"/>
      <c r="J190" s="48"/>
      <c r="K190" s="48"/>
    </row>
    <row r="191" spans="1:16" ht="45">
      <c r="A191" s="29" t="s">
        <v>143</v>
      </c>
      <c r="B191" s="50"/>
      <c r="C191" s="50"/>
      <c r="D191" s="50"/>
      <c r="E191" s="50"/>
      <c r="F191" s="50"/>
      <c r="G191" s="50"/>
      <c r="H191" s="50"/>
      <c r="I191" s="50"/>
      <c r="J191" s="50"/>
      <c r="K191" s="50"/>
    </row>
    <row r="192" spans="1:16">
      <c r="A192" s="29"/>
      <c r="B192" s="50"/>
      <c r="C192" s="50"/>
      <c r="D192" s="50"/>
      <c r="E192" s="50"/>
      <c r="F192" s="50"/>
      <c r="G192" s="50"/>
      <c r="H192" s="50"/>
      <c r="I192" s="50"/>
      <c r="J192" s="50"/>
      <c r="K192" s="50"/>
    </row>
    <row r="193" spans="1:16" ht="31.5" customHeight="1">
      <c r="A193" s="49" t="s">
        <v>144</v>
      </c>
      <c r="B193" s="48"/>
      <c r="C193" s="48"/>
      <c r="D193" s="48"/>
      <c r="E193" s="48"/>
      <c r="F193" s="48"/>
      <c r="G193" s="48"/>
      <c r="H193" s="48"/>
      <c r="I193" s="48"/>
      <c r="J193" s="48"/>
      <c r="K193" s="48"/>
    </row>
    <row r="194" spans="1:16" ht="45">
      <c r="A194" s="29" t="s">
        <v>145</v>
      </c>
    </row>
    <row r="195" spans="1:16" ht="30">
      <c r="A195" s="49" t="s">
        <v>391</v>
      </c>
      <c r="B195" s="50"/>
      <c r="C195" s="50"/>
      <c r="D195" s="50"/>
      <c r="E195" s="50"/>
      <c r="F195" s="50"/>
      <c r="G195" s="39"/>
      <c r="H195" s="39"/>
      <c r="I195" s="39"/>
      <c r="J195" s="39"/>
      <c r="K195" s="39"/>
    </row>
    <row r="197" spans="1:16">
      <c r="A197" s="29"/>
      <c r="B197"/>
      <c r="C197"/>
      <c r="D197"/>
      <c r="E197"/>
      <c r="F197"/>
      <c r="G197"/>
      <c r="H197"/>
      <c r="I197"/>
      <c r="J197"/>
      <c r="K197"/>
      <c r="L197"/>
      <c r="M197" s="112"/>
      <c r="N197"/>
      <c r="O197"/>
      <c r="P197"/>
    </row>
  </sheetData>
  <pageMargins left="0.511811024" right="0.511811024" top="0.78740157500000008" bottom="0.78740157500000008" header="0.31496062000000008" footer="0.31496062000000008"/>
  <pageSetup paperSize="9" orientation="portrait" horizontalDpi="300" verticalDpi="300" r:id="rId1"/>
  <ignoredErrors>
    <ignoredError sqref="K187:M187" formulaRange="1"/>
    <ignoredError sqref="N187" formula="1"/>
    <ignoredError sqref="O5:P186" evalErro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zoomScale="90" zoomScaleNormal="90" workbookViewId="0"/>
  </sheetViews>
  <sheetFormatPr defaultColWidth="5.5703125" defaultRowHeight="14.25"/>
  <cols>
    <col min="1" max="1" width="41" style="23" customWidth="1"/>
    <col min="2" max="2" width="7.5703125" style="23" bestFit="1" customWidth="1"/>
    <col min="3" max="3" width="7.7109375" style="55" bestFit="1" customWidth="1"/>
    <col min="4" max="4" width="7.140625" style="23" bestFit="1" customWidth="1"/>
    <col min="5" max="5" width="7" style="53" bestFit="1" customWidth="1"/>
    <col min="6" max="6" width="7.5703125" style="23" bestFit="1" customWidth="1"/>
    <col min="7" max="7" width="6.28515625" style="53" bestFit="1" customWidth="1"/>
    <col min="8" max="8" width="7" style="23" bestFit="1" customWidth="1"/>
    <col min="9" max="9" width="7.5703125" style="23" customWidth="1"/>
    <col min="10" max="10" width="7.140625" style="23" bestFit="1" customWidth="1"/>
    <col min="11" max="11" width="7.5703125" style="23" bestFit="1" customWidth="1"/>
    <col min="12" max="12" width="7.140625" style="23" bestFit="1" customWidth="1"/>
    <col min="13" max="13" width="6.85546875" style="23" bestFit="1" customWidth="1"/>
    <col min="14" max="14" width="6.7109375" style="23" bestFit="1" customWidth="1"/>
    <col min="15" max="15" width="7.140625" style="23" bestFit="1" customWidth="1"/>
    <col min="16" max="16" width="14.85546875" style="23" customWidth="1"/>
    <col min="17" max="215" width="9.140625" style="23" customWidth="1"/>
    <col min="216" max="216" width="58.28515625" style="23" customWidth="1"/>
    <col min="217" max="217" width="3.7109375" style="23" bestFit="1" customWidth="1"/>
    <col min="218" max="218" width="5.5703125" style="23" bestFit="1" customWidth="1"/>
    <col min="219" max="16384" width="5.5703125" style="23"/>
  </cols>
  <sheetData>
    <row r="1" spans="1:20" ht="15">
      <c r="A1" s="51" t="s">
        <v>0</v>
      </c>
      <c r="B1" s="51"/>
      <c r="C1" s="52"/>
      <c r="D1" s="51"/>
      <c r="P1" s="139">
        <v>5517</v>
      </c>
    </row>
    <row r="2" spans="1:20" ht="15">
      <c r="A2" s="5" t="s">
        <v>1</v>
      </c>
      <c r="B2" s="5"/>
      <c r="C2" s="54"/>
      <c r="D2" s="5"/>
    </row>
    <row r="3" spans="1:20" ht="15">
      <c r="A3" s="5"/>
      <c r="B3" s="5"/>
      <c r="C3" s="54"/>
      <c r="D3" s="5"/>
    </row>
    <row r="4" spans="1:20" ht="15">
      <c r="A4" s="5" t="s">
        <v>439</v>
      </c>
      <c r="B4" s="5"/>
      <c r="C4" s="54"/>
      <c r="D4" s="5"/>
    </row>
    <row r="5" spans="1:20" ht="15" thickBot="1">
      <c r="E5" s="23"/>
      <c r="F5" s="53"/>
      <c r="G5" s="23"/>
      <c r="H5" s="53"/>
    </row>
    <row r="6" spans="1:20" ht="48.75" thickBot="1">
      <c r="A6" s="791" t="s">
        <v>146</v>
      </c>
      <c r="B6" s="187">
        <v>45261</v>
      </c>
      <c r="C6" s="188">
        <v>45231</v>
      </c>
      <c r="D6" s="188">
        <v>45200</v>
      </c>
      <c r="E6" s="188">
        <v>45170</v>
      </c>
      <c r="F6" s="188">
        <v>45139</v>
      </c>
      <c r="G6" s="188">
        <v>45108</v>
      </c>
      <c r="H6" s="188">
        <v>45078</v>
      </c>
      <c r="I6" s="188">
        <v>45047</v>
      </c>
      <c r="J6" s="188">
        <v>45017</v>
      </c>
      <c r="K6" s="188">
        <v>44986</v>
      </c>
      <c r="L6" s="188">
        <v>44958</v>
      </c>
      <c r="M6" s="189">
        <v>44927</v>
      </c>
      <c r="N6" s="188" t="s">
        <v>3</v>
      </c>
      <c r="O6" s="189" t="s">
        <v>4</v>
      </c>
      <c r="P6" s="415" t="s">
        <v>441</v>
      </c>
    </row>
    <row r="7" spans="1:20" ht="14.25" customHeight="1" thickBot="1">
      <c r="A7" s="934" t="s">
        <v>42</v>
      </c>
      <c r="B7" s="641"/>
      <c r="C7" s="725"/>
      <c r="D7" s="722"/>
      <c r="E7" s="723"/>
      <c r="F7" s="723"/>
      <c r="G7" s="724"/>
      <c r="H7" s="724"/>
      <c r="I7" s="724"/>
      <c r="J7" s="723"/>
      <c r="K7" s="833">
        <v>844</v>
      </c>
      <c r="L7" s="133">
        <v>484</v>
      </c>
      <c r="M7" s="161">
        <v>501</v>
      </c>
      <c r="N7" s="359">
        <f>SUM(B7:M7)</f>
        <v>1829</v>
      </c>
      <c r="O7" s="355">
        <f>AVERAGE(B7:M7)</f>
        <v>609.66666666666663</v>
      </c>
      <c r="P7" s="408">
        <f>(K7*100)/$P$1</f>
        <v>15.298169294906652</v>
      </c>
      <c r="S7" s="53"/>
      <c r="T7" s="53"/>
    </row>
    <row r="8" spans="1:20" ht="15" customHeight="1" thickBot="1">
      <c r="A8" s="935" t="s">
        <v>366</v>
      </c>
      <c r="B8" s="641"/>
      <c r="C8" s="725"/>
      <c r="D8" s="722"/>
      <c r="E8" s="723"/>
      <c r="F8" s="723"/>
      <c r="G8" s="724"/>
      <c r="H8" s="724"/>
      <c r="I8" s="724"/>
      <c r="J8" s="723"/>
      <c r="K8" s="833">
        <v>347</v>
      </c>
      <c r="L8" s="133">
        <v>325</v>
      </c>
      <c r="M8" s="161">
        <v>337</v>
      </c>
      <c r="N8" s="936">
        <f t="shared" ref="N8:N16" si="0">SUM(B8:M8)</f>
        <v>1009</v>
      </c>
      <c r="O8" s="181">
        <f t="shared" ref="O8:O17" si="1">AVERAGE(B8:M8)</f>
        <v>336.33333333333331</v>
      </c>
      <c r="P8" s="408">
        <f t="shared" ref="P8:P16" si="2">(K8*100)/$P$1</f>
        <v>6.2896501721950333</v>
      </c>
      <c r="S8" s="53"/>
      <c r="T8" s="53"/>
    </row>
    <row r="9" spans="1:20" ht="15.75" thickBot="1">
      <c r="A9" s="934" t="s">
        <v>40</v>
      </c>
      <c r="B9" s="641"/>
      <c r="C9" s="725"/>
      <c r="D9" s="722"/>
      <c r="E9" s="723"/>
      <c r="F9" s="723"/>
      <c r="G9" s="724"/>
      <c r="H9" s="724"/>
      <c r="I9" s="724"/>
      <c r="J9" s="723"/>
      <c r="K9" s="833">
        <v>313</v>
      </c>
      <c r="L9" s="133">
        <v>290</v>
      </c>
      <c r="M9" s="161">
        <v>263</v>
      </c>
      <c r="N9" s="936">
        <f t="shared" si="0"/>
        <v>866</v>
      </c>
      <c r="O9" s="181">
        <f t="shared" si="1"/>
        <v>288.66666666666669</v>
      </c>
      <c r="P9" s="408">
        <f t="shared" si="2"/>
        <v>5.6733732100779406</v>
      </c>
      <c r="S9" s="53"/>
      <c r="T9" s="53"/>
    </row>
    <row r="10" spans="1:20" ht="15.75" thickBot="1">
      <c r="A10" s="934" t="s">
        <v>31</v>
      </c>
      <c r="B10" s="641"/>
      <c r="C10" s="725"/>
      <c r="D10" s="722"/>
      <c r="E10" s="723"/>
      <c r="F10" s="723"/>
      <c r="G10" s="724"/>
      <c r="H10" s="724"/>
      <c r="I10" s="724"/>
      <c r="J10" s="723"/>
      <c r="K10" s="833">
        <v>270</v>
      </c>
      <c r="L10" s="133">
        <v>265</v>
      </c>
      <c r="M10" s="161">
        <v>301</v>
      </c>
      <c r="N10" s="936">
        <f t="shared" si="0"/>
        <v>836</v>
      </c>
      <c r="O10" s="181">
        <f t="shared" si="1"/>
        <v>278.66666666666669</v>
      </c>
      <c r="P10" s="408">
        <f t="shared" si="2"/>
        <v>4.8939641109298533</v>
      </c>
      <c r="S10" s="53"/>
      <c r="T10" s="53"/>
    </row>
    <row r="11" spans="1:20" ht="15.75" thickBot="1">
      <c r="A11" s="934" t="s">
        <v>113</v>
      </c>
      <c r="B11" s="641"/>
      <c r="C11" s="725"/>
      <c r="D11" s="722"/>
      <c r="E11" s="723"/>
      <c r="F11" s="723"/>
      <c r="G11" s="724"/>
      <c r="H11" s="724"/>
      <c r="I11" s="724"/>
      <c r="J11" s="723"/>
      <c r="K11" s="833">
        <v>215</v>
      </c>
      <c r="L11" s="133">
        <v>193</v>
      </c>
      <c r="M11" s="161">
        <v>239</v>
      </c>
      <c r="N11" s="936">
        <f t="shared" si="0"/>
        <v>647</v>
      </c>
      <c r="O11" s="181">
        <f t="shared" si="1"/>
        <v>215.66666666666666</v>
      </c>
      <c r="P11" s="408">
        <f t="shared" si="2"/>
        <v>3.8970454957404388</v>
      </c>
      <c r="S11" s="53"/>
      <c r="T11" s="53"/>
    </row>
    <row r="12" spans="1:20" ht="15" customHeight="1" thickBot="1">
      <c r="A12" s="934" t="s">
        <v>132</v>
      </c>
      <c r="B12" s="641"/>
      <c r="C12" s="725"/>
      <c r="D12" s="722"/>
      <c r="E12" s="723"/>
      <c r="F12" s="723"/>
      <c r="G12" s="724"/>
      <c r="H12" s="724"/>
      <c r="I12" s="724"/>
      <c r="J12" s="723"/>
      <c r="K12" s="833">
        <v>164</v>
      </c>
      <c r="L12" s="133">
        <v>149</v>
      </c>
      <c r="M12" s="161">
        <v>129</v>
      </c>
      <c r="N12" s="936">
        <f t="shared" si="0"/>
        <v>442</v>
      </c>
      <c r="O12" s="181">
        <f t="shared" si="1"/>
        <v>147.33333333333334</v>
      </c>
      <c r="P12" s="408">
        <f t="shared" si="2"/>
        <v>2.9726300525647997</v>
      </c>
      <c r="S12" s="53"/>
      <c r="T12" s="53"/>
    </row>
    <row r="13" spans="1:20" ht="15.75" thickBot="1">
      <c r="A13" s="934" t="s">
        <v>74</v>
      </c>
      <c r="B13" s="641"/>
      <c r="C13" s="725"/>
      <c r="D13" s="722"/>
      <c r="E13" s="723"/>
      <c r="F13" s="723"/>
      <c r="G13" s="724"/>
      <c r="H13" s="724"/>
      <c r="I13" s="724"/>
      <c r="J13" s="723"/>
      <c r="K13" s="833">
        <v>176</v>
      </c>
      <c r="L13" s="133">
        <v>135</v>
      </c>
      <c r="M13" s="161">
        <v>118</v>
      </c>
      <c r="N13" s="936">
        <f t="shared" si="0"/>
        <v>429</v>
      </c>
      <c r="O13" s="181">
        <f t="shared" si="1"/>
        <v>143</v>
      </c>
      <c r="P13" s="408">
        <f t="shared" si="2"/>
        <v>3.1901395686061265</v>
      </c>
      <c r="S13" s="53"/>
      <c r="T13" s="53"/>
    </row>
    <row r="14" spans="1:20" ht="15.75" thickBot="1">
      <c r="A14" s="934" t="s">
        <v>103</v>
      </c>
      <c r="B14" s="641"/>
      <c r="C14" s="725"/>
      <c r="D14" s="722"/>
      <c r="E14" s="723"/>
      <c r="F14" s="723"/>
      <c r="G14" s="724"/>
      <c r="H14" s="724"/>
      <c r="I14" s="724"/>
      <c r="J14" s="723"/>
      <c r="K14" s="833">
        <v>112</v>
      </c>
      <c r="L14" s="133">
        <v>144</v>
      </c>
      <c r="M14" s="161">
        <v>151</v>
      </c>
      <c r="N14" s="936">
        <f t="shared" si="0"/>
        <v>407</v>
      </c>
      <c r="O14" s="181">
        <f t="shared" si="1"/>
        <v>135.66666666666666</v>
      </c>
      <c r="P14" s="408">
        <f t="shared" si="2"/>
        <v>2.0300888163857169</v>
      </c>
      <c r="S14" s="53"/>
      <c r="T14" s="53"/>
    </row>
    <row r="15" spans="1:20" ht="15.75" thickBot="1">
      <c r="A15" s="934" t="s">
        <v>44</v>
      </c>
      <c r="B15" s="641"/>
      <c r="C15" s="725"/>
      <c r="D15" s="722"/>
      <c r="E15" s="723"/>
      <c r="F15" s="723"/>
      <c r="G15" s="724"/>
      <c r="H15" s="724"/>
      <c r="I15" s="724"/>
      <c r="J15" s="723"/>
      <c r="K15" s="833">
        <v>157</v>
      </c>
      <c r="L15" s="133">
        <v>139</v>
      </c>
      <c r="M15" s="161">
        <v>91</v>
      </c>
      <c r="N15" s="936">
        <f t="shared" si="0"/>
        <v>387</v>
      </c>
      <c r="O15" s="181">
        <f t="shared" si="1"/>
        <v>129</v>
      </c>
      <c r="P15" s="408">
        <f t="shared" si="2"/>
        <v>2.8457495015406926</v>
      </c>
      <c r="S15" s="53"/>
      <c r="T15" s="53"/>
    </row>
    <row r="16" spans="1:20" ht="15.75" thickBot="1">
      <c r="A16" s="934" t="s">
        <v>79</v>
      </c>
      <c r="B16" s="792"/>
      <c r="C16" s="725"/>
      <c r="D16" s="722"/>
      <c r="E16" s="723"/>
      <c r="F16" s="723"/>
      <c r="G16" s="724"/>
      <c r="H16" s="724"/>
      <c r="I16" s="724"/>
      <c r="J16" s="723"/>
      <c r="K16" s="833">
        <v>164</v>
      </c>
      <c r="L16" s="133">
        <v>93</v>
      </c>
      <c r="M16" s="161">
        <v>113</v>
      </c>
      <c r="N16" s="360">
        <f t="shared" si="0"/>
        <v>370</v>
      </c>
      <c r="O16" s="356">
        <f t="shared" si="1"/>
        <v>123.33333333333333</v>
      </c>
      <c r="P16" s="408">
        <f t="shared" si="2"/>
        <v>2.9726300525647997</v>
      </c>
      <c r="S16" s="53"/>
      <c r="T16" s="53"/>
    </row>
    <row r="17" spans="1:41" ht="15.75" customHeight="1" thickBot="1">
      <c r="A17" s="191" t="s">
        <v>3</v>
      </c>
      <c r="B17" s="357"/>
      <c r="C17" s="151"/>
      <c r="D17" s="358"/>
      <c r="E17" s="358"/>
      <c r="F17" s="358"/>
      <c r="G17" s="358"/>
      <c r="H17" s="358"/>
      <c r="I17" s="358"/>
      <c r="J17" s="358"/>
      <c r="K17" s="358">
        <f>SUM(K7:K16)</f>
        <v>2762</v>
      </c>
      <c r="L17" s="358">
        <f>SUM(L7:L16)</f>
        <v>2217</v>
      </c>
      <c r="M17" s="358">
        <f>SUM(M7:M16)</f>
        <v>2243</v>
      </c>
      <c r="N17" s="916">
        <f>SUM(N7:N16)</f>
        <v>7222</v>
      </c>
      <c r="O17" s="917">
        <f t="shared" si="1"/>
        <v>2407.3333333333335</v>
      </c>
      <c r="P17" s="445">
        <f>(K17*100)/$P$1</f>
        <v>50.06344027551205</v>
      </c>
      <c r="S17" s="53"/>
      <c r="T17" s="53"/>
    </row>
    <row r="18" spans="1:41" s="139" customFormat="1" ht="23.25" customHeight="1">
      <c r="A18" s="139" t="s">
        <v>147</v>
      </c>
      <c r="C18" s="790"/>
      <c r="O18" s="139" t="s">
        <v>148</v>
      </c>
      <c r="P18" s="152">
        <f>100-P17</f>
        <v>49.93655972448795</v>
      </c>
    </row>
    <row r="19" spans="1:41" s="137" customFormat="1" ht="54.75" customHeight="1">
      <c r="A19" s="782"/>
      <c r="B19" s="782"/>
      <c r="C19" s="783"/>
      <c r="D19" s="990"/>
      <c r="E19" s="991"/>
      <c r="F19" s="991"/>
      <c r="G19" s="991"/>
      <c r="H19" s="991"/>
      <c r="W19" s="784"/>
    </row>
    <row r="20" spans="1:41" s="137" customFormat="1">
      <c r="A20" s="785"/>
      <c r="B20" s="785"/>
      <c r="C20" s="786"/>
      <c r="E20" s="784"/>
      <c r="O20" s="784"/>
      <c r="W20" s="784"/>
      <c r="AC20" s="703"/>
      <c r="AD20" s="138"/>
      <c r="AE20" s="138"/>
      <c r="AF20" s="138"/>
      <c r="AG20" s="138"/>
      <c r="AH20" s="138"/>
      <c r="AI20" s="138"/>
      <c r="AJ20" s="704"/>
      <c r="AK20" s="138"/>
      <c r="AL20" s="138"/>
      <c r="AM20" s="138"/>
      <c r="AN20" s="138"/>
      <c r="AO20" s="171"/>
    </row>
    <row r="21" spans="1:41" s="137" customFormat="1" ht="92.25" customHeight="1">
      <c r="A21" s="782"/>
      <c r="B21" s="782"/>
      <c r="C21" s="783"/>
      <c r="D21" s="990"/>
      <c r="E21" s="991"/>
      <c r="F21" s="991"/>
      <c r="G21" s="991"/>
      <c r="H21" s="991"/>
      <c r="L21" s="787"/>
      <c r="W21" s="784"/>
      <c r="AC21" s="703"/>
      <c r="AD21" s="138"/>
      <c r="AE21" s="138"/>
      <c r="AF21" s="138"/>
      <c r="AG21" s="138"/>
      <c r="AH21" s="138"/>
      <c r="AI21" s="138"/>
      <c r="AJ21" s="704"/>
      <c r="AK21" s="138"/>
      <c r="AL21" s="138"/>
      <c r="AM21" s="138"/>
      <c r="AN21" s="138"/>
      <c r="AO21" s="171"/>
    </row>
    <row r="22" spans="1:41" s="137" customFormat="1">
      <c r="A22" s="782"/>
      <c r="B22" s="782"/>
      <c r="C22" s="783"/>
      <c r="E22" s="784"/>
      <c r="O22" s="784"/>
      <c r="W22" s="788"/>
      <c r="AC22" s="703"/>
      <c r="AD22" s="138"/>
      <c r="AE22" s="138"/>
      <c r="AF22" s="138"/>
      <c r="AG22" s="138"/>
      <c r="AH22" s="138"/>
      <c r="AI22" s="138"/>
      <c r="AJ22" s="704"/>
      <c r="AK22" s="138"/>
      <c r="AL22" s="138"/>
      <c r="AM22" s="138"/>
      <c r="AN22" s="138"/>
      <c r="AO22" s="171"/>
    </row>
    <row r="23" spans="1:41" s="137" customFormat="1" ht="66.75" customHeight="1">
      <c r="A23" s="782"/>
      <c r="B23" s="782"/>
      <c r="C23" s="783"/>
      <c r="D23" s="990"/>
      <c r="E23" s="991"/>
      <c r="F23" s="991"/>
      <c r="G23" s="991"/>
      <c r="H23" s="991"/>
      <c r="W23" s="784"/>
      <c r="AC23" s="703"/>
      <c r="AD23" s="138"/>
      <c r="AE23" s="138"/>
      <c r="AF23" s="138"/>
      <c r="AG23" s="138"/>
      <c r="AH23" s="138"/>
      <c r="AI23" s="138"/>
      <c r="AJ23" s="704"/>
      <c r="AK23" s="138"/>
      <c r="AL23" s="138"/>
      <c r="AM23" s="138"/>
      <c r="AN23" s="138"/>
      <c r="AO23" s="171"/>
    </row>
    <row r="24" spans="1:41" s="137" customFormat="1">
      <c r="A24" s="785"/>
      <c r="B24" s="785"/>
      <c r="C24" s="786"/>
      <c r="E24" s="784"/>
      <c r="W24" s="784"/>
      <c r="AC24" s="703"/>
      <c r="AD24" s="138"/>
      <c r="AE24" s="138"/>
      <c r="AF24" s="138"/>
      <c r="AG24" s="138"/>
      <c r="AH24" s="138"/>
      <c r="AI24" s="138"/>
      <c r="AJ24" s="704"/>
      <c r="AK24" s="138"/>
      <c r="AL24" s="138"/>
      <c r="AM24" s="138"/>
      <c r="AN24" s="138"/>
      <c r="AO24" s="171"/>
    </row>
    <row r="25" spans="1:41" s="137" customFormat="1">
      <c r="A25" s="782"/>
      <c r="B25" s="782"/>
      <c r="C25" s="783"/>
      <c r="E25" s="784"/>
      <c r="W25" s="784"/>
      <c r="AC25" s="703"/>
      <c r="AD25" s="138"/>
      <c r="AE25" s="138"/>
      <c r="AF25" s="138"/>
      <c r="AG25" s="138"/>
      <c r="AH25" s="138"/>
      <c r="AI25" s="138"/>
      <c r="AJ25" s="704"/>
      <c r="AK25" s="138"/>
      <c r="AL25" s="138"/>
      <c r="AM25" s="138"/>
      <c r="AN25" s="138"/>
      <c r="AO25" s="171"/>
    </row>
    <row r="26" spans="1:41" s="137" customFormat="1">
      <c r="C26" s="704"/>
      <c r="E26" s="784"/>
      <c r="G26" s="784"/>
      <c r="AC26" s="703"/>
      <c r="AD26" s="138"/>
      <c r="AE26" s="138"/>
      <c r="AF26" s="138"/>
      <c r="AG26" s="138"/>
      <c r="AH26" s="138"/>
      <c r="AI26" s="138"/>
      <c r="AJ26" s="704"/>
      <c r="AK26" s="138"/>
      <c r="AL26" s="138"/>
      <c r="AM26" s="138"/>
      <c r="AN26" s="138"/>
      <c r="AO26" s="171"/>
    </row>
    <row r="27" spans="1:41" s="137" customFormat="1">
      <c r="C27" s="704"/>
      <c r="E27" s="784"/>
      <c r="G27" s="784"/>
      <c r="R27" s="703"/>
      <c r="S27" s="138"/>
      <c r="T27" s="171"/>
      <c r="U27" s="171"/>
      <c r="V27" s="171"/>
      <c r="W27" s="789"/>
      <c r="AC27" s="703"/>
      <c r="AD27" s="138"/>
      <c r="AE27" s="138"/>
      <c r="AF27" s="138"/>
      <c r="AG27" s="138"/>
      <c r="AH27" s="138"/>
      <c r="AI27" s="138"/>
      <c r="AJ27" s="704"/>
      <c r="AK27" s="138"/>
      <c r="AL27" s="138"/>
      <c r="AM27" s="138"/>
      <c r="AN27" s="138"/>
      <c r="AO27" s="171"/>
    </row>
    <row r="28" spans="1:41" s="137" customFormat="1">
      <c r="C28" s="704"/>
      <c r="E28" s="784"/>
      <c r="G28" s="784"/>
      <c r="R28" s="703"/>
      <c r="S28" s="138"/>
      <c r="T28" s="171"/>
      <c r="U28" s="171"/>
      <c r="V28" s="171"/>
      <c r="W28" s="789"/>
      <c r="AC28" s="703"/>
      <c r="AD28" s="138"/>
      <c r="AE28" s="138"/>
      <c r="AF28" s="138"/>
      <c r="AG28" s="138"/>
      <c r="AH28" s="138"/>
      <c r="AI28" s="138"/>
      <c r="AJ28" s="704"/>
      <c r="AK28" s="138"/>
      <c r="AL28" s="138"/>
      <c r="AM28" s="138"/>
      <c r="AN28" s="138"/>
      <c r="AO28" s="171"/>
    </row>
    <row r="29" spans="1:41" s="137" customFormat="1">
      <c r="C29" s="704"/>
      <c r="E29" s="784"/>
      <c r="G29" s="784"/>
      <c r="R29" s="703"/>
      <c r="S29" s="138"/>
      <c r="T29" s="171"/>
      <c r="U29" s="171"/>
      <c r="V29" s="171"/>
      <c r="W29" s="789"/>
      <c r="AC29" s="703"/>
      <c r="AD29" s="138"/>
      <c r="AE29" s="138"/>
      <c r="AF29" s="138"/>
      <c r="AG29" s="138"/>
      <c r="AH29" s="138"/>
      <c r="AI29" s="138"/>
      <c r="AJ29" s="704"/>
      <c r="AK29" s="138"/>
      <c r="AL29" s="138"/>
      <c r="AM29" s="138"/>
      <c r="AN29" s="138"/>
      <c r="AO29" s="171"/>
    </row>
    <row r="30" spans="1:41" s="137" customFormat="1">
      <c r="C30" s="704"/>
      <c r="E30" s="784"/>
      <c r="G30" s="784"/>
      <c r="R30" s="703"/>
      <c r="S30" s="138"/>
      <c r="T30" s="171"/>
      <c r="U30" s="171"/>
      <c r="V30" s="171"/>
      <c r="W30" s="789"/>
      <c r="AO30" s="784"/>
    </row>
    <row r="31" spans="1:41" s="137" customFormat="1">
      <c r="C31" s="704"/>
      <c r="E31" s="784"/>
      <c r="G31" s="784"/>
      <c r="R31" s="703"/>
      <c r="S31" s="138"/>
      <c r="T31" s="171"/>
      <c r="U31" s="171"/>
      <c r="V31" s="171"/>
      <c r="W31" s="789"/>
    </row>
    <row r="32" spans="1:41" s="137" customFormat="1">
      <c r="C32" s="704"/>
      <c r="E32" s="784"/>
      <c r="G32" s="784"/>
      <c r="R32" s="703"/>
      <c r="S32" s="138"/>
      <c r="T32" s="171"/>
      <c r="U32" s="171"/>
      <c r="V32" s="171"/>
      <c r="W32" s="789"/>
    </row>
    <row r="33" spans="1:23" s="137" customFormat="1">
      <c r="C33" s="704"/>
      <c r="E33" s="784"/>
      <c r="G33" s="784"/>
      <c r="R33" s="703"/>
      <c r="S33" s="138"/>
      <c r="T33" s="171"/>
      <c r="U33" s="171"/>
      <c r="V33" s="171"/>
      <c r="W33" s="789"/>
    </row>
    <row r="34" spans="1:23" s="137" customFormat="1">
      <c r="C34" s="704"/>
      <c r="E34" s="784"/>
      <c r="G34" s="784"/>
      <c r="R34" s="703"/>
      <c r="S34" s="138"/>
      <c r="T34" s="171"/>
      <c r="U34" s="171"/>
      <c r="V34" s="171"/>
      <c r="W34" s="789"/>
    </row>
    <row r="35" spans="1:23" s="137" customFormat="1">
      <c r="C35" s="704"/>
      <c r="E35" s="784"/>
      <c r="G35" s="784"/>
      <c r="R35" s="703"/>
      <c r="S35" s="138"/>
      <c r="T35" s="171"/>
      <c r="U35" s="171"/>
      <c r="V35" s="171"/>
      <c r="W35" s="789"/>
    </row>
    <row r="36" spans="1:23" s="137" customFormat="1">
      <c r="C36" s="704"/>
      <c r="E36" s="784"/>
      <c r="G36" s="784"/>
      <c r="R36" s="703"/>
      <c r="S36" s="138"/>
      <c r="T36" s="171"/>
      <c r="U36" s="171"/>
      <c r="V36" s="171"/>
      <c r="W36" s="789"/>
    </row>
    <row r="37" spans="1:23" s="137" customFormat="1">
      <c r="C37" s="704"/>
      <c r="E37" s="784"/>
      <c r="G37" s="784"/>
    </row>
    <row r="38" spans="1:23" s="137" customFormat="1">
      <c r="C38" s="704"/>
      <c r="E38" s="784"/>
      <c r="G38" s="784"/>
    </row>
    <row r="42" spans="1:23" ht="14.25" customHeight="1"/>
    <row r="43" spans="1:23">
      <c r="A43" s="61"/>
      <c r="B43" s="61"/>
      <c r="C43" s="62"/>
      <c r="D43" s="61"/>
    </row>
    <row r="44" spans="1:23" ht="14.25" customHeight="1"/>
    <row r="45" spans="1:23">
      <c r="A45" s="61"/>
      <c r="B45" s="61"/>
      <c r="C45" s="62"/>
      <c r="D45" s="61"/>
    </row>
    <row r="46" spans="1:23" ht="14.25" customHeight="1"/>
  </sheetData>
  <mergeCells count="3">
    <mergeCell ref="D19:H19"/>
    <mergeCell ref="D21:H21"/>
    <mergeCell ref="D23:H23"/>
  </mergeCells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K17:M17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workbookViewId="0"/>
  </sheetViews>
  <sheetFormatPr defaultRowHeight="14.25"/>
  <cols>
    <col min="1" max="1" width="14" style="23" customWidth="1"/>
    <col min="2" max="2" width="16.5703125" style="53" customWidth="1"/>
    <col min="3" max="3" width="13.85546875" style="53" bestFit="1" customWidth="1"/>
    <col min="4" max="4" width="6.28515625" style="23" bestFit="1" customWidth="1"/>
    <col min="5" max="5" width="12" style="23" bestFit="1" customWidth="1"/>
    <col min="6" max="6" width="15" style="23" bestFit="1" customWidth="1"/>
    <col min="7" max="7" width="13.85546875" style="23" bestFit="1" customWidth="1"/>
    <col min="8" max="8" width="5.42578125" style="23" customWidth="1"/>
    <col min="9" max="9" width="11.85546875" style="23" customWidth="1"/>
    <col min="10" max="10" width="15" style="23" bestFit="1" customWidth="1"/>
    <col min="11" max="11" width="13.85546875" style="23" bestFit="1" customWidth="1"/>
    <col min="12" max="12" width="7.140625" style="23" customWidth="1"/>
    <col min="13" max="13" width="12.7109375" style="23" customWidth="1"/>
    <col min="14" max="14" width="15" style="23" bestFit="1" customWidth="1"/>
    <col min="15" max="15" width="13.85546875" style="23" bestFit="1" customWidth="1"/>
    <col min="16" max="16" width="9.140625" style="23" customWidth="1"/>
    <col min="17" max="17" width="5.5703125" style="23" customWidth="1"/>
    <col min="18" max="18" width="9.140625" style="23" customWidth="1"/>
    <col min="19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394</v>
      </c>
    </row>
    <row r="5" spans="1:15" ht="15.75" thickBot="1">
      <c r="A5" s="5"/>
    </row>
    <row r="6" spans="1:15" ht="15">
      <c r="A6" s="994" t="s">
        <v>149</v>
      </c>
      <c r="B6" s="994"/>
      <c r="C6" s="994"/>
      <c r="D6" s="994"/>
      <c r="E6" s="994"/>
      <c r="F6" s="5"/>
    </row>
    <row r="7" spans="1:15" ht="15">
      <c r="A7" s="69" t="s">
        <v>150</v>
      </c>
      <c r="B7" s="70"/>
      <c r="C7" s="70"/>
      <c r="D7" s="71"/>
      <c r="E7" s="72"/>
      <c r="F7" s="5"/>
    </row>
    <row r="8" spans="1:15" ht="15" thickBot="1">
      <c r="B8" s="23"/>
      <c r="C8" s="23"/>
    </row>
    <row r="9" spans="1:15" s="73" customFormat="1" ht="30.75" customHeight="1" thickBot="1">
      <c r="A9" s="993" t="str">
        <f>'10_Assuntos_+_demadados_2023'!A7</f>
        <v>Cadastro Único (CadÚnico)</v>
      </c>
      <c r="B9" s="993"/>
      <c r="C9" s="993"/>
      <c r="E9" s="993" t="str">
        <f>'10_Assuntos_+_demadados_2023'!A8</f>
        <v>Qualidade de atendimento</v>
      </c>
      <c r="F9" s="993"/>
      <c r="G9" s="993"/>
      <c r="I9" s="992" t="str">
        <f>'10_Assuntos_+_demadados_2023'!A9</f>
        <v>Buraco e pavimentação</v>
      </c>
      <c r="J9" s="992"/>
      <c r="K9" s="992"/>
      <c r="M9" s="993" t="str">
        <f>'10_Assuntos_+_demadados_2023'!A10</f>
        <v>Árvore</v>
      </c>
      <c r="N9" s="993"/>
      <c r="O9" s="993"/>
    </row>
    <row r="10" spans="1:15" ht="15.75" thickBot="1">
      <c r="A10" s="18" t="s">
        <v>7</v>
      </c>
      <c r="B10" s="18" t="s">
        <v>151</v>
      </c>
      <c r="C10" s="19" t="s">
        <v>152</v>
      </c>
      <c r="E10" s="18" t="s">
        <v>7</v>
      </c>
      <c r="F10" s="74" t="s">
        <v>151</v>
      </c>
      <c r="G10" s="74" t="s">
        <v>152</v>
      </c>
      <c r="I10" s="18" t="s">
        <v>7</v>
      </c>
      <c r="J10" s="74" t="s">
        <v>151</v>
      </c>
      <c r="K10" s="74" t="s">
        <v>152</v>
      </c>
      <c r="M10" s="18" t="s">
        <v>7</v>
      </c>
      <c r="N10" s="74" t="s">
        <v>151</v>
      </c>
      <c r="O10" s="74" t="s">
        <v>152</v>
      </c>
    </row>
    <row r="11" spans="1:15" ht="15">
      <c r="A11" s="449">
        <v>44927</v>
      </c>
      <c r="B11" s="446">
        <f>'10_Assuntos_+_demadados_2023'!M7</f>
        <v>501</v>
      </c>
      <c r="C11" s="331">
        <f>((B11-372)/372)*100</f>
        <v>34.677419354838712</v>
      </c>
      <c r="E11" s="449">
        <v>44927</v>
      </c>
      <c r="F11" s="75">
        <f>'10_Assuntos_+_demadados_2023'!M8</f>
        <v>337</v>
      </c>
      <c r="G11" s="21">
        <f>((F11-286)/286)*100</f>
        <v>17.832167832167833</v>
      </c>
      <c r="I11" s="449">
        <v>44927</v>
      </c>
      <c r="J11" s="75">
        <f>'10_Assuntos_+_demadados_2023'!M9</f>
        <v>263</v>
      </c>
      <c r="K11" s="21">
        <f>((J11-182)/182)*100</f>
        <v>44.505494505494504</v>
      </c>
      <c r="M11" s="449">
        <v>44927</v>
      </c>
      <c r="N11" s="75">
        <f>'10_Assuntos_+_demadados_2023'!M10</f>
        <v>301</v>
      </c>
      <c r="O11" s="21">
        <f>((N11-196)/196)*100</f>
        <v>53.571428571428569</v>
      </c>
    </row>
    <row r="12" spans="1:15" ht="15">
      <c r="A12" s="450">
        <v>44958</v>
      </c>
      <c r="B12" s="447">
        <f>'10_Assuntos_+_demadados_2023'!L7</f>
        <v>484</v>
      </c>
      <c r="C12" s="331">
        <f>((B12-B11)/B11)*100</f>
        <v>-3.3932135728542914</v>
      </c>
      <c r="E12" s="450">
        <v>44958</v>
      </c>
      <c r="F12" s="76">
        <f>'10_Assuntos_+_demadados_2023'!L8</f>
        <v>325</v>
      </c>
      <c r="G12" s="21">
        <f>((F12-F11)/F11)*100</f>
        <v>-3.5608308605341246</v>
      </c>
      <c r="I12" s="450">
        <v>44958</v>
      </c>
      <c r="J12" s="76">
        <f>'10_Assuntos_+_demadados_2023'!L9</f>
        <v>290</v>
      </c>
      <c r="K12" s="21">
        <f>((J12-J11)/J11)*100</f>
        <v>10.266159695817491</v>
      </c>
      <c r="M12" s="450">
        <v>44958</v>
      </c>
      <c r="N12" s="76">
        <f>'10_Assuntos_+_demadados_2023'!L10</f>
        <v>265</v>
      </c>
      <c r="O12" s="21">
        <f>((N12-N11)/N11)*100</f>
        <v>-11.960132890365449</v>
      </c>
    </row>
    <row r="13" spans="1:15" ht="15">
      <c r="A13" s="450">
        <v>44986</v>
      </c>
      <c r="B13" s="447">
        <f>'10_Assuntos_+_demadados_2023'!K7</f>
        <v>844</v>
      </c>
      <c r="C13" s="331">
        <f>((B13-B12)/B12)*100</f>
        <v>74.380165289256198</v>
      </c>
      <c r="E13" s="450">
        <v>44986</v>
      </c>
      <c r="F13" s="76">
        <f>'10_Assuntos_+_demadados_2023'!K8</f>
        <v>347</v>
      </c>
      <c r="G13" s="21">
        <f>((F13-F12)/F12)*100</f>
        <v>6.7692307692307692</v>
      </c>
      <c r="I13" s="450">
        <v>44986</v>
      </c>
      <c r="J13" s="76">
        <f>'10_Assuntos_+_demadados_2023'!K9</f>
        <v>313</v>
      </c>
      <c r="K13" s="21">
        <f>((J13-J12)/J12)*100</f>
        <v>7.931034482758621</v>
      </c>
      <c r="M13" s="450">
        <v>44986</v>
      </c>
      <c r="N13" s="76">
        <f>'10_Assuntos_+_demadados_2023'!K10</f>
        <v>270</v>
      </c>
      <c r="O13" s="21">
        <f>((N13-N12)/N12)*100</f>
        <v>1.8867924528301887</v>
      </c>
    </row>
    <row r="14" spans="1:15" ht="15">
      <c r="A14" s="450">
        <v>45017</v>
      </c>
      <c r="B14" s="447"/>
      <c r="C14" s="331"/>
      <c r="E14" s="450">
        <v>45017</v>
      </c>
      <c r="F14" s="76"/>
      <c r="G14" s="21"/>
      <c r="I14" s="450">
        <v>45017</v>
      </c>
      <c r="J14" s="76"/>
      <c r="K14" s="21"/>
      <c r="M14" s="450">
        <v>45017</v>
      </c>
      <c r="N14" s="76"/>
      <c r="O14" s="21"/>
    </row>
    <row r="15" spans="1:15" ht="15">
      <c r="A15" s="450">
        <v>45047</v>
      </c>
      <c r="B15" s="447"/>
      <c r="C15" s="331"/>
      <c r="E15" s="450">
        <v>45047</v>
      </c>
      <c r="F15" s="76"/>
      <c r="G15" s="21"/>
      <c r="I15" s="450">
        <v>45047</v>
      </c>
      <c r="J15" s="76"/>
      <c r="K15" s="21"/>
      <c r="M15" s="450">
        <v>45047</v>
      </c>
      <c r="N15" s="76"/>
      <c r="O15" s="21"/>
    </row>
    <row r="16" spans="1:15" ht="15">
      <c r="A16" s="450">
        <v>45078</v>
      </c>
      <c r="B16" s="447"/>
      <c r="C16" s="331"/>
      <c r="E16" s="450">
        <v>45078</v>
      </c>
      <c r="F16" s="76"/>
      <c r="G16" s="21"/>
      <c r="I16" s="450">
        <v>45078</v>
      </c>
      <c r="J16" s="76"/>
      <c r="K16" s="21"/>
      <c r="M16" s="450">
        <v>45078</v>
      </c>
      <c r="N16" s="76"/>
      <c r="O16" s="21"/>
    </row>
    <row r="17" spans="1:15" ht="15">
      <c r="A17" s="450">
        <v>45108</v>
      </c>
      <c r="B17" s="447"/>
      <c r="C17" s="331"/>
      <c r="E17" s="450">
        <v>45108</v>
      </c>
      <c r="F17" s="76"/>
      <c r="G17" s="21"/>
      <c r="I17" s="450">
        <v>45108</v>
      </c>
      <c r="J17" s="76"/>
      <c r="K17" s="21"/>
      <c r="M17" s="450">
        <v>45108</v>
      </c>
      <c r="N17" s="76"/>
      <c r="O17" s="21"/>
    </row>
    <row r="18" spans="1:15" ht="15">
      <c r="A18" s="450">
        <v>45139</v>
      </c>
      <c r="B18" s="447"/>
      <c r="C18" s="331"/>
      <c r="E18" s="450">
        <v>45139</v>
      </c>
      <c r="F18" s="76"/>
      <c r="G18" s="21"/>
      <c r="I18" s="450">
        <v>45139</v>
      </c>
      <c r="J18" s="76"/>
      <c r="K18" s="21"/>
      <c r="M18" s="450">
        <v>45139</v>
      </c>
      <c r="N18" s="76"/>
      <c r="O18" s="21"/>
    </row>
    <row r="19" spans="1:15" ht="15">
      <c r="A19" s="450">
        <v>45170</v>
      </c>
      <c r="B19" s="447"/>
      <c r="C19" s="331"/>
      <c r="E19" s="450">
        <v>45170</v>
      </c>
      <c r="F19" s="76"/>
      <c r="G19" s="21"/>
      <c r="I19" s="450">
        <v>45170</v>
      </c>
      <c r="J19" s="76"/>
      <c r="K19" s="21"/>
      <c r="M19" s="450">
        <v>45170</v>
      </c>
      <c r="N19" s="76"/>
      <c r="O19" s="21"/>
    </row>
    <row r="20" spans="1:15" ht="15">
      <c r="A20" s="450">
        <v>45200</v>
      </c>
      <c r="B20" s="447"/>
      <c r="C20" s="331"/>
      <c r="E20" s="450">
        <v>45200</v>
      </c>
      <c r="F20" s="76"/>
      <c r="G20" s="21"/>
      <c r="I20" s="450">
        <v>45200</v>
      </c>
      <c r="J20" s="76"/>
      <c r="K20" s="21"/>
      <c r="M20" s="450">
        <v>45200</v>
      </c>
      <c r="N20" s="76"/>
      <c r="O20" s="21"/>
    </row>
    <row r="21" spans="1:15" ht="15">
      <c r="A21" s="450">
        <v>45231</v>
      </c>
      <c r="B21" s="447"/>
      <c r="C21" s="331"/>
      <c r="E21" s="450">
        <v>45231</v>
      </c>
      <c r="F21" s="76"/>
      <c r="G21" s="21"/>
      <c r="I21" s="450">
        <v>45231</v>
      </c>
      <c r="J21" s="77"/>
      <c r="K21" s="21"/>
      <c r="M21" s="450">
        <v>45231</v>
      </c>
      <c r="N21" s="77"/>
      <c r="O21" s="21"/>
    </row>
    <row r="22" spans="1:15" ht="15.75" thickBot="1">
      <c r="A22" s="451">
        <v>45261</v>
      </c>
      <c r="B22" s="448"/>
      <c r="C22" s="332"/>
      <c r="E22" s="451">
        <v>45261</v>
      </c>
      <c r="F22" s="78"/>
      <c r="G22" s="27"/>
      <c r="I22" s="451">
        <v>45261</v>
      </c>
      <c r="J22" s="78"/>
      <c r="K22" s="27"/>
      <c r="M22" s="451">
        <v>45261</v>
      </c>
      <c r="N22" s="78"/>
      <c r="O22" s="27"/>
    </row>
    <row r="23" spans="1:15">
      <c r="B23" s="23"/>
      <c r="C23" s="23"/>
    </row>
    <row r="24" spans="1:15" ht="15" thickBot="1">
      <c r="B24" s="23"/>
      <c r="C24" s="23"/>
    </row>
    <row r="25" spans="1:15" s="73" customFormat="1" ht="30.75" customHeight="1" thickBot="1">
      <c r="A25" s="993" t="str">
        <f>'10_Assuntos_+_demadados_2023'!A11</f>
        <v>Poluição sonora - PSIU</v>
      </c>
      <c r="B25" s="993"/>
      <c r="C25" s="993"/>
      <c r="E25" s="992" t="str">
        <f>'10_Assuntos_+_demadados_2023'!A12</f>
        <v>Sinalização e Circulação de veículos e Pedestres</v>
      </c>
      <c r="F25" s="992"/>
      <c r="G25" s="992"/>
      <c r="I25" s="995" t="str">
        <f>'10_Assuntos_+_demadados_2023'!A13</f>
        <v>Drenagem de água de chuva</v>
      </c>
      <c r="J25" s="995"/>
      <c r="K25" s="995"/>
      <c r="M25" s="992" t="str">
        <f>'10_Assuntos_+_demadados_2023'!A14</f>
        <v>Multas de trânsito</v>
      </c>
      <c r="N25" s="992"/>
      <c r="O25" s="992"/>
    </row>
    <row r="26" spans="1:15" ht="15.75" thickBot="1">
      <c r="A26" s="18" t="s">
        <v>7</v>
      </c>
      <c r="B26" s="79" t="s">
        <v>151</v>
      </c>
      <c r="C26" s="80" t="s">
        <v>152</v>
      </c>
      <c r="E26" s="19" t="s">
        <v>7</v>
      </c>
      <c r="F26" s="19" t="s">
        <v>151</v>
      </c>
      <c r="G26" s="19" t="s">
        <v>152</v>
      </c>
      <c r="I26" s="18" t="s">
        <v>7</v>
      </c>
      <c r="J26" s="74" t="s">
        <v>151</v>
      </c>
      <c r="K26" s="74" t="s">
        <v>152</v>
      </c>
      <c r="M26" s="18" t="s">
        <v>7</v>
      </c>
      <c r="N26" s="74" t="s">
        <v>151</v>
      </c>
      <c r="O26" s="74" t="s">
        <v>152</v>
      </c>
    </row>
    <row r="27" spans="1:15" ht="15">
      <c r="A27" s="449">
        <v>44927</v>
      </c>
      <c r="B27" s="75">
        <f>'10_Assuntos_+_demadados_2023'!M11</f>
        <v>239</v>
      </c>
      <c r="C27" s="21">
        <f>((B27-192)/192)*100</f>
        <v>24.479166666666664</v>
      </c>
      <c r="E27" s="449">
        <v>44927</v>
      </c>
      <c r="F27" s="75">
        <f>'10_Assuntos_+_demadados_2023'!M12</f>
        <v>129</v>
      </c>
      <c r="G27" s="21">
        <f>((F27-108)/108)*100</f>
        <v>19.444444444444446</v>
      </c>
      <c r="I27" s="449">
        <v>44927</v>
      </c>
      <c r="J27" s="75">
        <f>'10_Assuntos_+_demadados_2023'!M13</f>
        <v>118</v>
      </c>
      <c r="K27" s="21">
        <f>((J27-117)/117)*100</f>
        <v>0.85470085470085477</v>
      </c>
      <c r="M27" s="449">
        <v>44927</v>
      </c>
      <c r="N27" s="75">
        <f>'10_Assuntos_+_demadados_2023'!M14</f>
        <v>151</v>
      </c>
      <c r="O27" s="21">
        <f>((N27-89)/89)*100</f>
        <v>69.662921348314612</v>
      </c>
    </row>
    <row r="28" spans="1:15" ht="15">
      <c r="A28" s="450">
        <v>44958</v>
      </c>
      <c r="B28" s="76">
        <f>'10_Assuntos_+_demadados_2023'!L11</f>
        <v>193</v>
      </c>
      <c r="C28" s="21">
        <f>((B28-B27)/B27)*100</f>
        <v>-19.246861924686193</v>
      </c>
      <c r="E28" s="450">
        <v>44958</v>
      </c>
      <c r="F28" s="76">
        <f>'10_Assuntos_+_demadados_2023'!L12</f>
        <v>149</v>
      </c>
      <c r="G28" s="21">
        <f>((F28-F27)/F27)*100</f>
        <v>15.503875968992247</v>
      </c>
      <c r="I28" s="450">
        <v>44958</v>
      </c>
      <c r="J28" s="76">
        <f>'10_Assuntos_+_demadados_2023'!L13</f>
        <v>135</v>
      </c>
      <c r="K28" s="21">
        <f>((J28-J27)/J27)*100</f>
        <v>14.40677966101695</v>
      </c>
      <c r="M28" s="450">
        <v>44958</v>
      </c>
      <c r="N28" s="76">
        <f>'10_Assuntos_+_demadados_2023'!L14</f>
        <v>144</v>
      </c>
      <c r="O28" s="21">
        <f>((N28-N27)/N27)*100</f>
        <v>-4.6357615894039732</v>
      </c>
    </row>
    <row r="29" spans="1:15" ht="15">
      <c r="A29" s="450">
        <v>44986</v>
      </c>
      <c r="B29" s="76">
        <f>'10_Assuntos_+_demadados_2023'!K11</f>
        <v>215</v>
      </c>
      <c r="C29" s="21">
        <f>((B29-B28)/B28)*100</f>
        <v>11.398963730569948</v>
      </c>
      <c r="E29" s="450">
        <v>44986</v>
      </c>
      <c r="F29" s="76">
        <f>'10_Assuntos_+_demadados_2023'!K12</f>
        <v>164</v>
      </c>
      <c r="G29" s="21">
        <f>((F29-F28)/F28)*100</f>
        <v>10.067114093959731</v>
      </c>
      <c r="I29" s="450">
        <v>44986</v>
      </c>
      <c r="J29" s="76">
        <f>'10_Assuntos_+_demadados_2023'!K13</f>
        <v>176</v>
      </c>
      <c r="K29" s="21">
        <f>((J29-J28)/J28)*100</f>
        <v>30.37037037037037</v>
      </c>
      <c r="M29" s="450">
        <v>44986</v>
      </c>
      <c r="N29" s="76">
        <f>'10_Assuntos_+_demadados_2023'!K14</f>
        <v>112</v>
      </c>
      <c r="O29" s="21">
        <f>((N29-N28)/N28)*100</f>
        <v>-22.222222222222221</v>
      </c>
    </row>
    <row r="30" spans="1:15" ht="15">
      <c r="A30" s="450">
        <v>45017</v>
      </c>
      <c r="B30" s="76"/>
      <c r="C30" s="21"/>
      <c r="E30" s="450">
        <v>45017</v>
      </c>
      <c r="F30" s="76"/>
      <c r="G30" s="21"/>
      <c r="I30" s="450">
        <v>45017</v>
      </c>
      <c r="J30" s="76"/>
      <c r="K30" s="21"/>
      <c r="M30" s="450">
        <v>45017</v>
      </c>
      <c r="N30" s="76"/>
      <c r="O30" s="21"/>
    </row>
    <row r="31" spans="1:15" ht="15">
      <c r="A31" s="450">
        <v>45047</v>
      </c>
      <c r="B31" s="82"/>
      <c r="C31" s="21"/>
      <c r="E31" s="450">
        <v>45047</v>
      </c>
      <c r="F31" s="76"/>
      <c r="G31" s="21"/>
      <c r="I31" s="450">
        <v>45047</v>
      </c>
      <c r="J31" s="76"/>
      <c r="K31" s="21"/>
      <c r="M31" s="450">
        <v>45047</v>
      </c>
      <c r="N31" s="76"/>
      <c r="O31" s="21"/>
    </row>
    <row r="32" spans="1:15" ht="15">
      <c r="A32" s="450">
        <v>45078</v>
      </c>
      <c r="B32" s="76"/>
      <c r="C32" s="21"/>
      <c r="E32" s="450">
        <v>45078</v>
      </c>
      <c r="F32" s="76"/>
      <c r="G32" s="21"/>
      <c r="I32" s="450">
        <v>45078</v>
      </c>
      <c r="J32" s="76"/>
      <c r="K32" s="21"/>
      <c r="M32" s="450">
        <v>45078</v>
      </c>
      <c r="N32" s="76"/>
      <c r="O32" s="21"/>
    </row>
    <row r="33" spans="1:15" ht="15">
      <c r="A33" s="450">
        <v>45108</v>
      </c>
      <c r="B33" s="76"/>
      <c r="C33" s="21"/>
      <c r="E33" s="450">
        <v>45108</v>
      </c>
      <c r="F33" s="76"/>
      <c r="G33" s="21"/>
      <c r="I33" s="450">
        <v>45108</v>
      </c>
      <c r="J33" s="76"/>
      <c r="K33" s="21"/>
      <c r="M33" s="450">
        <v>45108</v>
      </c>
      <c r="N33" s="76"/>
      <c r="O33" s="21"/>
    </row>
    <row r="34" spans="1:15" ht="15">
      <c r="A34" s="450">
        <v>45139</v>
      </c>
      <c r="B34" s="76"/>
      <c r="C34" s="21"/>
      <c r="E34" s="450">
        <v>45139</v>
      </c>
      <c r="F34" s="76"/>
      <c r="G34" s="21"/>
      <c r="I34" s="450">
        <v>45139</v>
      </c>
      <c r="J34" s="76"/>
      <c r="K34" s="21"/>
      <c r="M34" s="450">
        <v>45139</v>
      </c>
      <c r="N34" s="76"/>
      <c r="O34" s="21"/>
    </row>
    <row r="35" spans="1:15" ht="15">
      <c r="A35" s="450">
        <v>45170</v>
      </c>
      <c r="B35" s="76"/>
      <c r="C35" s="21"/>
      <c r="E35" s="450">
        <v>45170</v>
      </c>
      <c r="F35" s="76"/>
      <c r="G35" s="21"/>
      <c r="I35" s="450">
        <v>45170</v>
      </c>
      <c r="J35" s="76"/>
      <c r="K35" s="21"/>
      <c r="M35" s="450">
        <v>45170</v>
      </c>
      <c r="N35" s="76"/>
      <c r="O35" s="21"/>
    </row>
    <row r="36" spans="1:15" ht="15">
      <c r="A36" s="450">
        <v>45200</v>
      </c>
      <c r="B36" s="76"/>
      <c r="C36" s="21"/>
      <c r="E36" s="450">
        <v>45200</v>
      </c>
      <c r="F36" s="76"/>
      <c r="G36" s="21"/>
      <c r="I36" s="450">
        <v>45200</v>
      </c>
      <c r="J36" s="76"/>
      <c r="K36" s="21"/>
      <c r="M36" s="450">
        <v>45200</v>
      </c>
      <c r="N36" s="76"/>
      <c r="O36" s="21"/>
    </row>
    <row r="37" spans="1:15" ht="15">
      <c r="A37" s="450">
        <v>45231</v>
      </c>
      <c r="B37" s="76"/>
      <c r="C37" s="21"/>
      <c r="E37" s="450">
        <v>45231</v>
      </c>
      <c r="F37" s="76"/>
      <c r="G37" s="21"/>
      <c r="I37" s="450">
        <v>45231</v>
      </c>
      <c r="J37" s="76"/>
      <c r="K37" s="21"/>
      <c r="M37" s="450">
        <v>45231</v>
      </c>
      <c r="N37" s="76"/>
      <c r="O37" s="21"/>
    </row>
    <row r="38" spans="1:15" ht="15.75" thickBot="1">
      <c r="A38" s="451">
        <v>45261</v>
      </c>
      <c r="B38" s="78"/>
      <c r="C38" s="27"/>
      <c r="E38" s="451">
        <v>45261</v>
      </c>
      <c r="F38" s="78"/>
      <c r="G38" s="27"/>
      <c r="I38" s="451">
        <v>45261</v>
      </c>
      <c r="J38" s="78"/>
      <c r="K38" s="27"/>
      <c r="M38" s="451">
        <v>45261</v>
      </c>
      <c r="N38" s="76"/>
      <c r="O38" s="27"/>
    </row>
    <row r="39" spans="1:15">
      <c r="B39" s="23"/>
      <c r="C39" s="23"/>
    </row>
    <row r="40" spans="1:15" ht="15" thickBot="1">
      <c r="B40" s="23"/>
      <c r="C40" s="23"/>
    </row>
    <row r="41" spans="1:15" ht="30.75" customHeight="1" thickBot="1">
      <c r="A41" s="992" t="str">
        <f>'10_Assuntos_+_demadados_2023'!A15</f>
        <v>Calçadas, guias e postes</v>
      </c>
      <c r="B41" s="992"/>
      <c r="C41" s="992"/>
      <c r="E41" s="992" t="str">
        <f>'10_Assuntos_+_demadados_2023'!A16</f>
        <v>Estabelecimentos comerciais, indústrias e serviços</v>
      </c>
      <c r="F41" s="992"/>
      <c r="G41" s="992"/>
    </row>
    <row r="42" spans="1:15" ht="15.75" thickBot="1">
      <c r="A42" s="18" t="s">
        <v>7</v>
      </c>
      <c r="B42" s="74" t="s">
        <v>151</v>
      </c>
      <c r="C42" s="74" t="s">
        <v>152</v>
      </c>
      <c r="E42" s="18" t="s">
        <v>7</v>
      </c>
      <c r="F42" s="74" t="s">
        <v>151</v>
      </c>
      <c r="G42" s="74" t="s">
        <v>152</v>
      </c>
    </row>
    <row r="43" spans="1:15" ht="15">
      <c r="A43" s="449">
        <v>44927</v>
      </c>
      <c r="B43" s="76">
        <f>'10_Assuntos_+_demadados_2023'!M15</f>
        <v>91</v>
      </c>
      <c r="C43" s="21">
        <f>((B43-103)/103)*100</f>
        <v>-11.650485436893204</v>
      </c>
      <c r="E43" s="449">
        <v>44927</v>
      </c>
      <c r="F43" s="75">
        <f>'10_Assuntos_+_demadados_2023'!M16</f>
        <v>113</v>
      </c>
      <c r="G43" s="21">
        <f>((F43-99)/99)*100</f>
        <v>14.14141414141414</v>
      </c>
    </row>
    <row r="44" spans="1:15" ht="15">
      <c r="A44" s="450">
        <v>44958</v>
      </c>
      <c r="B44" s="76">
        <f>'10_Assuntos_+_demadados_2023'!L15</f>
        <v>139</v>
      </c>
      <c r="C44" s="21">
        <f>((B44-B43)/B43)*100</f>
        <v>52.747252747252752</v>
      </c>
      <c r="E44" s="450">
        <v>44958</v>
      </c>
      <c r="F44" s="76">
        <f>'10_Assuntos_+_demadados_2023'!L16</f>
        <v>93</v>
      </c>
      <c r="G44" s="21">
        <f>((F44-F43)/F43)*100</f>
        <v>-17.699115044247787</v>
      </c>
    </row>
    <row r="45" spans="1:15" ht="15">
      <c r="A45" s="450">
        <v>44986</v>
      </c>
      <c r="B45" s="76">
        <f>'10_Assuntos_+_demadados_2023'!K15</f>
        <v>157</v>
      </c>
      <c r="C45" s="21">
        <f>((B45-B44)/B44)*100</f>
        <v>12.949640287769784</v>
      </c>
      <c r="E45" s="450">
        <v>44986</v>
      </c>
      <c r="F45" s="76">
        <f>'10_Assuntos_+_demadados_2023'!K16</f>
        <v>164</v>
      </c>
      <c r="G45" s="21">
        <f>((F45-F44)/F44)*100</f>
        <v>76.344086021505376</v>
      </c>
    </row>
    <row r="46" spans="1:15" ht="15">
      <c r="A46" s="450">
        <v>45017</v>
      </c>
      <c r="B46" s="76"/>
      <c r="C46" s="21"/>
      <c r="E46" s="450">
        <v>45017</v>
      </c>
      <c r="F46" s="76"/>
      <c r="G46" s="21"/>
    </row>
    <row r="47" spans="1:15" ht="15">
      <c r="A47" s="450">
        <v>45047</v>
      </c>
      <c r="B47" s="76"/>
      <c r="C47" s="21"/>
      <c r="E47" s="450">
        <v>45047</v>
      </c>
      <c r="F47" s="76"/>
      <c r="G47" s="21"/>
    </row>
    <row r="48" spans="1:15" ht="15">
      <c r="A48" s="450">
        <v>45078</v>
      </c>
      <c r="B48" s="76"/>
      <c r="C48" s="21"/>
      <c r="E48" s="450">
        <v>45078</v>
      </c>
      <c r="F48" s="76"/>
      <c r="G48" s="21"/>
    </row>
    <row r="49" spans="1:7" ht="15">
      <c r="A49" s="450">
        <v>45108</v>
      </c>
      <c r="B49" s="76"/>
      <c r="C49" s="21"/>
      <c r="E49" s="450">
        <v>45108</v>
      </c>
      <c r="F49" s="76"/>
      <c r="G49" s="21"/>
    </row>
    <row r="50" spans="1:7" ht="15">
      <c r="A50" s="450">
        <v>45139</v>
      </c>
      <c r="B50" s="76"/>
      <c r="C50" s="21"/>
      <c r="E50" s="450">
        <v>45139</v>
      </c>
      <c r="F50" s="76"/>
      <c r="G50" s="21"/>
    </row>
    <row r="51" spans="1:7" ht="15">
      <c r="A51" s="450">
        <v>45170</v>
      </c>
      <c r="B51" s="76"/>
      <c r="C51" s="21"/>
      <c r="E51" s="450">
        <v>45170</v>
      </c>
      <c r="F51" s="76"/>
      <c r="G51" s="21"/>
    </row>
    <row r="52" spans="1:7" ht="15">
      <c r="A52" s="450">
        <v>45200</v>
      </c>
      <c r="B52" s="76"/>
      <c r="C52" s="21"/>
      <c r="E52" s="450">
        <v>45200</v>
      </c>
      <c r="F52" s="76"/>
      <c r="G52" s="21"/>
    </row>
    <row r="53" spans="1:7" ht="15">
      <c r="A53" s="450">
        <v>45231</v>
      </c>
      <c r="B53" s="77"/>
      <c r="C53" s="21"/>
      <c r="E53" s="450">
        <v>45231</v>
      </c>
      <c r="F53" s="76"/>
      <c r="G53" s="21"/>
    </row>
    <row r="54" spans="1:7" ht="15.75" thickBot="1">
      <c r="A54" s="451">
        <v>45261</v>
      </c>
      <c r="B54" s="78"/>
      <c r="C54" s="27"/>
      <c r="E54" s="451">
        <v>45261</v>
      </c>
      <c r="F54" s="78"/>
      <c r="G54" s="27"/>
    </row>
    <row r="55" spans="1:7">
      <c r="B55" s="23"/>
      <c r="C55" s="23"/>
    </row>
    <row r="56" spans="1:7">
      <c r="B56" s="23"/>
      <c r="C56" s="23"/>
    </row>
    <row r="61" spans="1:7" ht="15">
      <c r="A61" s="13"/>
    </row>
    <row r="65" spans="17:17">
      <c r="Q65" s="53"/>
    </row>
  </sheetData>
  <mergeCells count="11">
    <mergeCell ref="M25:O25"/>
    <mergeCell ref="A41:C41"/>
    <mergeCell ref="E41:G41"/>
    <mergeCell ref="M9:O9"/>
    <mergeCell ref="A6:E6"/>
    <mergeCell ref="A9:C9"/>
    <mergeCell ref="E9:G9"/>
    <mergeCell ref="I9:K9"/>
    <mergeCell ref="A25:C25"/>
    <mergeCell ref="E25:G25"/>
    <mergeCell ref="I25:K25"/>
  </mergeCells>
  <printOptions horizontalCentered="1" verticalCentered="1"/>
  <pageMargins left="0.511811023622047" right="0.511811023622047" top="0.78740157480315021" bottom="0.78740157480315021" header="0.31496062992126012" footer="0.31496062992126012"/>
  <pageSetup paperSize="0" fitToWidth="0" fitToHeight="0" orientation="landscape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workbookViewId="0"/>
  </sheetViews>
  <sheetFormatPr defaultRowHeight="15"/>
  <cols>
    <col min="1" max="1" width="45.140625" customWidth="1"/>
    <col min="2" max="2" width="8.5703125" style="766" customWidth="1"/>
    <col min="3" max="3" width="7.5703125" bestFit="1" customWidth="1"/>
    <col min="4" max="4" width="7.7109375" style="6" bestFit="1" customWidth="1"/>
    <col min="5" max="5" width="6.140625" bestFit="1" customWidth="1"/>
    <col min="6" max="6" width="7.140625" bestFit="1" customWidth="1"/>
    <col min="7" max="7" width="2.85546875" customWidth="1"/>
  </cols>
  <sheetData>
    <row r="1" spans="1:6">
      <c r="A1" s="5" t="s">
        <v>0</v>
      </c>
      <c r="B1" s="5"/>
      <c r="C1" s="5"/>
    </row>
    <row r="2" spans="1:6">
      <c r="A2" s="5" t="s">
        <v>1</v>
      </c>
      <c r="B2" s="5"/>
      <c r="C2" s="5"/>
    </row>
    <row r="3" spans="1:6">
      <c r="A3" s="5"/>
      <c r="B3" s="5"/>
      <c r="C3" s="5"/>
    </row>
    <row r="4" spans="1:6">
      <c r="A4" s="5" t="s">
        <v>153</v>
      </c>
      <c r="B4" s="5"/>
      <c r="C4" s="5"/>
    </row>
    <row r="5" spans="1:6" ht="15.75" thickBot="1"/>
    <row r="6" spans="1:6" ht="15.75" thickBot="1">
      <c r="A6" s="361" t="s">
        <v>17</v>
      </c>
      <c r="B6" s="768">
        <v>44986</v>
      </c>
      <c r="C6" s="633">
        <v>44958</v>
      </c>
      <c r="D6" s="633">
        <v>44927</v>
      </c>
      <c r="E6" s="154" t="s">
        <v>3</v>
      </c>
      <c r="F6" s="153" t="s">
        <v>4</v>
      </c>
    </row>
    <row r="7" spans="1:6" ht="15.75" thickBot="1">
      <c r="A7" s="937" t="s">
        <v>42</v>
      </c>
      <c r="B7" s="938">
        <v>844</v>
      </c>
      <c r="C7" s="837">
        <v>484</v>
      </c>
      <c r="D7" s="837">
        <v>501</v>
      </c>
      <c r="E7" s="825">
        <f>SUM(B7:D7)</f>
        <v>1829</v>
      </c>
      <c r="F7" s="824">
        <f>AVERAGE(B7:D7)</f>
        <v>609.66666666666663</v>
      </c>
    </row>
    <row r="8" spans="1:6" ht="15.75" thickBot="1">
      <c r="A8" s="840" t="s">
        <v>366</v>
      </c>
      <c r="B8" s="938">
        <v>347</v>
      </c>
      <c r="C8" s="837">
        <v>325</v>
      </c>
      <c r="D8" s="837">
        <v>337</v>
      </c>
      <c r="E8" s="825">
        <f t="shared" ref="E8:E16" si="0">SUM(B8:D8)</f>
        <v>1009</v>
      </c>
      <c r="F8" s="824">
        <f t="shared" ref="F8:F16" si="1">AVERAGE(B8:D8)</f>
        <v>336.33333333333331</v>
      </c>
    </row>
    <row r="9" spans="1:6" ht="15.75" thickBot="1">
      <c r="A9" s="937" t="s">
        <v>40</v>
      </c>
      <c r="B9" s="938">
        <v>313</v>
      </c>
      <c r="C9" s="837">
        <v>290</v>
      </c>
      <c r="D9" s="837">
        <v>263</v>
      </c>
      <c r="E9" s="825">
        <f t="shared" si="0"/>
        <v>866</v>
      </c>
      <c r="F9" s="824">
        <f t="shared" si="1"/>
        <v>288.66666666666669</v>
      </c>
    </row>
    <row r="10" spans="1:6" ht="15.75" thickBot="1">
      <c r="A10" s="937" t="s">
        <v>31</v>
      </c>
      <c r="B10" s="938">
        <v>270</v>
      </c>
      <c r="C10" s="837">
        <v>265</v>
      </c>
      <c r="D10" s="837">
        <v>301</v>
      </c>
      <c r="E10" s="825">
        <f t="shared" si="0"/>
        <v>836</v>
      </c>
      <c r="F10" s="824">
        <f t="shared" si="1"/>
        <v>278.66666666666669</v>
      </c>
    </row>
    <row r="11" spans="1:6" ht="15.75" thickBot="1">
      <c r="A11" s="937" t="s">
        <v>113</v>
      </c>
      <c r="B11" s="938">
        <v>215</v>
      </c>
      <c r="C11" s="837">
        <v>193</v>
      </c>
      <c r="D11" s="837">
        <v>239</v>
      </c>
      <c r="E11" s="825">
        <f t="shared" si="0"/>
        <v>647</v>
      </c>
      <c r="F11" s="824">
        <f t="shared" si="1"/>
        <v>215.66666666666666</v>
      </c>
    </row>
    <row r="12" spans="1:6" ht="15.75" thickBot="1">
      <c r="A12" s="937" t="s">
        <v>132</v>
      </c>
      <c r="B12" s="938">
        <v>164</v>
      </c>
      <c r="C12" s="837">
        <v>149</v>
      </c>
      <c r="D12" s="837">
        <v>129</v>
      </c>
      <c r="E12" s="825">
        <f t="shared" si="0"/>
        <v>442</v>
      </c>
      <c r="F12" s="823">
        <f t="shared" si="1"/>
        <v>147.33333333333334</v>
      </c>
    </row>
    <row r="13" spans="1:6" ht="15.75" thickBot="1">
      <c r="A13" s="937" t="s">
        <v>74</v>
      </c>
      <c r="B13" s="938">
        <v>176</v>
      </c>
      <c r="C13" s="837">
        <v>135</v>
      </c>
      <c r="D13" s="837">
        <v>118</v>
      </c>
      <c r="E13" s="825">
        <f t="shared" si="0"/>
        <v>429</v>
      </c>
      <c r="F13" s="824">
        <f t="shared" si="1"/>
        <v>143</v>
      </c>
    </row>
    <row r="14" spans="1:6" ht="15.75" thickBot="1">
      <c r="A14" s="937" t="s">
        <v>103</v>
      </c>
      <c r="B14" s="938">
        <v>112</v>
      </c>
      <c r="C14" s="837">
        <v>144</v>
      </c>
      <c r="D14" s="837">
        <v>151</v>
      </c>
      <c r="E14" s="825">
        <f t="shared" si="0"/>
        <v>407</v>
      </c>
      <c r="F14" s="824">
        <f t="shared" si="1"/>
        <v>135.66666666666666</v>
      </c>
    </row>
    <row r="15" spans="1:6" ht="15.75" thickBot="1">
      <c r="A15" s="937" t="s">
        <v>44</v>
      </c>
      <c r="B15" s="938">
        <v>157</v>
      </c>
      <c r="C15" s="837">
        <v>139</v>
      </c>
      <c r="D15" s="837">
        <v>91</v>
      </c>
      <c r="E15" s="825">
        <f t="shared" si="0"/>
        <v>387</v>
      </c>
      <c r="F15" s="824">
        <f t="shared" si="1"/>
        <v>129</v>
      </c>
    </row>
    <row r="16" spans="1:6" ht="15.75" thickBot="1">
      <c r="A16" s="937" t="s">
        <v>79</v>
      </c>
      <c r="B16" s="938">
        <v>164</v>
      </c>
      <c r="C16" s="837">
        <v>93</v>
      </c>
      <c r="D16" s="837">
        <v>113</v>
      </c>
      <c r="E16" s="826">
        <f t="shared" si="0"/>
        <v>370</v>
      </c>
      <c r="F16" s="824">
        <f t="shared" si="1"/>
        <v>123.33333333333333</v>
      </c>
    </row>
    <row r="17" spans="1:25" ht="15.75" thickBot="1">
      <c r="A17" s="616" t="s">
        <v>16</v>
      </c>
      <c r="B17" s="637">
        <f>SUM(B7:B16)</f>
        <v>2762</v>
      </c>
      <c r="C17" s="637">
        <f>SUM(C7:C16)</f>
        <v>2217</v>
      </c>
      <c r="D17" s="637">
        <f>SUM(D7:D16)</f>
        <v>2243</v>
      </c>
      <c r="E17" s="770">
        <f>SUM(B17:D17)</f>
        <v>7222</v>
      </c>
      <c r="F17" s="636">
        <f>AVERAGE(B17:D17)</f>
        <v>2407.3333333333335</v>
      </c>
    </row>
    <row r="19" spans="1:25">
      <c r="G19" s="6"/>
      <c r="H19" s="2"/>
      <c r="I19" s="3"/>
      <c r="J19" s="3"/>
      <c r="K19" s="3"/>
      <c r="L19" s="83"/>
    </row>
    <row r="20" spans="1:25">
      <c r="G20" s="6"/>
      <c r="H20" s="1"/>
      <c r="I20" s="84"/>
      <c r="J20" s="85"/>
      <c r="K20" s="85"/>
      <c r="L20" s="84"/>
    </row>
    <row r="21" spans="1:25">
      <c r="G21" s="6"/>
      <c r="H21" s="1"/>
      <c r="I21" s="84"/>
      <c r="J21" s="1"/>
      <c r="K21" s="41"/>
      <c r="L21" s="41"/>
      <c r="M21" s="41"/>
      <c r="N21" s="86"/>
      <c r="O21" s="87"/>
    </row>
    <row r="22" spans="1:25">
      <c r="G22" s="6"/>
      <c r="H22" s="1"/>
      <c r="I22" s="84"/>
      <c r="J22" s="1"/>
      <c r="K22" s="38"/>
      <c r="L22" s="88"/>
      <c r="M22" s="88"/>
      <c r="N22" s="89"/>
      <c r="O22" s="88"/>
      <c r="P22" s="88"/>
      <c r="Q22" s="88"/>
      <c r="R22" s="88"/>
      <c r="S22" s="88"/>
      <c r="T22" s="88"/>
      <c r="U22" s="88"/>
      <c r="V22" s="88"/>
      <c r="W22" s="88"/>
      <c r="X22" s="1"/>
      <c r="Y22" s="1"/>
    </row>
    <row r="23" spans="1:25">
      <c r="G23" s="6"/>
      <c r="H23" s="1"/>
      <c r="I23" s="84"/>
      <c r="J23" s="1"/>
      <c r="K23" s="1"/>
      <c r="L23" s="41"/>
      <c r="M23" s="41"/>
      <c r="N23" s="41"/>
      <c r="O23" s="41"/>
      <c r="P23" s="41"/>
      <c r="Q23" s="41"/>
      <c r="R23" s="86"/>
      <c r="S23" s="86"/>
      <c r="T23" s="41"/>
      <c r="U23" s="41"/>
      <c r="V23" s="41"/>
      <c r="W23" s="41"/>
      <c r="X23" s="1"/>
      <c r="Y23" s="1"/>
    </row>
    <row r="24" spans="1:25">
      <c r="G24" s="6"/>
      <c r="H24" s="1"/>
      <c r="I24" s="84"/>
      <c r="J24" s="1"/>
      <c r="K24" s="1"/>
      <c r="L24" s="41"/>
      <c r="M24" s="41"/>
      <c r="N24" s="41"/>
      <c r="O24" s="41"/>
      <c r="P24" s="41"/>
      <c r="Q24" s="41"/>
      <c r="R24" s="86"/>
      <c r="S24" s="86"/>
      <c r="T24" s="41"/>
      <c r="U24" s="41"/>
      <c r="V24" s="41"/>
      <c r="W24" s="39"/>
    </row>
    <row r="25" spans="1:25">
      <c r="G25" s="6"/>
      <c r="H25" s="1"/>
      <c r="I25" s="84"/>
      <c r="J25" s="1"/>
      <c r="K25" s="1"/>
      <c r="L25" s="41"/>
      <c r="M25" s="41"/>
      <c r="N25" s="41"/>
      <c r="O25" s="41"/>
      <c r="P25" s="41"/>
      <c r="Q25" s="41"/>
      <c r="R25" s="86"/>
      <c r="S25" s="86"/>
      <c r="T25" s="41"/>
      <c r="U25" s="41"/>
      <c r="V25" s="41"/>
      <c r="W25" s="39"/>
    </row>
    <row r="26" spans="1:25">
      <c r="G26" s="6"/>
      <c r="H26" s="1"/>
      <c r="I26" s="84"/>
      <c r="J26" s="1"/>
      <c r="K26" s="1"/>
      <c r="L26" s="41"/>
      <c r="M26" s="41"/>
      <c r="N26" s="41"/>
      <c r="O26" s="41"/>
      <c r="P26" s="41"/>
      <c r="Q26" s="41"/>
      <c r="R26" s="86"/>
      <c r="S26" s="86"/>
      <c r="T26" s="41"/>
      <c r="U26" s="41"/>
      <c r="V26" s="41"/>
      <c r="W26" s="39"/>
    </row>
    <row r="27" spans="1:25">
      <c r="G27" s="6"/>
      <c r="H27" s="1"/>
      <c r="I27" s="84"/>
      <c r="J27" s="1"/>
      <c r="K27" s="1"/>
      <c r="L27" s="41"/>
      <c r="M27" s="41"/>
      <c r="N27" s="41"/>
      <c r="O27" s="41"/>
      <c r="P27" s="41"/>
      <c r="Q27" s="41"/>
      <c r="R27" s="86"/>
      <c r="S27" s="86"/>
      <c r="T27" s="41"/>
      <c r="U27" s="41"/>
      <c r="V27" s="41"/>
      <c r="W27" s="39"/>
    </row>
    <row r="28" spans="1:25">
      <c r="G28" s="6"/>
      <c r="H28" s="1"/>
      <c r="I28" s="84"/>
      <c r="J28" s="1"/>
      <c r="K28" s="1"/>
      <c r="L28" s="41"/>
      <c r="M28" s="41"/>
      <c r="N28" s="41"/>
      <c r="O28" s="41"/>
      <c r="P28" s="41"/>
      <c r="Q28" s="41"/>
      <c r="R28" s="86"/>
      <c r="S28" s="86"/>
      <c r="T28" s="41"/>
      <c r="U28" s="41"/>
      <c r="V28" s="41"/>
      <c r="W28" s="39"/>
    </row>
    <row r="29" spans="1:25">
      <c r="H29" s="1"/>
      <c r="I29" s="84"/>
      <c r="J29" s="1"/>
      <c r="K29" s="1"/>
      <c r="L29" s="41"/>
      <c r="M29" s="41"/>
      <c r="N29" s="41"/>
      <c r="O29" s="41"/>
      <c r="P29" s="41"/>
      <c r="Q29" s="41"/>
      <c r="R29" s="86"/>
      <c r="S29" s="86"/>
      <c r="T29" s="41"/>
      <c r="U29" s="41"/>
      <c r="V29" s="41"/>
      <c r="W29" s="39"/>
    </row>
    <row r="30" spans="1:25">
      <c r="H30" s="43"/>
      <c r="I30" s="90"/>
      <c r="J30" s="1"/>
      <c r="K30" s="1"/>
      <c r="L30" s="41"/>
      <c r="M30" s="41"/>
      <c r="N30" s="41"/>
      <c r="O30" s="41"/>
      <c r="P30" s="41"/>
      <c r="Q30" s="41"/>
      <c r="R30" s="86"/>
      <c r="S30" s="86"/>
      <c r="T30" s="41"/>
      <c r="U30" s="41"/>
      <c r="V30" s="41"/>
      <c r="W30" s="39"/>
    </row>
    <row r="31" spans="1:25">
      <c r="H31" s="1"/>
      <c r="I31" s="1"/>
      <c r="J31" s="1"/>
      <c r="K31" s="1"/>
      <c r="L31" s="41"/>
      <c r="M31" s="41"/>
      <c r="N31" s="41"/>
      <c r="O31" s="41"/>
      <c r="P31" s="41"/>
      <c r="Q31" s="41"/>
      <c r="R31" s="86"/>
      <c r="S31" s="86"/>
      <c r="T31" s="41"/>
      <c r="U31" s="41"/>
      <c r="V31" s="41"/>
      <c r="W31" s="39"/>
    </row>
    <row r="32" spans="1:25">
      <c r="K32" s="1"/>
      <c r="L32" s="41"/>
      <c r="M32" s="41"/>
      <c r="N32" s="41"/>
      <c r="O32" s="41"/>
      <c r="P32" s="41"/>
      <c r="Q32" s="41"/>
      <c r="R32" s="86"/>
      <c r="S32" s="86"/>
      <c r="T32" s="41"/>
      <c r="U32" s="41"/>
      <c r="V32" s="41"/>
      <c r="W32" s="39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B17:D17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zoomScaleNormal="100" workbookViewId="0"/>
  </sheetViews>
  <sheetFormatPr defaultRowHeight="15"/>
  <cols>
    <col min="1" max="1" width="43.5703125" style="385" customWidth="1"/>
    <col min="2" max="2" width="10.42578125" style="385" customWidth="1"/>
    <col min="3" max="9" width="9.140625" style="385"/>
    <col min="10" max="10" width="46.7109375" style="385" bestFit="1" customWidth="1"/>
    <col min="11" max="11" width="9.140625" style="385"/>
    <col min="12" max="12" width="9.140625" style="91"/>
    <col min="13" max="13" width="8.7109375" style="91" customWidth="1"/>
    <col min="14" max="14" width="7.7109375" style="91" customWidth="1"/>
    <col min="15" max="15" width="9.7109375" style="91" customWidth="1"/>
    <col min="16" max="16" width="8.42578125" style="91" customWidth="1"/>
    <col min="17" max="17" width="9.140625" style="91"/>
    <col min="18" max="18" width="9.42578125" style="91" customWidth="1"/>
    <col min="19" max="19" width="9.85546875" style="91" customWidth="1"/>
    <col min="20" max="20" width="10.28515625" style="91" customWidth="1"/>
    <col min="21" max="21" width="8" style="91" customWidth="1"/>
    <col min="22" max="22" width="9.140625" style="91"/>
    <col min="23" max="16384" width="9.140625" style="385"/>
  </cols>
  <sheetData>
    <row r="1" spans="1:2">
      <c r="A1" s="5" t="s">
        <v>0</v>
      </c>
    </row>
    <row r="2" spans="1:2">
      <c r="A2" s="5" t="s">
        <v>1</v>
      </c>
    </row>
    <row r="3" spans="1:2">
      <c r="A3" s="5"/>
    </row>
    <row r="4" spans="1:2">
      <c r="A4" s="13" t="s">
        <v>442</v>
      </c>
    </row>
    <row r="5" spans="1:2" ht="15.75" thickBot="1"/>
    <row r="6" spans="1:2" ht="15.75" thickBot="1">
      <c r="A6" s="361" t="s">
        <v>17</v>
      </c>
      <c r="B6" s="333">
        <v>44986</v>
      </c>
    </row>
    <row r="7" spans="1:2">
      <c r="A7" s="941" t="s">
        <v>42</v>
      </c>
      <c r="B7" s="942">
        <v>844</v>
      </c>
    </row>
    <row r="8" spans="1:2">
      <c r="A8" s="840" t="s">
        <v>366</v>
      </c>
      <c r="B8" s="938">
        <v>347</v>
      </c>
    </row>
    <row r="9" spans="1:2">
      <c r="A9" s="937" t="s">
        <v>40</v>
      </c>
      <c r="B9" s="938">
        <v>313</v>
      </c>
    </row>
    <row r="10" spans="1:2">
      <c r="A10" s="937" t="s">
        <v>31</v>
      </c>
      <c r="B10" s="938">
        <v>270</v>
      </c>
    </row>
    <row r="11" spans="1:2">
      <c r="A11" s="937" t="s">
        <v>113</v>
      </c>
      <c r="B11" s="938">
        <v>215</v>
      </c>
    </row>
    <row r="12" spans="1:2">
      <c r="A12" s="937" t="s">
        <v>74</v>
      </c>
      <c r="B12" s="938">
        <v>176</v>
      </c>
    </row>
    <row r="13" spans="1:2">
      <c r="A13" s="937" t="s">
        <v>225</v>
      </c>
      <c r="B13" s="938">
        <v>175</v>
      </c>
    </row>
    <row r="14" spans="1:2">
      <c r="A14" s="937" t="s">
        <v>79</v>
      </c>
      <c r="B14" s="938">
        <v>164</v>
      </c>
    </row>
    <row r="15" spans="1:2">
      <c r="A15" s="937" t="s">
        <v>132</v>
      </c>
      <c r="B15" s="938">
        <v>164</v>
      </c>
    </row>
    <row r="16" spans="1:2" ht="15.75" thickBot="1">
      <c r="A16" s="939" t="s">
        <v>44</v>
      </c>
      <c r="B16" s="940">
        <v>157</v>
      </c>
    </row>
    <row r="17" spans="1:25" s="387" customFormat="1" ht="15.75" thickBot="1">
      <c r="A17" s="438" t="s">
        <v>3</v>
      </c>
      <c r="B17" s="379">
        <f>SUM(B7:B16)</f>
        <v>2825</v>
      </c>
      <c r="L17" s="388"/>
      <c r="M17" s="388"/>
      <c r="N17" s="388"/>
      <c r="O17" s="388"/>
      <c r="P17" s="388"/>
      <c r="Q17" s="388"/>
      <c r="R17" s="388"/>
      <c r="S17" s="388"/>
      <c r="T17" s="388"/>
      <c r="U17" s="388"/>
      <c r="V17" s="388"/>
    </row>
    <row r="18" spans="1:25" s="387" customFormat="1">
      <c r="A18" s="389"/>
      <c r="B18" s="390"/>
      <c r="C18" s="391"/>
      <c r="D18" s="391"/>
      <c r="E18" s="391"/>
      <c r="F18" s="391"/>
      <c r="G18" s="391"/>
      <c r="H18" s="391"/>
      <c r="I18" s="391"/>
      <c r="J18" s="391"/>
      <c r="L18" s="388"/>
      <c r="M18" s="388"/>
      <c r="N18" s="388"/>
      <c r="O18" s="388"/>
      <c r="P18" s="388"/>
      <c r="Q18" s="388"/>
      <c r="R18" s="388"/>
      <c r="S18" s="388"/>
      <c r="T18" s="388"/>
      <c r="U18" s="388"/>
      <c r="V18" s="388"/>
    </row>
    <row r="19" spans="1:25">
      <c r="A19" s="702"/>
      <c r="B19" s="131"/>
      <c r="C19" s="131"/>
      <c r="D19" s="131"/>
      <c r="E19" s="131"/>
      <c r="F19" s="131"/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</row>
    <row r="20" spans="1:25">
      <c r="A20" s="943"/>
      <c r="B20" s="132"/>
      <c r="C20" s="132"/>
      <c r="D20" s="132"/>
      <c r="E20" s="132"/>
      <c r="F20" s="132"/>
      <c r="G20" s="132"/>
      <c r="H20" s="132"/>
      <c r="I20" s="132"/>
      <c r="J20" s="132"/>
      <c r="K20" s="132"/>
      <c r="L20" s="693"/>
      <c r="M20" s="693"/>
      <c r="N20" s="693"/>
      <c r="O20" s="693"/>
      <c r="P20" s="131"/>
      <c r="Q20" s="131"/>
      <c r="R20" s="131"/>
    </row>
    <row r="21" spans="1:25">
      <c r="A21" s="943"/>
      <c r="B21" s="132"/>
      <c r="C21" s="132"/>
      <c r="D21" s="132"/>
      <c r="E21" s="132"/>
      <c r="F21" s="132"/>
      <c r="G21" s="132"/>
      <c r="H21" s="132"/>
      <c r="I21" s="132"/>
      <c r="J21" s="132"/>
      <c r="K21" s="132"/>
      <c r="L21" s="693"/>
      <c r="M21" s="693"/>
      <c r="N21" s="693"/>
      <c r="O21" s="693"/>
      <c r="P21" s="131"/>
      <c r="Q21" s="131"/>
      <c r="R21" s="131"/>
      <c r="S21" s="132"/>
      <c r="T21" s="132"/>
      <c r="U21" s="131"/>
      <c r="V21" s="131"/>
    </row>
    <row r="22" spans="1:25" s="132" customFormat="1">
      <c r="A22" s="943"/>
      <c r="Q22" s="131"/>
      <c r="R22" s="131"/>
    </row>
    <row r="23" spans="1:25" s="132" customFormat="1" ht="30" customHeight="1">
      <c r="A23" s="943"/>
      <c r="Q23" s="131"/>
      <c r="R23" s="131"/>
    </row>
    <row r="24" spans="1:25" s="132" customFormat="1">
      <c r="B24" s="409" t="str">
        <f>A7</f>
        <v>Cadastro Único (CadÚnico)</v>
      </c>
      <c r="C24" s="409" t="str">
        <f>A8</f>
        <v>Qualidade de atendimento</v>
      </c>
      <c r="D24" s="409" t="str">
        <f>A9</f>
        <v>Buraco e pavimentação</v>
      </c>
      <c r="E24" s="409" t="str">
        <f>A10</f>
        <v>Árvore</v>
      </c>
      <c r="F24" s="409" t="str">
        <f>A11</f>
        <v>Poluição sonora - PSIU</v>
      </c>
      <c r="G24" s="409" t="str">
        <f>A12</f>
        <v>Drenagem de água de chuva</v>
      </c>
      <c r="H24" s="409" t="str">
        <f>A13</f>
        <v>Ônibus</v>
      </c>
      <c r="I24" s="409" t="str">
        <f>A14</f>
        <v>Estabelecimentos comerciais, indústrias e serviços</v>
      </c>
      <c r="J24" s="409" t="str">
        <f>A15</f>
        <v>Sinalização e Circulação de veículos e Pedestres</v>
      </c>
      <c r="K24" s="409" t="str">
        <f>A16</f>
        <v>Calçadas, guias e postes</v>
      </c>
      <c r="L24" s="409" t="s">
        <v>3</v>
      </c>
      <c r="N24" s="392"/>
      <c r="O24" s="392"/>
      <c r="P24" s="392"/>
      <c r="Q24" s="392"/>
      <c r="R24" s="202"/>
      <c r="S24" s="392"/>
      <c r="T24" s="479"/>
      <c r="U24" s="479"/>
      <c r="V24" s="392"/>
      <c r="W24" s="392"/>
      <c r="X24" s="392"/>
      <c r="Y24" s="392"/>
    </row>
    <row r="25" spans="1:25" s="132" customFormat="1">
      <c r="C25" s="409">
        <f>B8</f>
        <v>347</v>
      </c>
      <c r="D25" s="409">
        <f>B9</f>
        <v>313</v>
      </c>
      <c r="E25" s="409">
        <f>B10</f>
        <v>270</v>
      </c>
      <c r="F25" s="409">
        <f>B11</f>
        <v>215</v>
      </c>
      <c r="G25" s="409">
        <f>B12</f>
        <v>176</v>
      </c>
      <c r="H25" s="409">
        <f>B13</f>
        <v>175</v>
      </c>
      <c r="I25" s="409">
        <f>B14</f>
        <v>164</v>
      </c>
      <c r="J25" s="409">
        <f>B15</f>
        <v>164</v>
      </c>
      <c r="K25" s="409">
        <f>B16</f>
        <v>157</v>
      </c>
      <c r="L25" s="409"/>
      <c r="N25" s="392"/>
      <c r="O25" s="392"/>
      <c r="P25" s="392"/>
      <c r="Q25" s="392"/>
      <c r="R25" s="202"/>
      <c r="S25" s="392"/>
      <c r="T25" s="479"/>
      <c r="U25" s="479"/>
      <c r="V25" s="392"/>
      <c r="W25" s="392"/>
      <c r="X25" s="392"/>
      <c r="Y25" s="392"/>
    </row>
    <row r="26" spans="1:25" s="132" customFormat="1">
      <c r="B26" s="409">
        <f>B7</f>
        <v>844</v>
      </c>
      <c r="C26" s="409"/>
      <c r="D26" s="409"/>
      <c r="E26" s="409"/>
      <c r="F26" s="409"/>
      <c r="G26" s="409"/>
      <c r="H26" s="409"/>
      <c r="I26" s="409"/>
      <c r="J26" s="409"/>
      <c r="K26" s="409"/>
      <c r="L26" s="409">
        <v>5517</v>
      </c>
      <c r="N26" s="392"/>
      <c r="O26" s="392"/>
      <c r="P26" s="392"/>
      <c r="Q26" s="392"/>
      <c r="R26" s="202"/>
      <c r="S26" s="392"/>
      <c r="T26" s="479"/>
      <c r="U26" s="479"/>
      <c r="V26" s="392"/>
      <c r="W26" s="392"/>
      <c r="X26" s="392"/>
      <c r="Y26" s="392"/>
    </row>
    <row r="27" spans="1:25" s="132" customFormat="1">
      <c r="J27" s="409"/>
      <c r="N27" s="392"/>
      <c r="O27" s="392"/>
      <c r="P27" s="392"/>
      <c r="Q27" s="202"/>
      <c r="R27" s="202"/>
      <c r="S27" s="392"/>
      <c r="T27" s="479"/>
      <c r="U27" s="479"/>
      <c r="V27" s="392"/>
      <c r="W27" s="392"/>
      <c r="X27" s="392"/>
      <c r="Y27" s="392"/>
    </row>
    <row r="28" spans="1:25" s="132" customFormat="1">
      <c r="N28" s="392"/>
      <c r="O28" s="392"/>
      <c r="P28" s="392"/>
      <c r="Q28" s="202"/>
      <c r="R28" s="202"/>
      <c r="S28" s="392"/>
      <c r="T28" s="479"/>
      <c r="U28" s="479"/>
      <c r="V28" s="392"/>
      <c r="W28" s="392"/>
      <c r="X28" s="392"/>
      <c r="Y28" s="392"/>
    </row>
    <row r="29" spans="1:25" s="132" customFormat="1">
      <c r="N29" s="392"/>
      <c r="O29" s="392"/>
      <c r="P29" s="392"/>
      <c r="Q29" s="202"/>
      <c r="R29" s="202"/>
      <c r="S29" s="392"/>
      <c r="T29" s="479"/>
      <c r="U29" s="479"/>
      <c r="V29" s="392"/>
      <c r="W29" s="392"/>
      <c r="X29" s="392"/>
      <c r="Y29" s="392"/>
    </row>
    <row r="30" spans="1:25" s="132" customFormat="1">
      <c r="A30" s="693"/>
      <c r="B30" s="693"/>
      <c r="C30" s="693"/>
      <c r="D30" s="693"/>
      <c r="E30" s="693"/>
      <c r="F30" s="693"/>
      <c r="G30" s="693"/>
      <c r="H30" s="693"/>
      <c r="I30" s="693"/>
      <c r="J30" s="693"/>
      <c r="K30" s="693"/>
      <c r="L30" s="693"/>
      <c r="M30" s="693"/>
      <c r="N30" s="693"/>
      <c r="O30" s="693"/>
      <c r="P30" s="131"/>
      <c r="Q30" s="131"/>
      <c r="R30" s="131"/>
    </row>
    <row r="31" spans="1:25" s="132" customFormat="1">
      <c r="A31" s="693"/>
      <c r="B31" s="693"/>
      <c r="C31" s="693"/>
      <c r="D31" s="693"/>
      <c r="E31" s="693"/>
      <c r="F31" s="693"/>
      <c r="G31" s="693"/>
      <c r="H31" s="693"/>
      <c r="I31" s="693"/>
      <c r="J31" s="693"/>
      <c r="K31" s="693"/>
      <c r="L31" s="693"/>
      <c r="M31" s="693"/>
      <c r="N31" s="693"/>
      <c r="O31" s="693"/>
      <c r="P31" s="131"/>
      <c r="Q31" s="131"/>
      <c r="R31" s="131"/>
    </row>
    <row r="32" spans="1:25" s="132" customFormat="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</row>
    <row r="33" spans="1:22" s="132" customFormat="1">
      <c r="A33" s="149"/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</row>
    <row r="34" spans="1:22" s="132" customFormat="1">
      <c r="A34" s="149"/>
      <c r="B34" s="149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149"/>
      <c r="P34" s="149"/>
    </row>
    <row r="35" spans="1:22" s="132" customFormat="1">
      <c r="A35" s="149"/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</row>
    <row r="36" spans="1:22" s="132" customFormat="1">
      <c r="A36" s="693"/>
      <c r="B36" s="693"/>
      <c r="C36" s="693"/>
      <c r="D36" s="693"/>
      <c r="E36" s="693"/>
      <c r="F36" s="693"/>
      <c r="G36" s="693"/>
      <c r="H36" s="693"/>
      <c r="I36" s="693"/>
      <c r="J36" s="693"/>
      <c r="K36" s="693"/>
      <c r="L36" s="149"/>
      <c r="M36" s="149"/>
      <c r="N36" s="149"/>
      <c r="O36" s="149"/>
      <c r="P36" s="149"/>
    </row>
    <row r="37" spans="1:22" s="132" customFormat="1">
      <c r="A37" s="693"/>
      <c r="B37" s="693"/>
      <c r="C37" s="693"/>
      <c r="D37" s="693"/>
      <c r="E37" s="693"/>
      <c r="F37" s="693"/>
      <c r="G37" s="693"/>
      <c r="H37" s="693"/>
      <c r="I37" s="693"/>
      <c r="J37" s="693"/>
      <c r="K37" s="693"/>
      <c r="L37" s="149"/>
      <c r="M37" s="149"/>
      <c r="N37" s="149"/>
      <c r="O37" s="149"/>
      <c r="P37" s="149"/>
    </row>
    <row r="38" spans="1:22" s="132" customFormat="1">
      <c r="A38" s="693"/>
      <c r="B38" s="693"/>
      <c r="C38" s="693"/>
      <c r="D38" s="693"/>
      <c r="E38" s="693"/>
      <c r="F38" s="693"/>
      <c r="G38" s="693"/>
      <c r="H38" s="693"/>
      <c r="I38" s="693"/>
      <c r="J38" s="693"/>
      <c r="K38" s="693"/>
      <c r="L38" s="149"/>
      <c r="M38" s="149"/>
      <c r="N38" s="149"/>
      <c r="O38" s="149"/>
      <c r="P38" s="149"/>
    </row>
    <row r="39" spans="1:22" s="132" customFormat="1">
      <c r="A39" s="149"/>
      <c r="B39" s="149"/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</row>
    <row r="40" spans="1:22" s="132" customFormat="1">
      <c r="A40" s="149"/>
      <c r="B40" s="149"/>
      <c r="C40" s="149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</row>
    <row r="41" spans="1:22" s="132" customFormat="1">
      <c r="A41" s="149"/>
      <c r="B41" s="149"/>
      <c r="C41" s="149"/>
      <c r="D41" s="149"/>
      <c r="E41" s="149"/>
      <c r="F41" s="149"/>
      <c r="G41" s="149"/>
      <c r="H41" s="149"/>
      <c r="I41" s="149"/>
      <c r="J41" s="149"/>
      <c r="K41" s="149"/>
      <c r="L41" s="149"/>
    </row>
    <row r="42" spans="1:22" s="132" customFormat="1">
      <c r="A42" s="149"/>
      <c r="B42" s="149"/>
      <c r="C42" s="149"/>
      <c r="D42" s="149"/>
      <c r="E42" s="149"/>
      <c r="F42" s="149"/>
      <c r="G42" s="149"/>
      <c r="H42" s="149"/>
      <c r="I42" s="149"/>
      <c r="J42" s="149"/>
      <c r="K42" s="149"/>
      <c r="L42" s="149"/>
    </row>
    <row r="43" spans="1:22" s="132" customFormat="1">
      <c r="A43" s="149"/>
      <c r="B43" s="149"/>
      <c r="C43" s="149"/>
      <c r="D43" s="149"/>
      <c r="E43" s="149"/>
      <c r="F43" s="149"/>
      <c r="G43" s="149"/>
      <c r="H43" s="149"/>
      <c r="I43" s="149"/>
      <c r="J43" s="149"/>
      <c r="K43" s="149"/>
      <c r="L43" s="149"/>
    </row>
    <row r="44" spans="1:22">
      <c r="A44" s="149"/>
      <c r="B44" s="149"/>
      <c r="C44" s="149"/>
      <c r="D44" s="149"/>
      <c r="E44" s="149"/>
      <c r="F44" s="149"/>
      <c r="G44" s="149"/>
      <c r="H44" s="149"/>
      <c r="I44" s="149"/>
      <c r="J44" s="149"/>
      <c r="K44" s="149"/>
      <c r="L44" s="149"/>
      <c r="M44" s="131"/>
      <c r="N44" s="131"/>
      <c r="O44" s="131"/>
      <c r="P44" s="131"/>
      <c r="Q44" s="131"/>
      <c r="R44" s="131"/>
      <c r="S44" s="131"/>
      <c r="T44" s="131"/>
      <c r="U44" s="131"/>
      <c r="V44" s="131"/>
    </row>
    <row r="45" spans="1:22"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</row>
    <row r="46" spans="1:22"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</row>
    <row r="47" spans="1:22">
      <c r="B47" s="131"/>
      <c r="C47" s="131"/>
      <c r="D47" s="131"/>
      <c r="E47" s="131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1:22">
      <c r="L48" s="385"/>
      <c r="M48" s="385"/>
      <c r="N48" s="385"/>
    </row>
  </sheetData>
  <pageMargins left="0.511811024" right="0.511811024" top="0.78740157499999996" bottom="0.78740157499999996" header="0.31496062000000002" footer="0.31496062000000002"/>
  <pageSetup paperSize="9" orientation="portrait" r:id="rId1"/>
  <ignoredErrors>
    <ignoredError sqref="B17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zoomScaleNormal="100" workbookViewId="0"/>
  </sheetViews>
  <sheetFormatPr defaultColWidth="5.5703125" defaultRowHeight="14.25"/>
  <cols>
    <col min="1" max="1" width="68.85546875" style="63" customWidth="1"/>
    <col min="2" max="2" width="7.5703125" style="64" bestFit="1" customWidth="1"/>
    <col min="3" max="3" width="7.7109375" style="64" bestFit="1" customWidth="1"/>
    <col min="4" max="4" width="7.140625" style="64" bestFit="1" customWidth="1"/>
    <col min="5" max="5" width="7" style="64" bestFit="1" customWidth="1"/>
    <col min="6" max="6" width="7.5703125" style="64" bestFit="1" customWidth="1"/>
    <col min="7" max="7" width="6.7109375" style="55" bestFit="1" customWidth="1"/>
    <col min="8" max="8" width="7" style="64" bestFit="1" customWidth="1"/>
    <col min="9" max="9" width="7.28515625" style="64" bestFit="1" customWidth="1"/>
    <col min="10" max="10" width="7.140625" style="64" bestFit="1" customWidth="1"/>
    <col min="11" max="11" width="7.5703125" style="64" bestFit="1" customWidth="1"/>
    <col min="12" max="12" width="7.140625" style="65" bestFit="1" customWidth="1"/>
    <col min="13" max="13" width="7.85546875" style="64" customWidth="1"/>
    <col min="14" max="14" width="9.7109375" style="64" customWidth="1"/>
    <col min="15" max="236" width="9.140625" style="23" customWidth="1"/>
    <col min="237" max="237" width="58.28515625" style="23" customWidth="1"/>
    <col min="238" max="238" width="3.7109375" style="23" bestFit="1" customWidth="1"/>
    <col min="239" max="239" width="5.5703125" style="23" bestFit="1" customWidth="1"/>
    <col min="240" max="240" width="5.5703125" style="23" customWidth="1"/>
    <col min="241" max="16384" width="5.5703125" style="23"/>
  </cols>
  <sheetData>
    <row r="1" spans="1:16" customFormat="1" ht="15">
      <c r="A1" s="5" t="s">
        <v>0</v>
      </c>
      <c r="B1" s="94"/>
      <c r="C1" s="94"/>
      <c r="D1" s="94"/>
      <c r="E1" s="94"/>
      <c r="F1" s="94"/>
      <c r="G1" s="52"/>
      <c r="H1" s="94"/>
      <c r="I1" s="94"/>
      <c r="J1" s="94"/>
      <c r="K1" s="94"/>
      <c r="L1" s="64"/>
      <c r="M1" s="65"/>
      <c r="N1" s="65"/>
      <c r="O1" s="23"/>
      <c r="P1" s="23"/>
    </row>
    <row r="2" spans="1:16" customFormat="1" ht="15">
      <c r="A2" s="95" t="s">
        <v>1</v>
      </c>
      <c r="B2" s="96"/>
      <c r="C2" s="96"/>
      <c r="D2" s="96"/>
      <c r="E2" s="96"/>
      <c r="F2" s="96"/>
      <c r="G2" s="54"/>
      <c r="H2" s="96"/>
      <c r="I2" s="96"/>
      <c r="J2" s="96"/>
      <c r="K2" s="96"/>
      <c r="L2" s="64"/>
      <c r="M2" s="65"/>
      <c r="N2" s="65"/>
      <c r="O2" s="23"/>
      <c r="P2" s="23"/>
    </row>
    <row r="3" spans="1:16" customFormat="1" ht="15.75" thickBot="1">
      <c r="A3" s="63"/>
      <c r="B3" s="64"/>
      <c r="C3" s="64"/>
      <c r="D3" s="64"/>
      <c r="E3" s="64"/>
      <c r="F3" s="64"/>
      <c r="G3" s="55"/>
      <c r="H3" s="64"/>
      <c r="I3" s="64"/>
      <c r="J3" s="64"/>
      <c r="K3" s="64"/>
      <c r="L3" s="64"/>
      <c r="M3" s="65"/>
      <c r="N3" s="65"/>
      <c r="O3" s="23"/>
      <c r="P3" s="23"/>
    </row>
    <row r="4" spans="1:16" customFormat="1" ht="15.75" thickBot="1">
      <c r="A4" s="804" t="s">
        <v>146</v>
      </c>
      <c r="B4" s="141">
        <v>45261</v>
      </c>
      <c r="C4" s="711">
        <v>45231</v>
      </c>
      <c r="D4" s="141">
        <v>45200</v>
      </c>
      <c r="E4" s="31">
        <v>45170</v>
      </c>
      <c r="F4" s="115">
        <v>45139</v>
      </c>
      <c r="G4" s="115">
        <v>45108</v>
      </c>
      <c r="H4" s="115">
        <v>45078</v>
      </c>
      <c r="I4" s="116">
        <v>45047</v>
      </c>
      <c r="J4" s="796">
        <v>45017</v>
      </c>
      <c r="K4" s="333">
        <v>44986</v>
      </c>
      <c r="L4" s="333">
        <v>44958</v>
      </c>
      <c r="M4" s="333">
        <v>44927</v>
      </c>
      <c r="N4" s="116" t="s">
        <v>3</v>
      </c>
      <c r="O4" s="97" t="s">
        <v>4</v>
      </c>
      <c r="P4" s="98" t="s">
        <v>18</v>
      </c>
    </row>
    <row r="5" spans="1:16" customFormat="1" ht="15">
      <c r="A5" s="805" t="s">
        <v>338</v>
      </c>
      <c r="B5" s="797"/>
      <c r="C5" s="727"/>
      <c r="D5" s="134"/>
      <c r="E5" s="134"/>
      <c r="F5" s="134"/>
      <c r="G5" s="134"/>
      <c r="H5" s="147"/>
      <c r="I5" s="134"/>
      <c r="J5" s="134"/>
      <c r="K5" s="832">
        <v>140</v>
      </c>
      <c r="L5" s="305">
        <v>99</v>
      </c>
      <c r="M5" s="305">
        <v>68</v>
      </c>
      <c r="N5" s="793">
        <f>SUM(B5:M5)</f>
        <v>307</v>
      </c>
      <c r="O5" s="168">
        <f>AVERAGE(B5:M5)</f>
        <v>102.33333333333333</v>
      </c>
      <c r="P5" s="169">
        <f t="shared" ref="P5:P36" si="0">(N5/$N$72)*100</f>
        <v>2.1291351688744018</v>
      </c>
    </row>
    <row r="6" spans="1:16" s="334" customFormat="1" ht="15">
      <c r="A6" s="802" t="s">
        <v>252</v>
      </c>
      <c r="B6" s="798"/>
      <c r="C6" s="728"/>
      <c r="D6" s="305"/>
      <c r="E6" s="305"/>
      <c r="F6" s="305"/>
      <c r="G6" s="133"/>
      <c r="H6" s="145"/>
      <c r="I6" s="133"/>
      <c r="J6" s="305"/>
      <c r="K6" s="133">
        <v>0</v>
      </c>
      <c r="L6" s="133">
        <v>0</v>
      </c>
      <c r="M6" s="133">
        <v>0</v>
      </c>
      <c r="N6" s="794">
        <f>SUM(B6:M6)</f>
        <v>0</v>
      </c>
      <c r="O6" s="168">
        <f t="shared" ref="O6:O70" si="1">AVERAGE(B6:M6)</f>
        <v>0</v>
      </c>
      <c r="P6" s="169">
        <f t="shared" si="0"/>
        <v>0</v>
      </c>
    </row>
    <row r="7" spans="1:16" customFormat="1" ht="15">
      <c r="A7" s="802" t="s">
        <v>230</v>
      </c>
      <c r="B7" s="799"/>
      <c r="C7" s="728"/>
      <c r="D7" s="133"/>
      <c r="E7" s="133"/>
      <c r="F7" s="133"/>
      <c r="G7" s="133"/>
      <c r="H7" s="145"/>
      <c r="I7" s="133"/>
      <c r="J7" s="133"/>
      <c r="K7" s="833">
        <v>299</v>
      </c>
      <c r="L7" s="133">
        <v>330</v>
      </c>
      <c r="M7" s="133">
        <v>327</v>
      </c>
      <c r="N7" s="794">
        <f t="shared" ref="N7:N70" si="2">SUM(B7:M7)</f>
        <v>956</v>
      </c>
      <c r="O7" s="168">
        <f t="shared" si="1"/>
        <v>318.66666666666669</v>
      </c>
      <c r="P7" s="169">
        <f t="shared" si="0"/>
        <v>6.6301407864623059</v>
      </c>
    </row>
    <row r="8" spans="1:16" customFormat="1" ht="15">
      <c r="A8" s="802" t="s">
        <v>200</v>
      </c>
      <c r="B8" s="799"/>
      <c r="C8" s="728"/>
      <c r="D8" s="133"/>
      <c r="E8" s="133"/>
      <c r="F8" s="133"/>
      <c r="G8" s="133"/>
      <c r="H8" s="145"/>
      <c r="I8" s="133"/>
      <c r="J8" s="133"/>
      <c r="K8" s="833">
        <v>4</v>
      </c>
      <c r="L8" s="133">
        <v>8</v>
      </c>
      <c r="M8" s="133">
        <v>12</v>
      </c>
      <c r="N8" s="794">
        <f t="shared" si="2"/>
        <v>24</v>
      </c>
      <c r="O8" s="168">
        <f t="shared" si="1"/>
        <v>8</v>
      </c>
      <c r="P8" s="169">
        <f t="shared" si="0"/>
        <v>0.16644704903252652</v>
      </c>
    </row>
    <row r="9" spans="1:16" s="302" customFormat="1" ht="15">
      <c r="A9" s="802" t="s">
        <v>335</v>
      </c>
      <c r="B9" s="799"/>
      <c r="C9" s="728"/>
      <c r="D9" s="133"/>
      <c r="E9" s="133"/>
      <c r="F9" s="133"/>
      <c r="G9" s="133"/>
      <c r="H9" s="145"/>
      <c r="I9" s="133"/>
      <c r="J9" s="133"/>
      <c r="K9" s="833">
        <v>22</v>
      </c>
      <c r="L9" s="133">
        <v>45</v>
      </c>
      <c r="M9" s="133">
        <v>35</v>
      </c>
      <c r="N9" s="794">
        <f>SUM(B9:M9)</f>
        <v>102</v>
      </c>
      <c r="O9" s="168">
        <f t="shared" si="1"/>
        <v>34</v>
      </c>
      <c r="P9" s="169">
        <f t="shared" si="0"/>
        <v>0.70739995838823777</v>
      </c>
    </row>
    <row r="10" spans="1:16" s="696" customFormat="1" ht="15">
      <c r="A10" s="802" t="s">
        <v>217</v>
      </c>
      <c r="B10" s="799"/>
      <c r="C10" s="728"/>
      <c r="D10" s="133"/>
      <c r="E10" s="133"/>
      <c r="F10" s="133"/>
      <c r="G10" s="133"/>
      <c r="H10" s="145"/>
      <c r="I10" s="133"/>
      <c r="J10" s="133"/>
      <c r="K10" s="931">
        <v>6</v>
      </c>
      <c r="L10" s="133">
        <v>5</v>
      </c>
      <c r="M10" s="133">
        <v>0</v>
      </c>
      <c r="N10" s="794">
        <f>SUM(B10:M10)</f>
        <v>11</v>
      </c>
      <c r="O10" s="168">
        <f>AVERAGE(B10:M10)</f>
        <v>3.6666666666666665</v>
      </c>
      <c r="P10" s="169">
        <f t="shared" si="0"/>
        <v>7.6288230806574667E-2</v>
      </c>
    </row>
    <row r="11" spans="1:16" s="603" customFormat="1" ht="15">
      <c r="A11" s="802" t="s">
        <v>201</v>
      </c>
      <c r="B11" s="799"/>
      <c r="C11" s="728"/>
      <c r="D11" s="133"/>
      <c r="E11" s="133"/>
      <c r="F11" s="133"/>
      <c r="G11" s="133"/>
      <c r="H11" s="145"/>
      <c r="I11" s="133"/>
      <c r="J11" s="133"/>
      <c r="K11" s="833">
        <v>89</v>
      </c>
      <c r="L11" s="133">
        <v>72</v>
      </c>
      <c r="M11" s="133">
        <v>84</v>
      </c>
      <c r="N11" s="794">
        <f>SUM(B11:M11)</f>
        <v>245</v>
      </c>
      <c r="O11" s="168">
        <f t="shared" si="1"/>
        <v>81.666666666666671</v>
      </c>
      <c r="P11" s="169">
        <f t="shared" si="0"/>
        <v>1.6991469588737083</v>
      </c>
    </row>
    <row r="12" spans="1:16" customFormat="1" ht="15">
      <c r="A12" s="802" t="s">
        <v>155</v>
      </c>
      <c r="B12" s="799"/>
      <c r="C12" s="728"/>
      <c r="D12" s="133"/>
      <c r="E12" s="133"/>
      <c r="F12" s="133"/>
      <c r="G12" s="133"/>
      <c r="H12" s="133"/>
      <c r="I12" s="133"/>
      <c r="J12" s="133"/>
      <c r="K12" s="833">
        <v>38</v>
      </c>
      <c r="L12" s="133">
        <v>40</v>
      </c>
      <c r="M12" s="133">
        <v>33</v>
      </c>
      <c r="N12" s="794">
        <f t="shared" si="2"/>
        <v>111</v>
      </c>
      <c r="O12" s="168">
        <f t="shared" si="1"/>
        <v>37</v>
      </c>
      <c r="P12" s="169">
        <f t="shared" si="0"/>
        <v>0.76981760177543523</v>
      </c>
    </row>
    <row r="13" spans="1:16" customFormat="1" ht="15">
      <c r="A13" s="802" t="s">
        <v>347</v>
      </c>
      <c r="B13" s="799"/>
      <c r="C13" s="728"/>
      <c r="D13" s="133"/>
      <c r="E13" s="133"/>
      <c r="F13" s="133"/>
      <c r="G13" s="133"/>
      <c r="H13" s="133"/>
      <c r="I13" s="133"/>
      <c r="J13" s="133"/>
      <c r="K13" s="833">
        <v>0</v>
      </c>
      <c r="L13" s="133">
        <v>0</v>
      </c>
      <c r="M13" s="133">
        <v>0</v>
      </c>
      <c r="N13" s="794">
        <f t="shared" si="2"/>
        <v>0</v>
      </c>
      <c r="O13" s="168">
        <f t="shared" si="1"/>
        <v>0</v>
      </c>
      <c r="P13" s="169">
        <f t="shared" si="0"/>
        <v>0</v>
      </c>
    </row>
    <row r="14" spans="1:16" customFormat="1" ht="15">
      <c r="A14" s="802" t="s">
        <v>231</v>
      </c>
      <c r="B14" s="799"/>
      <c r="C14" s="728"/>
      <c r="D14" s="133"/>
      <c r="E14" s="133"/>
      <c r="F14" s="133"/>
      <c r="G14" s="133"/>
      <c r="H14" s="133"/>
      <c r="I14" s="133"/>
      <c r="J14" s="133"/>
      <c r="K14" s="833">
        <v>333</v>
      </c>
      <c r="L14" s="133">
        <v>204</v>
      </c>
      <c r="M14" s="133">
        <v>140</v>
      </c>
      <c r="N14" s="794">
        <f t="shared" si="2"/>
        <v>677</v>
      </c>
      <c r="O14" s="168">
        <f t="shared" si="1"/>
        <v>225.66666666666666</v>
      </c>
      <c r="P14" s="169">
        <f t="shared" si="0"/>
        <v>4.6951938414591856</v>
      </c>
    </row>
    <row r="15" spans="1:16" customFormat="1" ht="15">
      <c r="A15" s="802" t="s">
        <v>245</v>
      </c>
      <c r="B15" s="799"/>
      <c r="C15" s="728"/>
      <c r="D15" s="133"/>
      <c r="E15" s="133"/>
      <c r="F15" s="133"/>
      <c r="G15" s="133"/>
      <c r="H15" s="145"/>
      <c r="I15" s="133"/>
      <c r="J15" s="133"/>
      <c r="K15" s="833">
        <v>0</v>
      </c>
      <c r="L15" s="133">
        <v>0</v>
      </c>
      <c r="M15" s="133">
        <v>0</v>
      </c>
      <c r="N15" s="794">
        <f t="shared" si="2"/>
        <v>0</v>
      </c>
      <c r="O15" s="168">
        <f t="shared" si="1"/>
        <v>0</v>
      </c>
      <c r="P15" s="169">
        <f t="shared" si="0"/>
        <v>0</v>
      </c>
    </row>
    <row r="16" spans="1:16" customFormat="1" ht="15">
      <c r="A16" s="802" t="s">
        <v>392</v>
      </c>
      <c r="B16" s="799"/>
      <c r="C16" s="728"/>
      <c r="D16" s="133"/>
      <c r="E16" s="133"/>
      <c r="F16" s="133"/>
      <c r="G16" s="133"/>
      <c r="H16" s="133"/>
      <c r="I16" s="133"/>
      <c r="J16" s="133"/>
      <c r="K16" s="833">
        <v>0</v>
      </c>
      <c r="L16" s="133">
        <v>0</v>
      </c>
      <c r="M16" s="133">
        <v>0</v>
      </c>
      <c r="N16" s="794">
        <f t="shared" si="2"/>
        <v>0</v>
      </c>
      <c r="O16" s="168">
        <f t="shared" si="1"/>
        <v>0</v>
      </c>
      <c r="P16" s="169">
        <f t="shared" si="0"/>
        <v>0</v>
      </c>
    </row>
    <row r="17" spans="1:16" customFormat="1" ht="15" customHeight="1">
      <c r="A17" s="802" t="s">
        <v>154</v>
      </c>
      <c r="B17" s="799"/>
      <c r="C17" s="728"/>
      <c r="D17" s="133"/>
      <c r="E17" s="133"/>
      <c r="F17" s="133"/>
      <c r="G17" s="133"/>
      <c r="H17" s="133"/>
      <c r="I17" s="133"/>
      <c r="J17" s="133"/>
      <c r="K17" s="833">
        <v>5</v>
      </c>
      <c r="L17" s="133">
        <v>3</v>
      </c>
      <c r="M17" s="133">
        <v>2</v>
      </c>
      <c r="N17" s="794">
        <f t="shared" si="2"/>
        <v>10</v>
      </c>
      <c r="O17" s="168">
        <f t="shared" si="1"/>
        <v>3.3333333333333335</v>
      </c>
      <c r="P17" s="169">
        <f t="shared" si="0"/>
        <v>6.9352937096886058E-2</v>
      </c>
    </row>
    <row r="18" spans="1:16" customFormat="1" ht="15">
      <c r="A18" s="802" t="s">
        <v>339</v>
      </c>
      <c r="B18" s="799"/>
      <c r="C18" s="728"/>
      <c r="D18" s="133"/>
      <c r="E18" s="133"/>
      <c r="F18" s="133"/>
      <c r="G18" s="133"/>
      <c r="H18" s="133"/>
      <c r="I18" s="133"/>
      <c r="J18" s="133"/>
      <c r="K18" s="833">
        <v>318</v>
      </c>
      <c r="L18" s="133">
        <v>286</v>
      </c>
      <c r="M18" s="133">
        <v>247</v>
      </c>
      <c r="N18" s="794">
        <f t="shared" si="2"/>
        <v>851</v>
      </c>
      <c r="O18" s="168">
        <f t="shared" si="1"/>
        <v>283.66666666666669</v>
      </c>
      <c r="P18" s="169">
        <f t="shared" si="0"/>
        <v>5.9019349469450031</v>
      </c>
    </row>
    <row r="19" spans="1:16" customFormat="1" ht="15">
      <c r="A19" s="802" t="s">
        <v>156</v>
      </c>
      <c r="B19" s="799"/>
      <c r="C19" s="728"/>
      <c r="D19" s="133"/>
      <c r="E19" s="133"/>
      <c r="F19" s="133"/>
      <c r="G19" s="133"/>
      <c r="H19" s="133"/>
      <c r="I19" s="133"/>
      <c r="J19" s="133"/>
      <c r="K19" s="833">
        <v>306</v>
      </c>
      <c r="L19" s="133">
        <v>292</v>
      </c>
      <c r="M19" s="133">
        <v>328</v>
      </c>
      <c r="N19" s="794">
        <f t="shared" si="2"/>
        <v>926</v>
      </c>
      <c r="O19" s="168">
        <f t="shared" si="1"/>
        <v>308.66666666666669</v>
      </c>
      <c r="P19" s="169">
        <f t="shared" si="0"/>
        <v>6.4220819751716478</v>
      </c>
    </row>
    <row r="20" spans="1:16" customFormat="1" ht="15">
      <c r="A20" s="802" t="s">
        <v>157</v>
      </c>
      <c r="B20" s="799"/>
      <c r="C20" s="728"/>
      <c r="D20" s="133"/>
      <c r="E20" s="133"/>
      <c r="F20" s="133"/>
      <c r="G20" s="133"/>
      <c r="H20" s="133"/>
      <c r="I20" s="133"/>
      <c r="J20" s="133"/>
      <c r="K20" s="833">
        <v>1</v>
      </c>
      <c r="L20" s="133">
        <v>2</v>
      </c>
      <c r="M20" s="133">
        <v>2</v>
      </c>
      <c r="N20" s="794">
        <f t="shared" si="2"/>
        <v>5</v>
      </c>
      <c r="O20" s="168">
        <f t="shared" si="1"/>
        <v>1.6666666666666667</v>
      </c>
      <c r="P20" s="169">
        <f t="shared" si="0"/>
        <v>3.4676468548443029E-2</v>
      </c>
    </row>
    <row r="21" spans="1:16" customFormat="1" ht="15">
      <c r="A21" s="802" t="s">
        <v>158</v>
      </c>
      <c r="B21" s="799"/>
      <c r="C21" s="728"/>
      <c r="D21" s="133"/>
      <c r="E21" s="133"/>
      <c r="F21" s="133"/>
      <c r="G21" s="133"/>
      <c r="H21" s="133"/>
      <c r="I21" s="133"/>
      <c r="J21" s="133"/>
      <c r="K21" s="833">
        <v>373</v>
      </c>
      <c r="L21" s="133">
        <v>318</v>
      </c>
      <c r="M21" s="133">
        <v>343</v>
      </c>
      <c r="N21" s="794">
        <f t="shared" si="2"/>
        <v>1034</v>
      </c>
      <c r="O21" s="168">
        <f t="shared" si="1"/>
        <v>344.66666666666669</v>
      </c>
      <c r="P21" s="169">
        <f t="shared" si="0"/>
        <v>7.1710936958180174</v>
      </c>
    </row>
    <row r="22" spans="1:16" s="615" customFormat="1" ht="15">
      <c r="A22" s="802" t="s">
        <v>228</v>
      </c>
      <c r="B22" s="799"/>
      <c r="C22" s="728"/>
      <c r="D22" s="133"/>
      <c r="E22" s="133"/>
      <c r="F22" s="133"/>
      <c r="G22" s="133"/>
      <c r="H22" s="133"/>
      <c r="I22" s="133"/>
      <c r="J22" s="133"/>
      <c r="K22" s="833">
        <v>573</v>
      </c>
      <c r="L22" s="133">
        <v>536</v>
      </c>
      <c r="M22" s="133">
        <v>545</v>
      </c>
      <c r="N22" s="794">
        <f>SUM(B22:M22)</f>
        <v>1654</v>
      </c>
      <c r="O22" s="168">
        <f>AVERAGE(B22:M22)</f>
        <v>551.33333333333337</v>
      </c>
      <c r="P22" s="169">
        <f t="shared" si="0"/>
        <v>11.470975795824954</v>
      </c>
    </row>
    <row r="23" spans="1:16" customFormat="1" ht="15">
      <c r="A23" s="802" t="s">
        <v>159</v>
      </c>
      <c r="B23" s="799"/>
      <c r="C23" s="728"/>
      <c r="D23" s="133"/>
      <c r="E23" s="133"/>
      <c r="F23" s="133"/>
      <c r="G23" s="133"/>
      <c r="H23" s="133"/>
      <c r="I23" s="133"/>
      <c r="J23" s="133"/>
      <c r="K23" s="833">
        <v>886</v>
      </c>
      <c r="L23" s="133">
        <v>527</v>
      </c>
      <c r="M23" s="133">
        <v>564</v>
      </c>
      <c r="N23" s="794">
        <f t="shared" si="2"/>
        <v>1977</v>
      </c>
      <c r="O23" s="168">
        <f t="shared" si="1"/>
        <v>659</v>
      </c>
      <c r="P23" s="169">
        <f t="shared" si="0"/>
        <v>13.711075664054373</v>
      </c>
    </row>
    <row r="24" spans="1:16" customFormat="1" ht="15">
      <c r="A24" s="802" t="s">
        <v>160</v>
      </c>
      <c r="B24" s="799"/>
      <c r="C24" s="728"/>
      <c r="D24" s="133"/>
      <c r="E24" s="133"/>
      <c r="F24" s="133"/>
      <c r="G24" s="133"/>
      <c r="H24" s="133"/>
      <c r="I24" s="133"/>
      <c r="J24" s="133"/>
      <c r="K24" s="833">
        <v>8</v>
      </c>
      <c r="L24" s="133">
        <v>11</v>
      </c>
      <c r="M24" s="133">
        <v>11</v>
      </c>
      <c r="N24" s="794">
        <f t="shared" si="2"/>
        <v>30</v>
      </c>
      <c r="O24" s="168">
        <f t="shared" si="1"/>
        <v>10</v>
      </c>
      <c r="P24" s="169">
        <f t="shared" si="0"/>
        <v>0.20805881129065817</v>
      </c>
    </row>
    <row r="25" spans="1:16" customFormat="1" ht="15">
      <c r="A25" s="802" t="s">
        <v>382</v>
      </c>
      <c r="B25" s="799"/>
      <c r="C25" s="728"/>
      <c r="D25" s="133"/>
      <c r="E25" s="133"/>
      <c r="F25" s="133"/>
      <c r="G25" s="133"/>
      <c r="H25" s="133"/>
      <c r="I25" s="133"/>
      <c r="J25" s="133"/>
      <c r="K25" s="833">
        <v>17</v>
      </c>
      <c r="L25" s="133">
        <v>17</v>
      </c>
      <c r="M25" s="133">
        <v>12</v>
      </c>
      <c r="N25" s="794">
        <f t="shared" si="2"/>
        <v>46</v>
      </c>
      <c r="O25" s="168">
        <f t="shared" si="1"/>
        <v>15.333333333333334</v>
      </c>
      <c r="P25" s="169">
        <f t="shared" si="0"/>
        <v>0.31902351064567586</v>
      </c>
    </row>
    <row r="26" spans="1:16" customFormat="1" ht="15">
      <c r="A26" s="802" t="s">
        <v>161</v>
      </c>
      <c r="B26" s="799"/>
      <c r="C26" s="728"/>
      <c r="D26" s="133"/>
      <c r="E26" s="133"/>
      <c r="F26" s="133"/>
      <c r="G26" s="133"/>
      <c r="H26" s="145"/>
      <c r="I26" s="133"/>
      <c r="J26" s="133"/>
      <c r="K26" s="833">
        <v>12</v>
      </c>
      <c r="L26" s="133">
        <v>7</v>
      </c>
      <c r="M26" s="133">
        <v>9</v>
      </c>
      <c r="N26" s="794">
        <f t="shared" si="2"/>
        <v>28</v>
      </c>
      <c r="O26" s="168">
        <f t="shared" si="1"/>
        <v>9.3333333333333339</v>
      </c>
      <c r="P26" s="169">
        <f t="shared" si="0"/>
        <v>0.19418822387128096</v>
      </c>
    </row>
    <row r="27" spans="1:16" customFormat="1" ht="15">
      <c r="A27" s="802" t="s">
        <v>162</v>
      </c>
      <c r="B27" s="799"/>
      <c r="C27" s="728"/>
      <c r="D27" s="133"/>
      <c r="E27" s="133"/>
      <c r="F27" s="133"/>
      <c r="G27" s="133"/>
      <c r="H27" s="133"/>
      <c r="I27" s="133"/>
      <c r="J27" s="133"/>
      <c r="K27" s="833">
        <v>326</v>
      </c>
      <c r="L27" s="133">
        <v>377</v>
      </c>
      <c r="M27" s="133">
        <v>131</v>
      </c>
      <c r="N27" s="794">
        <f t="shared" si="2"/>
        <v>834</v>
      </c>
      <c r="O27" s="168">
        <f t="shared" si="1"/>
        <v>278</v>
      </c>
      <c r="P27" s="169">
        <f t="shared" si="0"/>
        <v>5.7840349538802966</v>
      </c>
    </row>
    <row r="28" spans="1:16" customFormat="1" ht="15">
      <c r="A28" s="802" t="s">
        <v>163</v>
      </c>
      <c r="B28" s="799"/>
      <c r="C28" s="728"/>
      <c r="D28" s="133"/>
      <c r="E28" s="133"/>
      <c r="F28" s="133"/>
      <c r="G28" s="133"/>
      <c r="H28" s="133"/>
      <c r="I28" s="133"/>
      <c r="J28" s="133"/>
      <c r="K28" s="833">
        <v>36</v>
      </c>
      <c r="L28" s="133">
        <v>18</v>
      </c>
      <c r="M28" s="133">
        <v>14</v>
      </c>
      <c r="N28" s="794">
        <f t="shared" si="2"/>
        <v>68</v>
      </c>
      <c r="O28" s="168">
        <f t="shared" si="1"/>
        <v>22.666666666666668</v>
      </c>
      <c r="P28" s="169">
        <f t="shared" si="0"/>
        <v>0.47159997225882516</v>
      </c>
    </row>
    <row r="29" spans="1:16" s="626" customFormat="1" ht="15">
      <c r="A29" s="802" t="s">
        <v>348</v>
      </c>
      <c r="B29" s="799"/>
      <c r="C29" s="728"/>
      <c r="D29" s="133"/>
      <c r="E29" s="133"/>
      <c r="F29" s="133"/>
      <c r="G29" s="133"/>
      <c r="H29" s="133"/>
      <c r="I29" s="133"/>
      <c r="J29" s="133"/>
      <c r="K29" s="833">
        <v>17</v>
      </c>
      <c r="L29" s="133">
        <v>8</v>
      </c>
      <c r="M29" s="133">
        <v>17</v>
      </c>
      <c r="N29" s="794">
        <f t="shared" si="2"/>
        <v>42</v>
      </c>
      <c r="O29" s="168">
        <f t="shared" si="1"/>
        <v>14</v>
      </c>
      <c r="P29" s="169">
        <f t="shared" si="0"/>
        <v>0.29128233580692142</v>
      </c>
    </row>
    <row r="30" spans="1:16" customFormat="1" ht="15">
      <c r="A30" s="802" t="s">
        <v>164</v>
      </c>
      <c r="B30" s="799"/>
      <c r="C30" s="728"/>
      <c r="D30" s="133"/>
      <c r="E30" s="133"/>
      <c r="F30" s="133"/>
      <c r="G30" s="133"/>
      <c r="H30" s="133"/>
      <c r="I30" s="133"/>
      <c r="J30" s="133"/>
      <c r="K30" s="833">
        <v>14</v>
      </c>
      <c r="L30" s="133">
        <v>7</v>
      </c>
      <c r="M30" s="133">
        <v>8</v>
      </c>
      <c r="N30" s="794">
        <f t="shared" si="2"/>
        <v>29</v>
      </c>
      <c r="O30" s="168">
        <f t="shared" si="1"/>
        <v>9.6666666666666661</v>
      </c>
      <c r="P30" s="169">
        <f t="shared" si="0"/>
        <v>0.20112351758096955</v>
      </c>
    </row>
    <row r="31" spans="1:16" customFormat="1" ht="15">
      <c r="A31" s="802" t="s">
        <v>229</v>
      </c>
      <c r="B31" s="800"/>
      <c r="C31" s="728"/>
      <c r="D31" s="146"/>
      <c r="E31" s="146"/>
      <c r="F31" s="146"/>
      <c r="G31" s="146"/>
      <c r="H31" s="150"/>
      <c r="I31" s="146"/>
      <c r="J31" s="133"/>
      <c r="K31" s="833">
        <v>59</v>
      </c>
      <c r="L31" s="133">
        <v>59</v>
      </c>
      <c r="M31" s="133">
        <v>50</v>
      </c>
      <c r="N31" s="794">
        <f t="shared" si="2"/>
        <v>168</v>
      </c>
      <c r="O31" s="168">
        <f t="shared" si="1"/>
        <v>56</v>
      </c>
      <c r="P31" s="169">
        <f t="shared" si="0"/>
        <v>1.1651293432276857</v>
      </c>
    </row>
    <row r="32" spans="1:16" customFormat="1" ht="15">
      <c r="A32" s="802" t="s">
        <v>165</v>
      </c>
      <c r="B32" s="799"/>
      <c r="C32" s="728"/>
      <c r="D32" s="133"/>
      <c r="E32" s="133"/>
      <c r="F32" s="133"/>
      <c r="G32" s="133"/>
      <c r="H32" s="133"/>
      <c r="I32" s="133"/>
      <c r="J32" s="133"/>
      <c r="K32" s="833">
        <v>57</v>
      </c>
      <c r="L32" s="133">
        <v>49</v>
      </c>
      <c r="M32" s="133">
        <v>29</v>
      </c>
      <c r="N32" s="794">
        <f t="shared" si="2"/>
        <v>135</v>
      </c>
      <c r="O32" s="168">
        <f t="shared" si="1"/>
        <v>45</v>
      </c>
      <c r="P32" s="169">
        <f t="shared" si="0"/>
        <v>0.93626465080796173</v>
      </c>
    </row>
    <row r="33" spans="1:16" customFormat="1" ht="15" customHeight="1">
      <c r="A33" s="802" t="s">
        <v>166</v>
      </c>
      <c r="B33" s="799"/>
      <c r="C33" s="728"/>
      <c r="D33" s="133"/>
      <c r="E33" s="133"/>
      <c r="F33" s="133"/>
      <c r="G33" s="133"/>
      <c r="H33" s="133"/>
      <c r="I33" s="133"/>
      <c r="J33" s="133"/>
      <c r="K33" s="833">
        <v>1</v>
      </c>
      <c r="L33" s="133">
        <v>0</v>
      </c>
      <c r="M33" s="133">
        <v>0</v>
      </c>
      <c r="N33" s="794">
        <f t="shared" si="2"/>
        <v>1</v>
      </c>
      <c r="O33" s="168">
        <f t="shared" si="1"/>
        <v>0.33333333333333331</v>
      </c>
      <c r="P33" s="169">
        <f t="shared" si="0"/>
        <v>6.9352937096886051E-3</v>
      </c>
    </row>
    <row r="34" spans="1:16" customFormat="1" ht="15" customHeight="1">
      <c r="A34" s="802" t="s">
        <v>272</v>
      </c>
      <c r="B34" s="799"/>
      <c r="C34" s="728"/>
      <c r="D34" s="133"/>
      <c r="E34" s="133"/>
      <c r="F34" s="133"/>
      <c r="G34" s="133"/>
      <c r="H34" s="133"/>
      <c r="I34" s="133"/>
      <c r="J34" s="133"/>
      <c r="K34" s="833">
        <v>51</v>
      </c>
      <c r="L34" s="133">
        <v>34</v>
      </c>
      <c r="M34" s="133">
        <v>70</v>
      </c>
      <c r="N34" s="794">
        <f t="shared" si="2"/>
        <v>155</v>
      </c>
      <c r="O34" s="168">
        <f t="shared" si="1"/>
        <v>51.666666666666664</v>
      </c>
      <c r="P34" s="169">
        <f t="shared" si="0"/>
        <v>1.0749705250017338</v>
      </c>
    </row>
    <row r="35" spans="1:16" customFormat="1" ht="15" customHeight="1">
      <c r="A35" s="802" t="s">
        <v>167</v>
      </c>
      <c r="B35" s="799"/>
      <c r="C35" s="728"/>
      <c r="D35" s="133"/>
      <c r="E35" s="133"/>
      <c r="F35" s="133"/>
      <c r="G35" s="133"/>
      <c r="H35" s="133"/>
      <c r="I35" s="133"/>
      <c r="J35" s="133"/>
      <c r="K35" s="833">
        <v>44</v>
      </c>
      <c r="L35" s="133">
        <v>43</v>
      </c>
      <c r="M35" s="133">
        <v>37</v>
      </c>
      <c r="N35" s="794">
        <f t="shared" si="2"/>
        <v>124</v>
      </c>
      <c r="O35" s="168">
        <f t="shared" si="1"/>
        <v>41.333333333333336</v>
      </c>
      <c r="P35" s="169">
        <f t="shared" si="0"/>
        <v>0.85997642000138708</v>
      </c>
    </row>
    <row r="36" spans="1:16" customFormat="1" ht="15" customHeight="1">
      <c r="A36" s="802" t="s">
        <v>355</v>
      </c>
      <c r="B36" s="799"/>
      <c r="C36" s="728"/>
      <c r="D36" s="146"/>
      <c r="E36" s="133"/>
      <c r="F36" s="133"/>
      <c r="G36" s="146"/>
      <c r="H36" s="133"/>
      <c r="I36" s="146"/>
      <c r="J36" s="133"/>
      <c r="K36" s="833">
        <v>1</v>
      </c>
      <c r="L36" s="133">
        <v>10</v>
      </c>
      <c r="M36" s="133">
        <v>2</v>
      </c>
      <c r="N36" s="794">
        <f t="shared" si="2"/>
        <v>13</v>
      </c>
      <c r="O36" s="168">
        <f t="shared" si="1"/>
        <v>4.333333333333333</v>
      </c>
      <c r="P36" s="169">
        <f t="shared" si="0"/>
        <v>9.015881822595187E-2</v>
      </c>
    </row>
    <row r="37" spans="1:16" customFormat="1" ht="15" customHeight="1">
      <c r="A37" s="802" t="s">
        <v>246</v>
      </c>
      <c r="B37" s="799"/>
      <c r="C37" s="728"/>
      <c r="D37" s="133"/>
      <c r="E37" s="133"/>
      <c r="F37" s="133"/>
      <c r="G37" s="133"/>
      <c r="H37" s="133"/>
      <c r="I37" s="133"/>
      <c r="J37" s="133"/>
      <c r="K37" s="833">
        <v>23</v>
      </c>
      <c r="L37" s="133">
        <v>29</v>
      </c>
      <c r="M37" s="133">
        <v>41</v>
      </c>
      <c r="N37" s="794">
        <f t="shared" si="2"/>
        <v>93</v>
      </c>
      <c r="O37" s="168">
        <f t="shared" si="1"/>
        <v>31</v>
      </c>
      <c r="P37" s="169">
        <f t="shared" ref="P37:P71" si="3">(N37/$N$72)*100</f>
        <v>0.64498231500104031</v>
      </c>
    </row>
    <row r="38" spans="1:16" customFormat="1" ht="15" customHeight="1">
      <c r="A38" s="802" t="s">
        <v>168</v>
      </c>
      <c r="B38" s="799"/>
      <c r="C38" s="728"/>
      <c r="D38" s="133"/>
      <c r="E38" s="133"/>
      <c r="F38" s="133"/>
      <c r="G38" s="133"/>
      <c r="H38" s="133"/>
      <c r="I38" s="133"/>
      <c r="J38" s="133"/>
      <c r="K38" s="833">
        <v>72</v>
      </c>
      <c r="L38" s="133">
        <v>36</v>
      </c>
      <c r="M38" s="133">
        <v>30</v>
      </c>
      <c r="N38" s="794">
        <f t="shared" si="2"/>
        <v>138</v>
      </c>
      <c r="O38" s="168">
        <f t="shared" si="1"/>
        <v>46</v>
      </c>
      <c r="P38" s="169">
        <f t="shared" si="3"/>
        <v>0.95707053193702751</v>
      </c>
    </row>
    <row r="39" spans="1:16" customFormat="1" ht="15" customHeight="1">
      <c r="A39" s="802" t="s">
        <v>232</v>
      </c>
      <c r="B39" s="799"/>
      <c r="C39" s="728"/>
      <c r="D39" s="133"/>
      <c r="E39" s="133"/>
      <c r="F39" s="133"/>
      <c r="G39" s="133"/>
      <c r="H39" s="133"/>
      <c r="I39" s="133"/>
      <c r="J39" s="133"/>
      <c r="K39" s="833">
        <v>43</v>
      </c>
      <c r="L39" s="133">
        <v>10</v>
      </c>
      <c r="M39" s="133">
        <v>15</v>
      </c>
      <c r="N39" s="794">
        <f t="shared" si="2"/>
        <v>68</v>
      </c>
      <c r="O39" s="168">
        <f t="shared" si="1"/>
        <v>22.666666666666668</v>
      </c>
      <c r="P39" s="169">
        <f t="shared" si="3"/>
        <v>0.47159997225882516</v>
      </c>
    </row>
    <row r="40" spans="1:16" customFormat="1" ht="15" customHeight="1">
      <c r="A40" s="802" t="s">
        <v>336</v>
      </c>
      <c r="B40" s="799"/>
      <c r="C40" s="728"/>
      <c r="D40" s="133"/>
      <c r="E40" s="133"/>
      <c r="F40" s="133"/>
      <c r="G40" s="133"/>
      <c r="H40" s="133"/>
      <c r="I40" s="133"/>
      <c r="J40" s="133"/>
      <c r="K40" s="833">
        <v>40</v>
      </c>
      <c r="L40" s="133">
        <v>24</v>
      </c>
      <c r="M40" s="133">
        <v>24</v>
      </c>
      <c r="N40" s="794">
        <f t="shared" si="2"/>
        <v>88</v>
      </c>
      <c r="O40" s="168">
        <f t="shared" si="1"/>
        <v>29.333333333333332</v>
      </c>
      <c r="P40" s="169">
        <f t="shared" si="3"/>
        <v>0.61030584645259733</v>
      </c>
    </row>
    <row r="41" spans="1:16" customFormat="1" ht="15" customHeight="1">
      <c r="A41" s="802" t="s">
        <v>169</v>
      </c>
      <c r="B41" s="799"/>
      <c r="C41" s="728"/>
      <c r="D41" s="133"/>
      <c r="E41" s="133"/>
      <c r="F41" s="133"/>
      <c r="G41" s="133"/>
      <c r="H41" s="133"/>
      <c r="I41" s="133"/>
      <c r="J41" s="133"/>
      <c r="K41" s="833">
        <v>66</v>
      </c>
      <c r="L41" s="133">
        <v>57</v>
      </c>
      <c r="M41" s="133">
        <v>52</v>
      </c>
      <c r="N41" s="794">
        <f t="shared" si="2"/>
        <v>175</v>
      </c>
      <c r="O41" s="168">
        <f t="shared" si="1"/>
        <v>58.333333333333336</v>
      </c>
      <c r="P41" s="169">
        <f t="shared" si="3"/>
        <v>1.213676399195506</v>
      </c>
    </row>
    <row r="42" spans="1:16" customFormat="1" ht="15" customHeight="1">
      <c r="A42" s="802" t="s">
        <v>170</v>
      </c>
      <c r="B42" s="799"/>
      <c r="C42" s="728"/>
      <c r="D42" s="133"/>
      <c r="E42" s="133"/>
      <c r="F42" s="133"/>
      <c r="G42" s="133"/>
      <c r="H42" s="133"/>
      <c r="I42" s="133"/>
      <c r="J42" s="133"/>
      <c r="K42" s="833">
        <v>36</v>
      </c>
      <c r="L42" s="133">
        <v>48</v>
      </c>
      <c r="M42" s="133">
        <v>62</v>
      </c>
      <c r="N42" s="794">
        <f t="shared" si="2"/>
        <v>146</v>
      </c>
      <c r="O42" s="168">
        <f t="shared" si="1"/>
        <v>48.666666666666664</v>
      </c>
      <c r="P42" s="169">
        <f t="shared" si="3"/>
        <v>1.0125528816145364</v>
      </c>
    </row>
    <row r="43" spans="1:16" customFormat="1" ht="15" customHeight="1">
      <c r="A43" s="802" t="s">
        <v>171</v>
      </c>
      <c r="B43" s="799"/>
      <c r="C43" s="728"/>
      <c r="D43" s="133"/>
      <c r="E43" s="133"/>
      <c r="F43" s="133"/>
      <c r="G43" s="133"/>
      <c r="H43" s="133"/>
      <c r="I43" s="133"/>
      <c r="J43" s="133"/>
      <c r="K43" s="833">
        <v>50</v>
      </c>
      <c r="L43" s="133">
        <v>32</v>
      </c>
      <c r="M43" s="133">
        <v>29</v>
      </c>
      <c r="N43" s="794">
        <f t="shared" si="2"/>
        <v>111</v>
      </c>
      <c r="O43" s="168">
        <f t="shared" si="1"/>
        <v>37</v>
      </c>
      <c r="P43" s="169">
        <f t="shared" si="3"/>
        <v>0.76981760177543523</v>
      </c>
    </row>
    <row r="44" spans="1:16" customFormat="1" ht="15" customHeight="1">
      <c r="A44" s="802" t="s">
        <v>172</v>
      </c>
      <c r="B44" s="799"/>
      <c r="C44" s="728"/>
      <c r="D44" s="133"/>
      <c r="E44" s="133"/>
      <c r="F44" s="133"/>
      <c r="G44" s="133"/>
      <c r="H44" s="133"/>
      <c r="I44" s="133"/>
      <c r="J44" s="133"/>
      <c r="K44" s="833">
        <v>40</v>
      </c>
      <c r="L44" s="133">
        <v>43</v>
      </c>
      <c r="M44" s="133">
        <v>25</v>
      </c>
      <c r="N44" s="794">
        <f t="shared" si="2"/>
        <v>108</v>
      </c>
      <c r="O44" s="168">
        <f t="shared" si="1"/>
        <v>36</v>
      </c>
      <c r="P44" s="169">
        <f t="shared" si="3"/>
        <v>0.74901172064636934</v>
      </c>
    </row>
    <row r="45" spans="1:16" customFormat="1" ht="15" customHeight="1">
      <c r="A45" s="802" t="s">
        <v>173</v>
      </c>
      <c r="B45" s="799"/>
      <c r="C45" s="728"/>
      <c r="D45" s="133"/>
      <c r="E45" s="133"/>
      <c r="F45" s="133"/>
      <c r="G45" s="133"/>
      <c r="H45" s="133"/>
      <c r="I45" s="133"/>
      <c r="J45" s="133"/>
      <c r="K45" s="833">
        <v>37</v>
      </c>
      <c r="L45" s="133">
        <v>43</v>
      </c>
      <c r="M45" s="133">
        <v>41</v>
      </c>
      <c r="N45" s="794">
        <f t="shared" si="2"/>
        <v>121</v>
      </c>
      <c r="O45" s="168">
        <f t="shared" si="1"/>
        <v>40.333333333333336</v>
      </c>
      <c r="P45" s="169">
        <f t="shared" si="3"/>
        <v>0.83917053887232129</v>
      </c>
    </row>
    <row r="46" spans="1:16" customFormat="1" ht="15" customHeight="1">
      <c r="A46" s="802" t="s">
        <v>174</v>
      </c>
      <c r="B46" s="799"/>
      <c r="C46" s="728"/>
      <c r="D46" s="133"/>
      <c r="E46" s="133"/>
      <c r="F46" s="133"/>
      <c r="G46" s="133"/>
      <c r="H46" s="133"/>
      <c r="I46" s="133"/>
      <c r="J46" s="133"/>
      <c r="K46" s="833">
        <v>7</v>
      </c>
      <c r="L46" s="133">
        <v>6</v>
      </c>
      <c r="M46" s="133">
        <v>6</v>
      </c>
      <c r="N46" s="794">
        <f t="shared" si="2"/>
        <v>19</v>
      </c>
      <c r="O46" s="168">
        <f t="shared" si="1"/>
        <v>6.333333333333333</v>
      </c>
      <c r="P46" s="169">
        <f t="shared" si="3"/>
        <v>0.13177058048408349</v>
      </c>
    </row>
    <row r="47" spans="1:16" customFormat="1" ht="15" customHeight="1">
      <c r="A47" s="802" t="s">
        <v>175</v>
      </c>
      <c r="B47" s="799"/>
      <c r="C47" s="728"/>
      <c r="D47" s="133"/>
      <c r="E47" s="133"/>
      <c r="F47" s="133"/>
      <c r="G47" s="133"/>
      <c r="H47" s="133"/>
      <c r="I47" s="133"/>
      <c r="J47" s="133"/>
      <c r="K47" s="833">
        <v>10</v>
      </c>
      <c r="L47" s="133">
        <v>15</v>
      </c>
      <c r="M47" s="133">
        <v>14</v>
      </c>
      <c r="N47" s="794">
        <f t="shared" si="2"/>
        <v>39</v>
      </c>
      <c r="O47" s="168">
        <f t="shared" si="1"/>
        <v>13</v>
      </c>
      <c r="P47" s="169">
        <f t="shared" si="3"/>
        <v>0.27047645467785564</v>
      </c>
    </row>
    <row r="48" spans="1:16" customFormat="1" ht="15" customHeight="1">
      <c r="A48" s="802" t="s">
        <v>176</v>
      </c>
      <c r="B48" s="799"/>
      <c r="C48" s="728"/>
      <c r="D48" s="133"/>
      <c r="E48" s="133"/>
      <c r="F48" s="133"/>
      <c r="G48" s="133"/>
      <c r="H48" s="133"/>
      <c r="I48" s="133"/>
      <c r="J48" s="133"/>
      <c r="K48" s="833">
        <v>20</v>
      </c>
      <c r="L48" s="133">
        <v>27</v>
      </c>
      <c r="M48" s="133">
        <v>22</v>
      </c>
      <c r="N48" s="794">
        <f t="shared" si="2"/>
        <v>69</v>
      </c>
      <c r="O48" s="168">
        <f t="shared" si="1"/>
        <v>23</v>
      </c>
      <c r="P48" s="169">
        <f t="shared" si="3"/>
        <v>0.47853526596851376</v>
      </c>
    </row>
    <row r="49" spans="1:16" customFormat="1" ht="15" customHeight="1">
      <c r="A49" s="802" t="s">
        <v>177</v>
      </c>
      <c r="B49" s="799"/>
      <c r="C49" s="728"/>
      <c r="D49" s="133"/>
      <c r="E49" s="133"/>
      <c r="F49" s="133"/>
      <c r="G49" s="133"/>
      <c r="H49" s="133"/>
      <c r="I49" s="133"/>
      <c r="J49" s="133"/>
      <c r="K49" s="833">
        <v>10</v>
      </c>
      <c r="L49" s="133">
        <v>13</v>
      </c>
      <c r="M49" s="133">
        <v>10</v>
      </c>
      <c r="N49" s="794">
        <f t="shared" si="2"/>
        <v>33</v>
      </c>
      <c r="O49" s="168">
        <f t="shared" si="1"/>
        <v>11</v>
      </c>
      <c r="P49" s="169">
        <f t="shared" si="3"/>
        <v>0.22886469241972396</v>
      </c>
    </row>
    <row r="50" spans="1:16" customFormat="1" ht="15" customHeight="1">
      <c r="A50" s="802" t="s">
        <v>178</v>
      </c>
      <c r="B50" s="799"/>
      <c r="C50" s="728"/>
      <c r="D50" s="133"/>
      <c r="E50" s="133"/>
      <c r="F50" s="133"/>
      <c r="G50" s="133"/>
      <c r="H50" s="133"/>
      <c r="I50" s="133"/>
      <c r="J50" s="133"/>
      <c r="K50" s="833">
        <v>43</v>
      </c>
      <c r="L50" s="133">
        <v>65</v>
      </c>
      <c r="M50" s="133">
        <v>41</v>
      </c>
      <c r="N50" s="794">
        <f t="shared" si="2"/>
        <v>149</v>
      </c>
      <c r="O50" s="168">
        <f t="shared" si="1"/>
        <v>49.666666666666664</v>
      </c>
      <c r="P50" s="169">
        <f t="shared" si="3"/>
        <v>1.0333587627436021</v>
      </c>
    </row>
    <row r="51" spans="1:16" customFormat="1" ht="15" customHeight="1">
      <c r="A51" s="802" t="s">
        <v>179</v>
      </c>
      <c r="B51" s="799"/>
      <c r="C51" s="728"/>
      <c r="D51" s="133"/>
      <c r="E51" s="133"/>
      <c r="F51" s="133"/>
      <c r="G51" s="133"/>
      <c r="H51" s="133"/>
      <c r="I51" s="133"/>
      <c r="J51" s="133"/>
      <c r="K51" s="833">
        <v>27</v>
      </c>
      <c r="L51" s="133">
        <v>35</v>
      </c>
      <c r="M51" s="133">
        <v>28</v>
      </c>
      <c r="N51" s="794">
        <f t="shared" si="2"/>
        <v>90</v>
      </c>
      <c r="O51" s="168">
        <f t="shared" si="1"/>
        <v>30</v>
      </c>
      <c r="P51" s="169">
        <f t="shared" si="3"/>
        <v>0.62417643387197441</v>
      </c>
    </row>
    <row r="52" spans="1:16" customFormat="1" ht="15" customHeight="1">
      <c r="A52" s="802" t="s">
        <v>180</v>
      </c>
      <c r="B52" s="799"/>
      <c r="C52" s="728"/>
      <c r="D52" s="133"/>
      <c r="E52" s="133"/>
      <c r="F52" s="133"/>
      <c r="G52" s="133"/>
      <c r="H52" s="133"/>
      <c r="I52" s="133"/>
      <c r="J52" s="133"/>
      <c r="K52" s="833">
        <v>55</v>
      </c>
      <c r="L52" s="133">
        <v>47</v>
      </c>
      <c r="M52" s="133">
        <v>49</v>
      </c>
      <c r="N52" s="794">
        <f t="shared" si="2"/>
        <v>151</v>
      </c>
      <c r="O52" s="168">
        <f t="shared" si="1"/>
        <v>50.333333333333336</v>
      </c>
      <c r="P52" s="169">
        <f t="shared" si="3"/>
        <v>1.0472293501629795</v>
      </c>
    </row>
    <row r="53" spans="1:16" customFormat="1" ht="15" customHeight="1">
      <c r="A53" s="802" t="s">
        <v>181</v>
      </c>
      <c r="B53" s="799"/>
      <c r="C53" s="728"/>
      <c r="D53" s="133"/>
      <c r="E53" s="133"/>
      <c r="F53" s="133"/>
      <c r="G53" s="133"/>
      <c r="H53" s="133"/>
      <c r="I53" s="133"/>
      <c r="J53" s="133"/>
      <c r="K53" s="833">
        <v>28</v>
      </c>
      <c r="L53" s="133">
        <v>18</v>
      </c>
      <c r="M53" s="133">
        <v>20</v>
      </c>
      <c r="N53" s="794">
        <f t="shared" si="2"/>
        <v>66</v>
      </c>
      <c r="O53" s="168">
        <f t="shared" si="1"/>
        <v>22</v>
      </c>
      <c r="P53" s="169">
        <f t="shared" si="3"/>
        <v>0.45772938483944792</v>
      </c>
    </row>
    <row r="54" spans="1:16" customFormat="1" ht="15" customHeight="1">
      <c r="A54" s="802" t="s">
        <v>182</v>
      </c>
      <c r="B54" s="799"/>
      <c r="C54" s="728"/>
      <c r="D54" s="133"/>
      <c r="E54" s="133"/>
      <c r="F54" s="133"/>
      <c r="G54" s="133"/>
      <c r="H54" s="133"/>
      <c r="I54" s="133"/>
      <c r="J54" s="133"/>
      <c r="K54" s="833">
        <v>26</v>
      </c>
      <c r="L54" s="133">
        <v>17</v>
      </c>
      <c r="M54" s="133">
        <v>22</v>
      </c>
      <c r="N54" s="794">
        <f t="shared" si="2"/>
        <v>65</v>
      </c>
      <c r="O54" s="168">
        <f t="shared" si="1"/>
        <v>21.666666666666668</v>
      </c>
      <c r="P54" s="169">
        <f t="shared" si="3"/>
        <v>0.45079409112975932</v>
      </c>
    </row>
    <row r="55" spans="1:16" customFormat="1" ht="15" customHeight="1">
      <c r="A55" s="802" t="s">
        <v>183</v>
      </c>
      <c r="B55" s="799"/>
      <c r="C55" s="728"/>
      <c r="D55" s="133"/>
      <c r="E55" s="133"/>
      <c r="F55" s="133"/>
      <c r="G55" s="133"/>
      <c r="H55" s="133"/>
      <c r="I55" s="133"/>
      <c r="J55" s="133"/>
      <c r="K55" s="833">
        <v>140</v>
      </c>
      <c r="L55" s="133">
        <v>71</v>
      </c>
      <c r="M55" s="133">
        <v>70</v>
      </c>
      <c r="N55" s="794">
        <f t="shared" si="2"/>
        <v>281</v>
      </c>
      <c r="O55" s="168">
        <f t="shared" si="1"/>
        <v>93.666666666666671</v>
      </c>
      <c r="P55" s="169">
        <f t="shared" si="3"/>
        <v>1.9488175324224981</v>
      </c>
    </row>
    <row r="56" spans="1:16" customFormat="1" ht="15" customHeight="1">
      <c r="A56" s="802" t="s">
        <v>184</v>
      </c>
      <c r="B56" s="799"/>
      <c r="C56" s="728"/>
      <c r="D56" s="133"/>
      <c r="E56" s="133"/>
      <c r="F56" s="133"/>
      <c r="G56" s="133"/>
      <c r="H56" s="133"/>
      <c r="I56" s="133"/>
      <c r="J56" s="133"/>
      <c r="K56" s="833">
        <v>33</v>
      </c>
      <c r="L56" s="133">
        <v>23</v>
      </c>
      <c r="M56" s="133">
        <v>22</v>
      </c>
      <c r="N56" s="794">
        <f t="shared" si="2"/>
        <v>78</v>
      </c>
      <c r="O56" s="168">
        <f t="shared" si="1"/>
        <v>26</v>
      </c>
      <c r="P56" s="169">
        <f t="shared" si="3"/>
        <v>0.54095290935571128</v>
      </c>
    </row>
    <row r="57" spans="1:16" customFormat="1" ht="15" customHeight="1">
      <c r="A57" s="802" t="s">
        <v>185</v>
      </c>
      <c r="B57" s="799"/>
      <c r="C57" s="728"/>
      <c r="D57" s="133"/>
      <c r="E57" s="133"/>
      <c r="F57" s="133"/>
      <c r="G57" s="133"/>
      <c r="H57" s="133"/>
      <c r="I57" s="133"/>
      <c r="J57" s="133"/>
      <c r="K57" s="833">
        <v>75</v>
      </c>
      <c r="L57" s="133">
        <v>55</v>
      </c>
      <c r="M57" s="133">
        <v>53</v>
      </c>
      <c r="N57" s="794">
        <f t="shared" si="2"/>
        <v>183</v>
      </c>
      <c r="O57" s="168">
        <f t="shared" si="1"/>
        <v>61</v>
      </c>
      <c r="P57" s="169">
        <f t="shared" si="3"/>
        <v>1.2691587488730147</v>
      </c>
    </row>
    <row r="58" spans="1:16" customFormat="1" ht="15" customHeight="1">
      <c r="A58" s="802" t="s">
        <v>186</v>
      </c>
      <c r="B58" s="799"/>
      <c r="C58" s="728"/>
      <c r="D58" s="133"/>
      <c r="E58" s="133"/>
      <c r="F58" s="133"/>
      <c r="G58" s="133"/>
      <c r="H58" s="133"/>
      <c r="I58" s="133"/>
      <c r="J58" s="133"/>
      <c r="K58" s="833">
        <v>7</v>
      </c>
      <c r="L58" s="133">
        <v>16</v>
      </c>
      <c r="M58" s="133">
        <v>5</v>
      </c>
      <c r="N58" s="794">
        <f t="shared" si="2"/>
        <v>28</v>
      </c>
      <c r="O58" s="168">
        <f t="shared" si="1"/>
        <v>9.3333333333333339</v>
      </c>
      <c r="P58" s="169">
        <f t="shared" si="3"/>
        <v>0.19418822387128096</v>
      </c>
    </row>
    <row r="59" spans="1:16" customFormat="1" ht="15" customHeight="1">
      <c r="A59" s="802" t="s">
        <v>187</v>
      </c>
      <c r="B59" s="799"/>
      <c r="C59" s="728"/>
      <c r="D59" s="133"/>
      <c r="E59" s="133"/>
      <c r="F59" s="133"/>
      <c r="G59" s="133"/>
      <c r="H59" s="133"/>
      <c r="I59" s="133"/>
      <c r="J59" s="133"/>
      <c r="K59" s="833">
        <v>70</v>
      </c>
      <c r="L59" s="133">
        <v>52</v>
      </c>
      <c r="M59" s="133">
        <v>71</v>
      </c>
      <c r="N59" s="794">
        <f t="shared" si="2"/>
        <v>193</v>
      </c>
      <c r="O59" s="168">
        <f t="shared" si="1"/>
        <v>64.333333333333329</v>
      </c>
      <c r="P59" s="169">
        <f t="shared" si="3"/>
        <v>1.3385116859699009</v>
      </c>
    </row>
    <row r="60" spans="1:16" customFormat="1" ht="15" customHeight="1">
      <c r="A60" s="802" t="s">
        <v>188</v>
      </c>
      <c r="B60" s="799"/>
      <c r="C60" s="728"/>
      <c r="D60" s="133"/>
      <c r="E60" s="133"/>
      <c r="F60" s="133"/>
      <c r="G60" s="133"/>
      <c r="H60" s="133"/>
      <c r="I60" s="133"/>
      <c r="J60" s="133"/>
      <c r="K60" s="833">
        <v>14</v>
      </c>
      <c r="L60" s="133">
        <v>5</v>
      </c>
      <c r="M60" s="133">
        <v>10</v>
      </c>
      <c r="N60" s="794">
        <f t="shared" si="2"/>
        <v>29</v>
      </c>
      <c r="O60" s="168">
        <f t="shared" si="1"/>
        <v>9.6666666666666661</v>
      </c>
      <c r="P60" s="169">
        <f t="shared" si="3"/>
        <v>0.20112351758096955</v>
      </c>
    </row>
    <row r="61" spans="1:16" customFormat="1" ht="15" customHeight="1">
      <c r="A61" s="802" t="s">
        <v>189</v>
      </c>
      <c r="B61" s="799"/>
      <c r="C61" s="728"/>
      <c r="D61" s="133"/>
      <c r="E61" s="133"/>
      <c r="F61" s="133"/>
      <c r="G61" s="133"/>
      <c r="H61" s="133"/>
      <c r="I61" s="133"/>
      <c r="J61" s="133"/>
      <c r="K61" s="833">
        <v>51</v>
      </c>
      <c r="L61" s="133">
        <v>43</v>
      </c>
      <c r="M61" s="133">
        <v>47</v>
      </c>
      <c r="N61" s="794">
        <f t="shared" si="2"/>
        <v>141</v>
      </c>
      <c r="O61" s="168">
        <f t="shared" si="1"/>
        <v>47</v>
      </c>
      <c r="P61" s="169">
        <f t="shared" si="3"/>
        <v>0.97787641306609341</v>
      </c>
    </row>
    <row r="62" spans="1:16" customFormat="1" ht="15" customHeight="1">
      <c r="A62" s="802" t="s">
        <v>190</v>
      </c>
      <c r="B62" s="799"/>
      <c r="C62" s="728"/>
      <c r="D62" s="133"/>
      <c r="E62" s="133"/>
      <c r="F62" s="133"/>
      <c r="G62" s="133"/>
      <c r="H62" s="133"/>
      <c r="I62" s="133"/>
      <c r="J62" s="133"/>
      <c r="K62" s="833">
        <v>54</v>
      </c>
      <c r="L62" s="133">
        <v>52</v>
      </c>
      <c r="M62" s="133">
        <v>38</v>
      </c>
      <c r="N62" s="794">
        <f t="shared" si="2"/>
        <v>144</v>
      </c>
      <c r="O62" s="168">
        <f t="shared" si="1"/>
        <v>48</v>
      </c>
      <c r="P62" s="169">
        <f t="shared" si="3"/>
        <v>0.99868229419515919</v>
      </c>
    </row>
    <row r="63" spans="1:16" customFormat="1" ht="15" customHeight="1">
      <c r="A63" s="802" t="s">
        <v>191</v>
      </c>
      <c r="B63" s="799"/>
      <c r="C63" s="728"/>
      <c r="D63" s="133"/>
      <c r="E63" s="133"/>
      <c r="F63" s="133"/>
      <c r="G63" s="133"/>
      <c r="H63" s="133"/>
      <c r="I63" s="133"/>
      <c r="J63" s="133"/>
      <c r="K63" s="833">
        <v>57</v>
      </c>
      <c r="L63" s="133">
        <v>34</v>
      </c>
      <c r="M63" s="133">
        <v>42</v>
      </c>
      <c r="N63" s="794">
        <f t="shared" si="2"/>
        <v>133</v>
      </c>
      <c r="O63" s="168">
        <f t="shared" si="1"/>
        <v>44.333333333333336</v>
      </c>
      <c r="P63" s="169">
        <f t="shared" si="3"/>
        <v>0.92239406338858443</v>
      </c>
    </row>
    <row r="64" spans="1:16" s="603" customFormat="1" ht="15" customHeight="1">
      <c r="A64" s="802" t="s">
        <v>192</v>
      </c>
      <c r="B64" s="799"/>
      <c r="C64" s="728"/>
      <c r="D64" s="133"/>
      <c r="E64" s="133"/>
      <c r="F64" s="133"/>
      <c r="G64" s="133"/>
      <c r="H64" s="133"/>
      <c r="I64" s="133"/>
      <c r="J64" s="133"/>
      <c r="K64" s="833">
        <v>68</v>
      </c>
      <c r="L64" s="133">
        <v>51</v>
      </c>
      <c r="M64" s="133">
        <v>44</v>
      </c>
      <c r="N64" s="794">
        <f>SUM(B64:M64)</f>
        <v>163</v>
      </c>
      <c r="O64" s="168">
        <f t="shared" si="1"/>
        <v>54.333333333333336</v>
      </c>
      <c r="P64" s="169">
        <f t="shared" si="3"/>
        <v>1.1304528746792426</v>
      </c>
    </row>
    <row r="65" spans="1:16" customFormat="1" ht="15" customHeight="1">
      <c r="A65" s="802" t="s">
        <v>193</v>
      </c>
      <c r="B65" s="799"/>
      <c r="C65" s="728"/>
      <c r="D65" s="133"/>
      <c r="E65" s="133"/>
      <c r="F65" s="133"/>
      <c r="G65" s="133"/>
      <c r="H65" s="133"/>
      <c r="I65" s="133"/>
      <c r="J65" s="133"/>
      <c r="K65" s="833">
        <v>27</v>
      </c>
      <c r="L65" s="133">
        <v>34</v>
      </c>
      <c r="M65" s="133">
        <v>32</v>
      </c>
      <c r="N65" s="794">
        <f t="shared" si="2"/>
        <v>93</v>
      </c>
      <c r="O65" s="168">
        <f t="shared" si="1"/>
        <v>31</v>
      </c>
      <c r="P65" s="169">
        <f t="shared" si="3"/>
        <v>0.64498231500104031</v>
      </c>
    </row>
    <row r="66" spans="1:16" customFormat="1" ht="15.75" customHeight="1">
      <c r="A66" s="802" t="s">
        <v>194</v>
      </c>
      <c r="B66" s="799"/>
      <c r="C66" s="728"/>
      <c r="D66" s="133"/>
      <c r="E66" s="133"/>
      <c r="F66" s="133"/>
      <c r="G66" s="133"/>
      <c r="H66" s="133"/>
      <c r="I66" s="133"/>
      <c r="J66" s="133"/>
      <c r="K66" s="833">
        <v>17</v>
      </c>
      <c r="L66" s="133">
        <v>20</v>
      </c>
      <c r="M66" s="133">
        <v>10</v>
      </c>
      <c r="N66" s="794">
        <f t="shared" si="2"/>
        <v>47</v>
      </c>
      <c r="O66" s="168">
        <f t="shared" si="1"/>
        <v>15.666666666666666</v>
      </c>
      <c r="P66" s="169">
        <f t="shared" si="3"/>
        <v>0.32595880435536445</v>
      </c>
    </row>
    <row r="67" spans="1:16" s="615" customFormat="1" ht="15.75" customHeight="1">
      <c r="A67" s="802" t="s">
        <v>195</v>
      </c>
      <c r="B67" s="799"/>
      <c r="C67" s="728"/>
      <c r="D67" s="133"/>
      <c r="E67" s="133"/>
      <c r="F67" s="133"/>
      <c r="G67" s="133"/>
      <c r="H67" s="133"/>
      <c r="I67" s="133"/>
      <c r="J67" s="133"/>
      <c r="K67" s="833">
        <v>21</v>
      </c>
      <c r="L67" s="133">
        <v>12</v>
      </c>
      <c r="M67" s="133">
        <v>23</v>
      </c>
      <c r="N67" s="794">
        <f t="shared" si="2"/>
        <v>56</v>
      </c>
      <c r="O67" s="168">
        <f t="shared" si="1"/>
        <v>18.666666666666668</v>
      </c>
      <c r="P67" s="169">
        <f t="shared" si="3"/>
        <v>0.38837644774256191</v>
      </c>
    </row>
    <row r="68" spans="1:16" customFormat="1" ht="15" customHeight="1">
      <c r="A68" s="802" t="s">
        <v>196</v>
      </c>
      <c r="B68" s="799"/>
      <c r="C68" s="728"/>
      <c r="D68" s="133"/>
      <c r="E68" s="133"/>
      <c r="F68" s="133"/>
      <c r="G68" s="133"/>
      <c r="H68" s="145"/>
      <c r="I68" s="133"/>
      <c r="J68" s="133"/>
      <c r="K68" s="833">
        <v>78</v>
      </c>
      <c r="L68" s="133">
        <v>72</v>
      </c>
      <c r="M68" s="133">
        <v>46</v>
      </c>
      <c r="N68" s="794">
        <f t="shared" si="2"/>
        <v>196</v>
      </c>
      <c r="O68" s="168">
        <f t="shared" si="1"/>
        <v>65.333333333333329</v>
      </c>
      <c r="P68" s="169">
        <f t="shared" si="3"/>
        <v>1.3593175670989666</v>
      </c>
    </row>
    <row r="69" spans="1:16" customFormat="1" ht="15">
      <c r="A69" s="802" t="s">
        <v>197</v>
      </c>
      <c r="B69" s="799"/>
      <c r="C69" s="728"/>
      <c r="D69" s="133"/>
      <c r="E69" s="133"/>
      <c r="F69" s="133"/>
      <c r="G69" s="133"/>
      <c r="H69" s="145"/>
      <c r="I69" s="133"/>
      <c r="J69" s="133"/>
      <c r="K69" s="833">
        <v>27</v>
      </c>
      <c r="L69" s="133">
        <v>42</v>
      </c>
      <c r="M69" s="133">
        <v>28</v>
      </c>
      <c r="N69" s="794">
        <f t="shared" si="2"/>
        <v>97</v>
      </c>
      <c r="O69" s="168">
        <f t="shared" si="1"/>
        <v>32.333333333333336</v>
      </c>
      <c r="P69" s="169">
        <f t="shared" si="3"/>
        <v>0.6727234898397948</v>
      </c>
    </row>
    <row r="70" spans="1:16" customFormat="1" ht="15">
      <c r="A70" s="802" t="s">
        <v>198</v>
      </c>
      <c r="B70" s="799"/>
      <c r="C70" s="728"/>
      <c r="D70" s="133"/>
      <c r="E70" s="133"/>
      <c r="F70" s="133"/>
      <c r="G70" s="133"/>
      <c r="H70" s="145"/>
      <c r="I70" s="133"/>
      <c r="J70" s="133"/>
      <c r="K70" s="833">
        <v>65</v>
      </c>
      <c r="L70" s="133">
        <v>59</v>
      </c>
      <c r="M70" s="133">
        <v>48</v>
      </c>
      <c r="N70" s="794">
        <f t="shared" si="2"/>
        <v>172</v>
      </c>
      <c r="O70" s="168">
        <f t="shared" si="1"/>
        <v>57.333333333333336</v>
      </c>
      <c r="P70" s="169">
        <f t="shared" si="3"/>
        <v>1.1928705180664401</v>
      </c>
    </row>
    <row r="71" spans="1:16" customFormat="1" ht="15.75" thickBot="1">
      <c r="A71" s="803" t="s">
        <v>199</v>
      </c>
      <c r="B71" s="801"/>
      <c r="C71" s="729"/>
      <c r="D71" s="136"/>
      <c r="E71" s="136"/>
      <c r="F71" s="136"/>
      <c r="G71" s="136"/>
      <c r="H71" s="148"/>
      <c r="I71" s="136"/>
      <c r="J71" s="136"/>
      <c r="K71" s="833">
        <v>44</v>
      </c>
      <c r="L71" s="424">
        <v>32</v>
      </c>
      <c r="M71" s="424">
        <v>17</v>
      </c>
      <c r="N71" s="795">
        <f>SUM(B71:M71)</f>
        <v>93</v>
      </c>
      <c r="O71" s="736">
        <f>AVERAGE(B71:M71)</f>
        <v>31</v>
      </c>
      <c r="P71" s="170">
        <f t="shared" si="3"/>
        <v>0.64498231500104031</v>
      </c>
    </row>
    <row r="72" spans="1:16" customFormat="1" ht="15.75" thickBot="1">
      <c r="A72" s="804" t="s">
        <v>3</v>
      </c>
      <c r="B72" s="726"/>
      <c r="C72" s="190"/>
      <c r="D72" s="726"/>
      <c r="E72" s="35"/>
      <c r="F72" s="35"/>
      <c r="G72" s="35"/>
      <c r="H72" s="35"/>
      <c r="I72" s="36"/>
      <c r="J72" s="36"/>
      <c r="K72" s="772">
        <f>SUM(K5:K71)</f>
        <v>5517</v>
      </c>
      <c r="L72" s="772">
        <f>SUM(L5:L71)</f>
        <v>4645</v>
      </c>
      <c r="M72" s="773">
        <f>SUM(M5:M71)</f>
        <v>4257</v>
      </c>
      <c r="N72" s="182">
        <f>SUM(N5:N71)</f>
        <v>14419</v>
      </c>
      <c r="O72" s="917">
        <f>AVERAGE(B72:M72)</f>
        <v>4806.333333333333</v>
      </c>
      <c r="P72" s="919">
        <f>SUM(P5:P71)</f>
        <v>100.00000000000004</v>
      </c>
    </row>
    <row r="73" spans="1:16" customFormat="1" ht="15">
      <c r="A73" s="63"/>
      <c r="B73" s="64"/>
      <c r="C73" s="64"/>
      <c r="D73" s="64"/>
      <c r="E73" s="64"/>
      <c r="F73" s="64"/>
      <c r="G73" s="55"/>
      <c r="H73" s="64"/>
      <c r="I73" s="64"/>
      <c r="J73" s="64"/>
      <c r="K73" s="64"/>
      <c r="L73" s="64"/>
      <c r="M73" s="65"/>
      <c r="N73" s="65"/>
      <c r="O73" s="23"/>
      <c r="P73" s="23"/>
    </row>
    <row r="74" spans="1:16">
      <c r="A74" s="304" t="s">
        <v>247</v>
      </c>
    </row>
    <row r="75" spans="1:16">
      <c r="A75" s="304" t="s">
        <v>337</v>
      </c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K72:M72" formulaRange="1"/>
    <ignoredError sqref="O72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zoomScale="90" zoomScaleNormal="90" workbookViewId="0"/>
  </sheetViews>
  <sheetFormatPr defaultColWidth="5.5703125" defaultRowHeight="14.25"/>
  <cols>
    <col min="1" max="1" width="52.140625" style="23" customWidth="1"/>
    <col min="2" max="2" width="7.5703125" style="23" bestFit="1" customWidth="1"/>
    <col min="3" max="3" width="7.7109375" style="55" bestFit="1" customWidth="1"/>
    <col min="4" max="4" width="7.140625" style="23" bestFit="1" customWidth="1"/>
    <col min="5" max="5" width="7" style="53" bestFit="1" customWidth="1"/>
    <col min="6" max="6" width="7.5703125" style="23" bestFit="1" customWidth="1"/>
    <col min="7" max="7" width="6.28515625" style="53" bestFit="1" customWidth="1"/>
    <col min="8" max="8" width="7" style="23" bestFit="1" customWidth="1"/>
    <col min="9" max="9" width="7.5703125" style="23" customWidth="1"/>
    <col min="10" max="10" width="7.140625" style="23" bestFit="1" customWidth="1"/>
    <col min="11" max="11" width="7.5703125" style="23" bestFit="1" customWidth="1"/>
    <col min="12" max="12" width="7.140625" style="23" bestFit="1" customWidth="1"/>
    <col min="13" max="13" width="6.85546875" style="23" bestFit="1" customWidth="1"/>
    <col min="14" max="14" width="6.7109375" style="23" bestFit="1" customWidth="1"/>
    <col min="15" max="15" width="7.140625" style="23" bestFit="1" customWidth="1"/>
    <col min="16" max="16" width="14.85546875" style="23" customWidth="1"/>
    <col min="17" max="215" width="9.140625" style="23" customWidth="1"/>
    <col min="216" max="216" width="58.28515625" style="23" customWidth="1"/>
    <col min="217" max="217" width="3.7109375" style="23" bestFit="1" customWidth="1"/>
    <col min="218" max="218" width="5.5703125" style="23" bestFit="1" customWidth="1"/>
    <col min="219" max="16384" width="5.5703125" style="23"/>
  </cols>
  <sheetData>
    <row r="1" spans="1:20" ht="15">
      <c r="A1" s="51" t="s">
        <v>0</v>
      </c>
      <c r="B1" s="51"/>
      <c r="C1" s="52"/>
      <c r="D1" s="51"/>
      <c r="N1" s="757"/>
      <c r="O1" s="757"/>
      <c r="P1" s="757"/>
    </row>
    <row r="2" spans="1:20" ht="15">
      <c r="A2" s="5" t="s">
        <v>1</v>
      </c>
      <c r="B2" s="5"/>
      <c r="C2" s="54"/>
      <c r="D2" s="5"/>
      <c r="N2" s="757"/>
      <c r="O2" s="757"/>
      <c r="P2" s="757"/>
    </row>
    <row r="3" spans="1:20" ht="15">
      <c r="A3" s="5"/>
      <c r="B3" s="5"/>
      <c r="C3" s="54"/>
      <c r="D3" s="5"/>
      <c r="N3" s="757"/>
      <c r="O3" s="757"/>
      <c r="P3" s="757"/>
    </row>
    <row r="4" spans="1:20" ht="15">
      <c r="A4" s="5" t="s">
        <v>393</v>
      </c>
      <c r="B4" s="5"/>
      <c r="C4" s="54"/>
      <c r="D4" s="5"/>
      <c r="N4" s="757"/>
      <c r="O4" s="757"/>
      <c r="P4" s="139">
        <v>5517</v>
      </c>
    </row>
    <row r="5" spans="1:20" ht="15" thickBot="1">
      <c r="E5" s="23"/>
      <c r="F5" s="53"/>
      <c r="G5" s="23"/>
      <c r="H5" s="53"/>
    </row>
    <row r="6" spans="1:20" ht="48.75" thickBot="1">
      <c r="A6" s="190" t="s">
        <v>146</v>
      </c>
      <c r="B6" s="741">
        <v>45261</v>
      </c>
      <c r="C6" s="187">
        <v>45231</v>
      </c>
      <c r="D6" s="188">
        <v>45200</v>
      </c>
      <c r="E6" s="188">
        <v>45170</v>
      </c>
      <c r="F6" s="188">
        <v>45139</v>
      </c>
      <c r="G6" s="653">
        <v>45108</v>
      </c>
      <c r="H6" s="187">
        <v>45078</v>
      </c>
      <c r="I6" s="188">
        <v>45047</v>
      </c>
      <c r="J6" s="653">
        <v>45017</v>
      </c>
      <c r="K6" s="187">
        <v>44986</v>
      </c>
      <c r="L6" s="189">
        <v>44958</v>
      </c>
      <c r="M6" s="711">
        <v>44927</v>
      </c>
      <c r="N6" s="189" t="s">
        <v>3</v>
      </c>
      <c r="O6" s="115" t="s">
        <v>4</v>
      </c>
      <c r="P6" s="412" t="s">
        <v>441</v>
      </c>
    </row>
    <row r="7" spans="1:20" ht="14.25" customHeight="1" thickBot="1">
      <c r="A7" s="802" t="s">
        <v>159</v>
      </c>
      <c r="B7" s="739"/>
      <c r="C7" s="739"/>
      <c r="D7" s="612"/>
      <c r="E7" s="612"/>
      <c r="F7" s="612"/>
      <c r="G7" s="612"/>
      <c r="H7" s="740"/>
      <c r="I7" s="612"/>
      <c r="J7" s="612"/>
      <c r="K7" s="833">
        <v>886</v>
      </c>
      <c r="L7" s="133">
        <v>527</v>
      </c>
      <c r="M7" s="133">
        <v>564</v>
      </c>
      <c r="N7" s="613">
        <f t="shared" ref="N7:N16" si="0">SUM(B7:M7)</f>
        <v>1977</v>
      </c>
      <c r="O7" s="480">
        <f t="shared" ref="O7:O17" si="1">AVERAGE(B7:M7)</f>
        <v>659</v>
      </c>
      <c r="P7" s="827">
        <f>(K7*100)/$P$4</f>
        <v>16.059452601051294</v>
      </c>
      <c r="S7" s="53"/>
      <c r="T7" s="53"/>
    </row>
    <row r="8" spans="1:20" ht="15" customHeight="1" thickBot="1">
      <c r="A8" s="802" t="s">
        <v>228</v>
      </c>
      <c r="B8" s="730"/>
      <c r="C8" s="730"/>
      <c r="D8" s="613"/>
      <c r="E8" s="613"/>
      <c r="F8" s="613"/>
      <c r="G8" s="613"/>
      <c r="H8" s="613"/>
      <c r="I8" s="613"/>
      <c r="J8" s="613"/>
      <c r="K8" s="833">
        <v>573</v>
      </c>
      <c r="L8" s="133">
        <v>536</v>
      </c>
      <c r="M8" s="133">
        <v>545</v>
      </c>
      <c r="N8" s="613">
        <f t="shared" si="0"/>
        <v>1654</v>
      </c>
      <c r="O8" s="168">
        <f t="shared" si="1"/>
        <v>551.33333333333337</v>
      </c>
      <c r="P8" s="827">
        <f t="shared" ref="P8:P16" si="2">(K8*100)/$P$4</f>
        <v>10.386079390973356</v>
      </c>
      <c r="S8" s="53"/>
      <c r="T8" s="53"/>
    </row>
    <row r="9" spans="1:20" ht="15.75" thickBot="1">
      <c r="A9" s="802" t="s">
        <v>158</v>
      </c>
      <c r="B9" s="806"/>
      <c r="C9" s="806"/>
      <c r="D9" s="614"/>
      <c r="E9" s="614"/>
      <c r="F9" s="614"/>
      <c r="G9" s="614"/>
      <c r="H9" s="614"/>
      <c r="I9" s="614"/>
      <c r="J9" s="614"/>
      <c r="K9" s="833">
        <v>373</v>
      </c>
      <c r="L9" s="133">
        <v>318</v>
      </c>
      <c r="M9" s="133">
        <v>343</v>
      </c>
      <c r="N9" s="613">
        <f t="shared" si="0"/>
        <v>1034</v>
      </c>
      <c r="O9" s="168">
        <f t="shared" si="1"/>
        <v>344.66666666666669</v>
      </c>
      <c r="P9" s="827">
        <f t="shared" si="2"/>
        <v>6.7609207902845752</v>
      </c>
      <c r="S9" s="53"/>
      <c r="T9" s="53"/>
    </row>
    <row r="10" spans="1:20" ht="15.75" thickBot="1">
      <c r="A10" s="802" t="s">
        <v>433</v>
      </c>
      <c r="B10" s="728"/>
      <c r="C10" s="145"/>
      <c r="D10" s="728"/>
      <c r="E10" s="733"/>
      <c r="F10" s="728"/>
      <c r="G10" s="733"/>
      <c r="H10" s="728"/>
      <c r="I10" s="728"/>
      <c r="J10" s="728"/>
      <c r="K10" s="833">
        <v>299</v>
      </c>
      <c r="L10" s="133">
        <v>330</v>
      </c>
      <c r="M10" s="133">
        <v>327</v>
      </c>
      <c r="N10" s="613">
        <f t="shared" si="0"/>
        <v>956</v>
      </c>
      <c r="O10" s="168">
        <f t="shared" si="1"/>
        <v>318.66666666666669</v>
      </c>
      <c r="P10" s="827">
        <f t="shared" si="2"/>
        <v>5.4196121080297264</v>
      </c>
      <c r="S10" s="53"/>
      <c r="T10" s="53"/>
    </row>
    <row r="11" spans="1:20" ht="15.75" thickBot="1">
      <c r="A11" s="802" t="s">
        <v>156</v>
      </c>
      <c r="B11" s="730"/>
      <c r="C11" s="730"/>
      <c r="D11" s="613"/>
      <c r="E11" s="613"/>
      <c r="F11" s="613"/>
      <c r="G11" s="613"/>
      <c r="H11" s="731"/>
      <c r="I11" s="613"/>
      <c r="J11" s="613"/>
      <c r="K11" s="833">
        <v>306</v>
      </c>
      <c r="L11" s="133">
        <v>292</v>
      </c>
      <c r="M11" s="133">
        <v>328</v>
      </c>
      <c r="N11" s="613">
        <f t="shared" si="0"/>
        <v>926</v>
      </c>
      <c r="O11" s="168">
        <f t="shared" si="1"/>
        <v>308.66666666666669</v>
      </c>
      <c r="P11" s="827">
        <f t="shared" si="2"/>
        <v>5.5464926590538335</v>
      </c>
      <c r="S11" s="53"/>
      <c r="T11" s="53"/>
    </row>
    <row r="12" spans="1:20" ht="15" customHeight="1" thickBot="1">
      <c r="A12" s="802" t="s">
        <v>434</v>
      </c>
      <c r="B12" s="730"/>
      <c r="C12" s="730"/>
      <c r="D12" s="613"/>
      <c r="E12" s="613"/>
      <c r="F12" s="613"/>
      <c r="G12" s="613"/>
      <c r="H12" s="613"/>
      <c r="I12" s="613"/>
      <c r="J12" s="613"/>
      <c r="K12" s="833">
        <v>318</v>
      </c>
      <c r="L12" s="133">
        <v>286</v>
      </c>
      <c r="M12" s="133">
        <v>247</v>
      </c>
      <c r="N12" s="613">
        <f t="shared" si="0"/>
        <v>851</v>
      </c>
      <c r="O12" s="168">
        <f t="shared" si="1"/>
        <v>283.66666666666669</v>
      </c>
      <c r="P12" s="827">
        <f t="shared" si="2"/>
        <v>5.7640021750951602</v>
      </c>
      <c r="S12" s="53"/>
      <c r="T12" s="53"/>
    </row>
    <row r="13" spans="1:20" ht="15.75" thickBot="1">
      <c r="A13" s="802" t="s">
        <v>162</v>
      </c>
      <c r="B13" s="730"/>
      <c r="C13" s="730"/>
      <c r="D13" s="613"/>
      <c r="E13" s="613"/>
      <c r="F13" s="613"/>
      <c r="G13" s="613"/>
      <c r="H13" s="613"/>
      <c r="I13" s="613"/>
      <c r="J13" s="613"/>
      <c r="K13" s="833">
        <v>326</v>
      </c>
      <c r="L13" s="133">
        <v>377</v>
      </c>
      <c r="M13" s="133">
        <v>131</v>
      </c>
      <c r="N13" s="613">
        <f t="shared" si="0"/>
        <v>834</v>
      </c>
      <c r="O13" s="168">
        <f t="shared" si="1"/>
        <v>278</v>
      </c>
      <c r="P13" s="827">
        <f t="shared" si="2"/>
        <v>5.909008519122712</v>
      </c>
      <c r="S13" s="53"/>
      <c r="T13" s="53"/>
    </row>
    <row r="14" spans="1:20" ht="15.75" thickBot="1">
      <c r="A14" s="802" t="s">
        <v>435</v>
      </c>
      <c r="B14" s="730"/>
      <c r="C14" s="730"/>
      <c r="D14" s="613"/>
      <c r="E14" s="613"/>
      <c r="F14" s="613"/>
      <c r="G14" s="613"/>
      <c r="H14" s="731"/>
      <c r="I14" s="613"/>
      <c r="J14" s="613"/>
      <c r="K14" s="833">
        <v>333</v>
      </c>
      <c r="L14" s="133">
        <v>204</v>
      </c>
      <c r="M14" s="133">
        <v>140</v>
      </c>
      <c r="N14" s="613">
        <f t="shared" si="0"/>
        <v>677</v>
      </c>
      <c r="O14" s="168">
        <f t="shared" si="1"/>
        <v>225.66666666666666</v>
      </c>
      <c r="P14" s="827">
        <f t="shared" si="2"/>
        <v>6.0358890701468191</v>
      </c>
      <c r="S14" s="53"/>
      <c r="T14" s="53"/>
    </row>
    <row r="15" spans="1:20" ht="15.75" thickBot="1">
      <c r="A15" s="802" t="s">
        <v>436</v>
      </c>
      <c r="B15" s="730"/>
      <c r="C15" s="730"/>
      <c r="D15" s="613"/>
      <c r="E15" s="613"/>
      <c r="F15" s="613"/>
      <c r="G15" s="613"/>
      <c r="H15" s="613"/>
      <c r="I15" s="613"/>
      <c r="J15" s="613"/>
      <c r="K15" s="833">
        <v>140</v>
      </c>
      <c r="L15" s="133">
        <v>99</v>
      </c>
      <c r="M15" s="133">
        <v>68</v>
      </c>
      <c r="N15" s="613">
        <f t="shared" si="0"/>
        <v>307</v>
      </c>
      <c r="O15" s="168">
        <f t="shared" si="1"/>
        <v>102.33333333333333</v>
      </c>
      <c r="P15" s="827">
        <f t="shared" si="2"/>
        <v>2.5376110204821463</v>
      </c>
      <c r="S15" s="53"/>
      <c r="T15" s="53"/>
    </row>
    <row r="16" spans="1:20" ht="15.75" thickBot="1">
      <c r="A16" s="802" t="s">
        <v>183</v>
      </c>
      <c r="B16" s="734"/>
      <c r="C16" s="734"/>
      <c r="D16" s="735"/>
      <c r="E16" s="735"/>
      <c r="F16" s="735"/>
      <c r="G16" s="735"/>
      <c r="H16" s="735"/>
      <c r="I16" s="735"/>
      <c r="J16" s="735"/>
      <c r="K16" s="833">
        <v>140</v>
      </c>
      <c r="L16" s="133">
        <v>71</v>
      </c>
      <c r="M16" s="133">
        <v>70</v>
      </c>
      <c r="N16" s="613">
        <f t="shared" si="0"/>
        <v>281</v>
      </c>
      <c r="O16" s="736">
        <f t="shared" si="1"/>
        <v>93.666666666666671</v>
      </c>
      <c r="P16" s="827">
        <f t="shared" si="2"/>
        <v>2.5376110204821463</v>
      </c>
      <c r="S16" s="53"/>
      <c r="T16" s="53"/>
    </row>
    <row r="17" spans="1:41" ht="15.75" customHeight="1" thickBot="1">
      <c r="A17" s="191" t="s">
        <v>3</v>
      </c>
      <c r="B17" s="151"/>
      <c r="C17" s="358"/>
      <c r="D17" s="358"/>
      <c r="E17" s="358"/>
      <c r="F17" s="358"/>
      <c r="G17" s="358"/>
      <c r="H17" s="358"/>
      <c r="I17" s="358"/>
      <c r="J17" s="426"/>
      <c r="K17" s="737">
        <f>SUM(K7:K16)</f>
        <v>3694</v>
      </c>
      <c r="L17" s="737">
        <f>SUM(L7:L16)</f>
        <v>3040</v>
      </c>
      <c r="M17" s="738">
        <f>SUM(M7:M16)</f>
        <v>2763</v>
      </c>
      <c r="N17" s="920">
        <f>SUM(N7:N16)</f>
        <v>9497</v>
      </c>
      <c r="O17" s="917">
        <f t="shared" si="1"/>
        <v>3165.6666666666665</v>
      </c>
      <c r="P17" s="818">
        <f>(K17*100)/$P$4</f>
        <v>66.956679354721771</v>
      </c>
      <c r="S17" s="53"/>
      <c r="T17" s="53"/>
    </row>
    <row r="18" spans="1:41" ht="23.25" customHeight="1">
      <c r="A18" s="57" t="s">
        <v>147</v>
      </c>
      <c r="E18" s="23"/>
      <c r="G18" s="23"/>
      <c r="O18" s="57" t="s">
        <v>148</v>
      </c>
      <c r="P18" s="58">
        <f>100-P17</f>
        <v>33.043320645278229</v>
      </c>
    </row>
    <row r="19" spans="1:41" ht="54.75" customHeight="1">
      <c r="A19" s="59"/>
      <c r="B19" s="59"/>
      <c r="C19" s="60"/>
      <c r="G19" s="23"/>
      <c r="N19" s="996"/>
      <c r="O19" s="996"/>
      <c r="P19" s="996"/>
      <c r="W19" s="53"/>
    </row>
    <row r="20" spans="1:41">
      <c r="A20" s="61"/>
      <c r="B20" s="61"/>
      <c r="C20" s="62"/>
      <c r="G20" s="23"/>
      <c r="O20" s="53"/>
      <c r="W20" s="53"/>
      <c r="AC20" s="63"/>
      <c r="AD20" s="64"/>
      <c r="AE20" s="64"/>
      <c r="AF20" s="64"/>
      <c r="AG20" s="64"/>
      <c r="AH20" s="64"/>
      <c r="AI20" s="64"/>
      <c r="AJ20" s="55"/>
      <c r="AK20" s="64"/>
      <c r="AL20" s="64"/>
      <c r="AM20" s="64"/>
      <c r="AN20" s="64"/>
      <c r="AO20" s="65"/>
    </row>
    <row r="21" spans="1:41" ht="92.25" customHeight="1">
      <c r="A21" s="59"/>
      <c r="B21" s="59"/>
      <c r="C21" s="60"/>
      <c r="G21" s="23"/>
      <c r="L21" s="66"/>
      <c r="N21" s="996"/>
      <c r="O21" s="996"/>
      <c r="P21" s="996"/>
      <c r="W21" s="53"/>
      <c r="AC21" s="63"/>
      <c r="AD21" s="64"/>
      <c r="AE21" s="64"/>
      <c r="AF21" s="64"/>
      <c r="AG21" s="64"/>
      <c r="AH21" s="64"/>
      <c r="AI21" s="64"/>
      <c r="AJ21" s="55"/>
      <c r="AK21" s="64"/>
      <c r="AL21" s="64"/>
      <c r="AM21" s="64"/>
      <c r="AN21" s="64"/>
      <c r="AO21" s="65"/>
    </row>
    <row r="22" spans="1:41">
      <c r="A22" s="59"/>
      <c r="B22" s="59"/>
      <c r="C22" s="60"/>
      <c r="G22" s="23"/>
      <c r="O22" s="53"/>
      <c r="W22" s="67"/>
      <c r="AC22" s="63"/>
      <c r="AD22" s="64"/>
      <c r="AE22" s="64"/>
      <c r="AF22" s="64"/>
      <c r="AG22" s="64"/>
      <c r="AH22" s="64"/>
      <c r="AI22" s="64"/>
      <c r="AJ22" s="55"/>
      <c r="AK22" s="64"/>
      <c r="AL22" s="64"/>
      <c r="AM22" s="64"/>
      <c r="AN22" s="64"/>
      <c r="AO22" s="65"/>
    </row>
    <row r="23" spans="1:41" ht="66.75" customHeight="1">
      <c r="A23" s="59"/>
      <c r="B23" s="59"/>
      <c r="C23" s="60"/>
      <c r="G23" s="23"/>
      <c r="N23" s="996"/>
      <c r="O23" s="996"/>
      <c r="P23" s="996"/>
      <c r="W23" s="53"/>
      <c r="AC23" s="63"/>
      <c r="AD23" s="64"/>
      <c r="AE23" s="64"/>
      <c r="AF23" s="64"/>
      <c r="AG23" s="64"/>
      <c r="AH23" s="64"/>
      <c r="AI23" s="64"/>
      <c r="AJ23" s="55"/>
      <c r="AK23" s="64"/>
      <c r="AL23" s="64"/>
      <c r="AM23" s="64"/>
      <c r="AN23" s="64"/>
      <c r="AO23" s="65"/>
    </row>
    <row r="24" spans="1:41">
      <c r="A24" s="61"/>
      <c r="B24" s="61"/>
      <c r="C24" s="62"/>
      <c r="G24" s="23"/>
      <c r="W24" s="53"/>
      <c r="AC24" s="63"/>
      <c r="AD24" s="64"/>
      <c r="AE24" s="64"/>
      <c r="AF24" s="64"/>
      <c r="AG24" s="64"/>
      <c r="AH24" s="64"/>
      <c r="AI24" s="64"/>
      <c r="AJ24" s="55"/>
      <c r="AK24" s="64"/>
      <c r="AL24" s="64"/>
      <c r="AM24" s="64"/>
      <c r="AN24" s="64"/>
      <c r="AO24" s="65"/>
    </row>
    <row r="25" spans="1:41">
      <c r="A25" s="59"/>
      <c r="B25" s="59"/>
      <c r="C25" s="60"/>
      <c r="G25" s="23"/>
      <c r="W25" s="53"/>
      <c r="AC25" s="63"/>
      <c r="AD25" s="64"/>
      <c r="AE25" s="64"/>
      <c r="AF25" s="64"/>
      <c r="AG25" s="64"/>
      <c r="AH25" s="64"/>
      <c r="AI25" s="64"/>
      <c r="AJ25" s="55"/>
      <c r="AK25" s="64"/>
      <c r="AL25" s="64"/>
      <c r="AM25" s="64"/>
      <c r="AN25" s="64"/>
      <c r="AO25" s="65"/>
    </row>
    <row r="26" spans="1:41">
      <c r="AC26" s="63"/>
      <c r="AD26" s="64"/>
      <c r="AE26" s="64"/>
      <c r="AF26" s="64"/>
      <c r="AG26" s="64"/>
      <c r="AH26" s="64"/>
      <c r="AI26" s="64"/>
      <c r="AJ26" s="55"/>
      <c r="AK26" s="64"/>
      <c r="AL26" s="64"/>
      <c r="AM26" s="64"/>
      <c r="AN26" s="64"/>
      <c r="AO26" s="65"/>
    </row>
    <row r="27" spans="1:41">
      <c r="R27" s="63"/>
      <c r="S27" s="64"/>
      <c r="T27" s="65"/>
      <c r="U27" s="65"/>
      <c r="V27" s="65"/>
      <c r="W27" s="68"/>
      <c r="AC27" s="63"/>
      <c r="AD27" s="64"/>
      <c r="AE27" s="64"/>
      <c r="AF27" s="64"/>
      <c r="AG27" s="64"/>
      <c r="AH27" s="64"/>
      <c r="AI27" s="64"/>
      <c r="AJ27" s="55"/>
      <c r="AK27" s="64"/>
      <c r="AL27" s="64"/>
      <c r="AM27" s="64"/>
      <c r="AN27" s="64"/>
      <c r="AO27" s="65"/>
    </row>
    <row r="28" spans="1:41">
      <c r="R28" s="63"/>
      <c r="S28" s="64"/>
      <c r="T28" s="65"/>
      <c r="U28" s="65"/>
      <c r="V28" s="65"/>
      <c r="W28" s="68"/>
      <c r="AC28" s="63"/>
      <c r="AD28" s="64"/>
      <c r="AE28" s="64"/>
      <c r="AF28" s="64"/>
      <c r="AG28" s="64"/>
      <c r="AH28" s="64"/>
      <c r="AI28" s="64"/>
      <c r="AJ28" s="55"/>
      <c r="AK28" s="64"/>
      <c r="AL28" s="64"/>
      <c r="AM28" s="64"/>
      <c r="AN28" s="64"/>
      <c r="AO28" s="65"/>
    </row>
    <row r="29" spans="1:41">
      <c r="R29" s="63"/>
      <c r="S29" s="64"/>
      <c r="T29" s="65"/>
      <c r="U29" s="65"/>
      <c r="V29" s="65"/>
      <c r="W29" s="68"/>
      <c r="AC29" s="63"/>
      <c r="AD29" s="64"/>
      <c r="AE29" s="64"/>
      <c r="AF29" s="64"/>
      <c r="AG29" s="64"/>
      <c r="AH29" s="64"/>
      <c r="AI29" s="64"/>
      <c r="AJ29" s="55"/>
      <c r="AK29" s="64"/>
      <c r="AL29" s="64"/>
      <c r="AM29" s="64"/>
      <c r="AN29" s="64"/>
      <c r="AO29" s="65"/>
    </row>
    <row r="30" spans="1:41">
      <c r="R30" s="63"/>
      <c r="S30" s="64"/>
      <c r="T30" s="65"/>
      <c r="U30" s="65"/>
      <c r="V30" s="65"/>
      <c r="W30" s="68"/>
      <c r="AO30" s="53"/>
    </row>
    <row r="31" spans="1:41">
      <c r="R31" s="63"/>
      <c r="S31" s="64"/>
      <c r="T31" s="65"/>
      <c r="U31" s="65"/>
      <c r="V31" s="65"/>
      <c r="W31" s="68"/>
    </row>
    <row r="32" spans="1:41">
      <c r="R32" s="63"/>
      <c r="S32" s="64"/>
      <c r="T32" s="65"/>
      <c r="U32" s="65"/>
      <c r="V32" s="65"/>
      <c r="W32" s="68"/>
    </row>
    <row r="33" spans="1:23">
      <c r="R33" s="63"/>
      <c r="S33" s="64"/>
      <c r="T33" s="65"/>
      <c r="U33" s="65"/>
      <c r="V33" s="65"/>
      <c r="W33" s="68"/>
    </row>
    <row r="34" spans="1:23">
      <c r="R34" s="63"/>
      <c r="S34" s="64"/>
      <c r="T34" s="65"/>
      <c r="U34" s="65"/>
      <c r="V34" s="65"/>
      <c r="W34" s="68"/>
    </row>
    <row r="35" spans="1:23">
      <c r="R35" s="63"/>
      <c r="S35" s="64"/>
      <c r="T35" s="65"/>
      <c r="U35" s="65"/>
      <c r="V35" s="65"/>
      <c r="W35" s="68"/>
    </row>
    <row r="36" spans="1:23">
      <c r="R36" s="63"/>
      <c r="S36" s="64"/>
      <c r="T36" s="65"/>
      <c r="U36" s="65"/>
      <c r="V36" s="65"/>
      <c r="W36" s="68"/>
    </row>
    <row r="42" spans="1:23" ht="14.25" customHeight="1"/>
    <row r="43" spans="1:23">
      <c r="A43" s="61"/>
      <c r="B43" s="61"/>
      <c r="C43" s="62"/>
      <c r="D43" s="61"/>
    </row>
    <row r="44" spans="1:23" ht="14.25" customHeight="1"/>
    <row r="45" spans="1:23">
      <c r="A45" s="61"/>
      <c r="B45" s="61"/>
      <c r="C45" s="62"/>
      <c r="D45" s="61"/>
    </row>
    <row r="46" spans="1:23" ht="14.25" customHeight="1"/>
  </sheetData>
  <mergeCells count="3">
    <mergeCell ref="N19:P19"/>
    <mergeCell ref="N21:P21"/>
    <mergeCell ref="N23:P23"/>
  </mergeCells>
  <pageMargins left="0.511811024" right="0.511811024" top="0.78740157500000008" bottom="0.78740157500000008" header="0.31496062000000008" footer="0.31496062000000008"/>
  <pageSetup paperSize="9" orientation="portrait" r:id="rId1"/>
  <ignoredErrors>
    <ignoredError sqref="K17:M17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workbookViewId="0"/>
  </sheetViews>
  <sheetFormatPr defaultRowHeight="14.25"/>
  <cols>
    <col min="1" max="1" width="10.42578125" style="23" customWidth="1"/>
    <col min="2" max="2" width="13.42578125" style="53" customWidth="1"/>
    <col min="3" max="3" width="11.7109375" style="53" bestFit="1" customWidth="1"/>
    <col min="4" max="4" width="6.28515625" style="23" bestFit="1" customWidth="1"/>
    <col min="5" max="5" width="12" style="23" bestFit="1" customWidth="1"/>
    <col min="6" max="6" width="13.42578125" style="23" bestFit="1" customWidth="1"/>
    <col min="7" max="7" width="11.28515625" style="23" bestFit="1" customWidth="1"/>
    <col min="8" max="8" width="7.5703125" style="23" bestFit="1" customWidth="1"/>
    <col min="9" max="9" width="8.5703125" style="23" bestFit="1" customWidth="1"/>
    <col min="10" max="10" width="13.42578125" style="23" bestFit="1" customWidth="1"/>
    <col min="11" max="11" width="11.28515625" style="23" bestFit="1" customWidth="1"/>
    <col min="12" max="12" width="7.140625" style="23" customWidth="1"/>
    <col min="13" max="13" width="8.5703125" style="23" bestFit="1" customWidth="1"/>
    <col min="14" max="14" width="13.42578125" style="23" bestFit="1" customWidth="1"/>
    <col min="15" max="15" width="12" style="23" customWidth="1"/>
    <col min="16" max="16" width="9.7109375" style="23" customWidth="1"/>
    <col min="17" max="17" width="9.140625" style="23" customWidth="1"/>
    <col min="18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395</v>
      </c>
    </row>
    <row r="5" spans="1:15" ht="15">
      <c r="A5" s="5"/>
    </row>
    <row r="6" spans="1:15">
      <c r="A6" s="23" t="s">
        <v>149</v>
      </c>
    </row>
    <row r="7" spans="1:15">
      <c r="A7" s="23" t="s">
        <v>150</v>
      </c>
    </row>
    <row r="8" spans="1:15" ht="15" thickBot="1">
      <c r="B8" s="23"/>
      <c r="C8" s="23"/>
    </row>
    <row r="9" spans="1:15" s="73" customFormat="1" ht="41.25" customHeight="1" thickBot="1">
      <c r="A9" s="995" t="str">
        <f>'10_UNIDADES_+_demandadas_2023'!A7</f>
        <v>Secretaria Municipal de Assistência e Desenvolvimento Social</v>
      </c>
      <c r="B9" s="995"/>
      <c r="C9" s="995"/>
      <c r="E9" s="995" t="str">
        <f>'10_UNIDADES_+_demandadas_2023'!A8</f>
        <v>Secretaria Municipal das Subprefeituras</v>
      </c>
      <c r="F9" s="995"/>
      <c r="G9" s="995"/>
      <c r="I9" s="995" t="str">
        <f>'10_UNIDADES_+_demandadas_2023'!A9</f>
        <v>Secretaria Municipal da Saúde</v>
      </c>
      <c r="J9" s="995"/>
      <c r="K9" s="995"/>
      <c r="M9" s="995" t="str">
        <f>'10_UNIDADES_+_demandadas_2023'!A10</f>
        <v>Companhia de Engenharia de Tráfego</v>
      </c>
      <c r="N9" s="995"/>
      <c r="O9" s="995"/>
    </row>
    <row r="10" spans="1:15" ht="15.75" thickBot="1">
      <c r="A10" s="18" t="s">
        <v>7</v>
      </c>
      <c r="B10" s="18" t="s">
        <v>151</v>
      </c>
      <c r="C10" s="18" t="s">
        <v>152</v>
      </c>
      <c r="E10" s="19" t="s">
        <v>7</v>
      </c>
      <c r="F10" s="18" t="s">
        <v>151</v>
      </c>
      <c r="G10" s="18" t="s">
        <v>152</v>
      </c>
      <c r="I10" s="18" t="s">
        <v>7</v>
      </c>
      <c r="J10" s="18" t="s">
        <v>151</v>
      </c>
      <c r="K10" s="18" t="s">
        <v>152</v>
      </c>
      <c r="M10" s="19" t="s">
        <v>7</v>
      </c>
      <c r="N10" s="19" t="s">
        <v>151</v>
      </c>
      <c r="O10" s="19" t="s">
        <v>152</v>
      </c>
    </row>
    <row r="11" spans="1:15" ht="15">
      <c r="A11" s="449">
        <v>44927</v>
      </c>
      <c r="B11" s="123">
        <f>'10_UNIDADES_+_demandadas_2023'!M7</f>
        <v>564</v>
      </c>
      <c r="C11" s="124">
        <f>((B11-424)/424)*100</f>
        <v>33.018867924528301</v>
      </c>
      <c r="E11" s="449">
        <v>44927</v>
      </c>
      <c r="F11" s="123">
        <f>'10_UNIDADES_+_demandadas_2023'!M8</f>
        <v>545</v>
      </c>
      <c r="G11" s="124">
        <f>((F11-454)/454)*100</f>
        <v>20.044052863436125</v>
      </c>
      <c r="I11" s="449">
        <v>44927</v>
      </c>
      <c r="J11" s="123">
        <f>'10_UNIDADES_+_demandadas_2023'!M9</f>
        <v>343</v>
      </c>
      <c r="K11" s="124">
        <f>((J11-251)/251)*100</f>
        <v>36.65338645418327</v>
      </c>
      <c r="M11" s="449">
        <v>44927</v>
      </c>
      <c r="N11" s="75">
        <f>'10_UNIDADES_+_demandadas_2023'!M10</f>
        <v>327</v>
      </c>
      <c r="O11" s="81">
        <f>((N11-263)/263)*100</f>
        <v>24.334600760456272</v>
      </c>
    </row>
    <row r="12" spans="1:15" ht="15">
      <c r="A12" s="450">
        <v>44958</v>
      </c>
      <c r="B12" s="125">
        <f>'10_UNIDADES_+_demandadas_2023'!L7</f>
        <v>527</v>
      </c>
      <c r="C12" s="126">
        <f>((B12-B11)/B11)*100</f>
        <v>-6.5602836879432624</v>
      </c>
      <c r="E12" s="450">
        <v>44958</v>
      </c>
      <c r="F12" s="125">
        <f>'10_UNIDADES_+_demandadas_2023'!L8</f>
        <v>536</v>
      </c>
      <c r="G12" s="126">
        <f>((F12-F11)/F11)*100</f>
        <v>-1.6513761467889909</v>
      </c>
      <c r="I12" s="450">
        <v>44958</v>
      </c>
      <c r="J12" s="125">
        <f>'10_UNIDADES_+_demandadas_2023'!L9</f>
        <v>318</v>
      </c>
      <c r="K12" s="126">
        <f>((J12-J11)/J11)*100</f>
        <v>-7.2886297376093294</v>
      </c>
      <c r="M12" s="450">
        <v>44958</v>
      </c>
      <c r="N12" s="76">
        <f>'10_UNIDADES_+_demandadas_2023'!L10</f>
        <v>330</v>
      </c>
      <c r="O12" s="21">
        <f>((N12-N11)/N11)*100</f>
        <v>0.91743119266055051</v>
      </c>
    </row>
    <row r="13" spans="1:15" ht="15">
      <c r="A13" s="450">
        <v>44986</v>
      </c>
      <c r="B13" s="125">
        <f>'10_UNIDADES_+_demandadas_2023'!K7</f>
        <v>886</v>
      </c>
      <c r="C13" s="126">
        <f>((B13-B12)/B12)*100</f>
        <v>68.121442125237195</v>
      </c>
      <c r="E13" s="450">
        <v>44986</v>
      </c>
      <c r="F13" s="125">
        <f>'10_UNIDADES_+_demandadas_2023'!K8</f>
        <v>573</v>
      </c>
      <c r="G13" s="126">
        <f>((F13-F12)/F12)*100</f>
        <v>6.9029850746268657</v>
      </c>
      <c r="I13" s="450">
        <v>44986</v>
      </c>
      <c r="J13" s="125">
        <f>'10_UNIDADES_+_demandadas_2023'!K9</f>
        <v>373</v>
      </c>
      <c r="K13" s="126">
        <f>((J13-J12)/J12)*100</f>
        <v>17.29559748427673</v>
      </c>
      <c r="M13" s="450">
        <v>44986</v>
      </c>
      <c r="N13" s="76">
        <f>'10_UNIDADES_+_demandadas_2023'!K10</f>
        <v>299</v>
      </c>
      <c r="O13" s="21">
        <f>((N13-N12)/N12)*100</f>
        <v>-9.3939393939393927</v>
      </c>
    </row>
    <row r="14" spans="1:15" ht="15">
      <c r="A14" s="450">
        <v>45017</v>
      </c>
      <c r="B14" s="125"/>
      <c r="C14" s="126"/>
      <c r="E14" s="450">
        <v>45017</v>
      </c>
      <c r="F14" s="125"/>
      <c r="G14" s="126"/>
      <c r="I14" s="450">
        <v>45017</v>
      </c>
      <c r="J14" s="125"/>
      <c r="K14" s="126"/>
      <c r="M14" s="450">
        <v>45017</v>
      </c>
      <c r="N14" s="76"/>
      <c r="O14" s="21"/>
    </row>
    <row r="15" spans="1:15" ht="15">
      <c r="A15" s="450">
        <v>45047</v>
      </c>
      <c r="B15" s="125"/>
      <c r="C15" s="126"/>
      <c r="E15" s="450">
        <v>45047</v>
      </c>
      <c r="F15" s="125"/>
      <c r="G15" s="126"/>
      <c r="I15" s="450">
        <v>45047</v>
      </c>
      <c r="J15" s="125"/>
      <c r="K15" s="126"/>
      <c r="M15" s="450">
        <v>45047</v>
      </c>
      <c r="N15" s="76"/>
      <c r="O15" s="21"/>
    </row>
    <row r="16" spans="1:15" ht="15">
      <c r="A16" s="450">
        <v>45078</v>
      </c>
      <c r="B16" s="125"/>
      <c r="C16" s="126"/>
      <c r="E16" s="450">
        <v>45078</v>
      </c>
      <c r="F16" s="125"/>
      <c r="G16" s="126"/>
      <c r="I16" s="450">
        <v>45078</v>
      </c>
      <c r="J16" s="125"/>
      <c r="K16" s="126"/>
      <c r="M16" s="450">
        <v>45078</v>
      </c>
      <c r="N16" s="76"/>
      <c r="O16" s="21"/>
    </row>
    <row r="17" spans="1:15" ht="15">
      <c r="A17" s="450">
        <v>45108</v>
      </c>
      <c r="B17" s="125"/>
      <c r="C17" s="126"/>
      <c r="E17" s="450">
        <v>45108</v>
      </c>
      <c r="F17" s="125"/>
      <c r="G17" s="126"/>
      <c r="I17" s="450">
        <v>45108</v>
      </c>
      <c r="J17" s="125"/>
      <c r="K17" s="126"/>
      <c r="M17" s="450">
        <v>45108</v>
      </c>
      <c r="N17" s="76"/>
      <c r="O17" s="21"/>
    </row>
    <row r="18" spans="1:15" ht="15">
      <c r="A18" s="450">
        <v>45139</v>
      </c>
      <c r="B18" s="125"/>
      <c r="C18" s="126"/>
      <c r="E18" s="450">
        <v>45139</v>
      </c>
      <c r="F18" s="125"/>
      <c r="G18" s="126"/>
      <c r="I18" s="450">
        <v>45139</v>
      </c>
      <c r="J18" s="125"/>
      <c r="K18" s="126"/>
      <c r="M18" s="450">
        <v>45139</v>
      </c>
      <c r="N18" s="76"/>
      <c r="O18" s="21"/>
    </row>
    <row r="19" spans="1:15" ht="15">
      <c r="A19" s="450">
        <v>45170</v>
      </c>
      <c r="B19" s="125"/>
      <c r="C19" s="126"/>
      <c r="E19" s="450">
        <v>45170</v>
      </c>
      <c r="F19" s="125"/>
      <c r="G19" s="126"/>
      <c r="I19" s="450">
        <v>45170</v>
      </c>
      <c r="J19" s="125"/>
      <c r="K19" s="126"/>
      <c r="M19" s="450">
        <v>45170</v>
      </c>
      <c r="N19" s="76"/>
      <c r="O19" s="21"/>
    </row>
    <row r="20" spans="1:15" ht="15">
      <c r="A20" s="450">
        <v>45200</v>
      </c>
      <c r="B20" s="125"/>
      <c r="C20" s="126"/>
      <c r="E20" s="450">
        <v>45200</v>
      </c>
      <c r="F20" s="125"/>
      <c r="G20" s="126"/>
      <c r="I20" s="450">
        <v>45200</v>
      </c>
      <c r="J20" s="125"/>
      <c r="K20" s="126"/>
      <c r="M20" s="450">
        <v>45200</v>
      </c>
      <c r="N20" s="76"/>
      <c r="O20" s="21"/>
    </row>
    <row r="21" spans="1:15" ht="15">
      <c r="A21" s="450">
        <v>45231</v>
      </c>
      <c r="B21" s="125"/>
      <c r="C21" s="126"/>
      <c r="E21" s="450">
        <v>45231</v>
      </c>
      <c r="F21" s="125"/>
      <c r="G21" s="126"/>
      <c r="I21" s="450">
        <v>45231</v>
      </c>
      <c r="J21" s="125"/>
      <c r="K21" s="126"/>
      <c r="M21" s="450">
        <v>45231</v>
      </c>
      <c r="N21" s="76"/>
      <c r="O21" s="21"/>
    </row>
    <row r="22" spans="1:15" ht="15.75" thickBot="1">
      <c r="A22" s="451">
        <v>45261</v>
      </c>
      <c r="B22" s="127"/>
      <c r="C22" s="128"/>
      <c r="E22" s="451">
        <v>45261</v>
      </c>
      <c r="F22" s="127"/>
      <c r="G22" s="128"/>
      <c r="I22" s="451">
        <v>45261</v>
      </c>
      <c r="J22" s="127"/>
      <c r="K22" s="128"/>
      <c r="M22" s="451">
        <v>45261</v>
      </c>
      <c r="N22" s="103"/>
      <c r="O22" s="27"/>
    </row>
    <row r="23" spans="1:15">
      <c r="B23" s="23"/>
      <c r="C23" s="23"/>
    </row>
    <row r="24" spans="1:15" ht="15" thickBot="1">
      <c r="B24" s="23"/>
      <c r="C24" s="23"/>
    </row>
    <row r="25" spans="1:15" ht="30.75" customHeight="1" thickBot="1">
      <c r="A25" s="995" t="str">
        <f>'10_UNIDADES_+_demandadas_2023'!A11</f>
        <v>Secretaria Municipal da Fazenda</v>
      </c>
      <c r="B25" s="995"/>
      <c r="C25" s="995"/>
      <c r="E25" s="995" t="str">
        <f>'10_UNIDADES_+_demandadas_2023'!A12</f>
        <v>Secretaria Executiva de Limpeza Urbana</v>
      </c>
      <c r="F25" s="995"/>
      <c r="G25" s="995"/>
      <c r="I25" s="995" t="str">
        <f>'10_UNIDADES_+_demandadas_2023'!A13</f>
        <v>Secretaria Municipal de Educação</v>
      </c>
      <c r="J25" s="995"/>
      <c r="K25" s="995"/>
      <c r="M25" s="995" t="str">
        <f>'10_UNIDADES_+_demandadas_2023'!A14</f>
        <v>São Paulo Transportes</v>
      </c>
      <c r="N25" s="995"/>
      <c r="O25" s="995"/>
    </row>
    <row r="26" spans="1:15" ht="15.75" thickBot="1">
      <c r="A26" s="18" t="s">
        <v>7</v>
      </c>
      <c r="B26" s="19" t="s">
        <v>151</v>
      </c>
      <c r="C26" s="19" t="s">
        <v>152</v>
      </c>
      <c r="E26" s="19" t="s">
        <v>7</v>
      </c>
      <c r="F26" s="19" t="s">
        <v>151</v>
      </c>
      <c r="G26" s="19" t="s">
        <v>152</v>
      </c>
      <c r="I26" s="18" t="s">
        <v>7</v>
      </c>
      <c r="J26" s="19" t="s">
        <v>151</v>
      </c>
      <c r="K26" s="19" t="s">
        <v>152</v>
      </c>
      <c r="M26" s="104" t="s">
        <v>7</v>
      </c>
      <c r="N26" s="19" t="s">
        <v>151</v>
      </c>
      <c r="O26" s="19" t="s">
        <v>152</v>
      </c>
    </row>
    <row r="27" spans="1:15" ht="15">
      <c r="A27" s="449">
        <v>44927</v>
      </c>
      <c r="B27" s="75">
        <f>'10_UNIDADES_+_demandadas_2023'!M11</f>
        <v>328</v>
      </c>
      <c r="C27" s="81">
        <f>((B27-213)/213)*100</f>
        <v>53.990610328638496</v>
      </c>
      <c r="E27" s="449">
        <v>44927</v>
      </c>
      <c r="F27" s="75">
        <f>'10_UNIDADES_+_demandadas_2023'!M12</f>
        <v>247</v>
      </c>
      <c r="G27" s="81">
        <f>((F27-242)/242)*100</f>
        <v>2.0661157024793391</v>
      </c>
      <c r="I27" s="449">
        <v>44927</v>
      </c>
      <c r="J27" s="75">
        <f>'10_UNIDADES_+_demandadas_2023'!M13</f>
        <v>131</v>
      </c>
      <c r="K27" s="81">
        <f>((J27-135)/135)*100</f>
        <v>-2.9629629629629632</v>
      </c>
      <c r="M27" s="449">
        <v>44927</v>
      </c>
      <c r="N27" s="75">
        <f>'10_UNIDADES_+_demandadas_2023'!M14</f>
        <v>140</v>
      </c>
      <c r="O27" s="81">
        <f>((N27-112)/112)*100</f>
        <v>25</v>
      </c>
    </row>
    <row r="28" spans="1:15" ht="15">
      <c r="A28" s="450">
        <v>44958</v>
      </c>
      <c r="B28" s="76">
        <f>'10_UNIDADES_+_demandadas_2023'!L11</f>
        <v>292</v>
      </c>
      <c r="C28" s="21">
        <f>((B28-B27)/B27)*100</f>
        <v>-10.975609756097562</v>
      </c>
      <c r="E28" s="450">
        <v>44958</v>
      </c>
      <c r="F28" s="76">
        <f>'10_UNIDADES_+_demandadas_2023'!L12</f>
        <v>286</v>
      </c>
      <c r="G28" s="21">
        <f>((F28-F27)/F27)*100</f>
        <v>15.789473684210526</v>
      </c>
      <c r="I28" s="450">
        <v>44958</v>
      </c>
      <c r="J28" s="76">
        <f>'10_UNIDADES_+_demandadas_2023'!L13</f>
        <v>377</v>
      </c>
      <c r="K28" s="21">
        <f>((J28-J27)/J27)*100</f>
        <v>187.78625954198475</v>
      </c>
      <c r="M28" s="450">
        <v>44958</v>
      </c>
      <c r="N28" s="76">
        <f>'10_UNIDADES_+_demandadas_2023'!L14</f>
        <v>204</v>
      </c>
      <c r="O28" s="21">
        <f>((N28-N27)/N27)*100</f>
        <v>45.714285714285715</v>
      </c>
    </row>
    <row r="29" spans="1:15" ht="15">
      <c r="A29" s="450">
        <v>44986</v>
      </c>
      <c r="B29" s="76">
        <f>'10_UNIDADES_+_demandadas_2023'!K11</f>
        <v>306</v>
      </c>
      <c r="C29" s="21">
        <f>((B29-B28)/B28)*100</f>
        <v>4.7945205479452051</v>
      </c>
      <c r="E29" s="450">
        <v>44986</v>
      </c>
      <c r="F29" s="76">
        <f>'10_UNIDADES_+_demandadas_2023'!K12</f>
        <v>318</v>
      </c>
      <c r="G29" s="21">
        <f>((F29-F28)/F28)*100</f>
        <v>11.188811188811188</v>
      </c>
      <c r="I29" s="450">
        <v>44986</v>
      </c>
      <c r="J29" s="76">
        <f>'10_UNIDADES_+_demandadas_2023'!K13</f>
        <v>326</v>
      </c>
      <c r="K29" s="21">
        <f>((J29-J28)/J28)*100</f>
        <v>-13.527851458885943</v>
      </c>
      <c r="M29" s="450">
        <v>44986</v>
      </c>
      <c r="N29" s="76">
        <f>'10_UNIDADES_+_demandadas_2023'!K14</f>
        <v>333</v>
      </c>
      <c r="O29" s="21">
        <f>((N29-N28)/N28)*100</f>
        <v>63.235294117647058</v>
      </c>
    </row>
    <row r="30" spans="1:15" ht="15">
      <c r="A30" s="450">
        <v>45017</v>
      </c>
      <c r="B30" s="76"/>
      <c r="C30" s="21"/>
      <c r="E30" s="450">
        <v>45017</v>
      </c>
      <c r="F30" s="76"/>
      <c r="G30" s="21"/>
      <c r="I30" s="450">
        <v>45017</v>
      </c>
      <c r="J30" s="76"/>
      <c r="K30" s="21"/>
      <c r="M30" s="450">
        <v>45017</v>
      </c>
      <c r="N30" s="76"/>
      <c r="O30" s="21"/>
    </row>
    <row r="31" spans="1:15" ht="15">
      <c r="A31" s="450">
        <v>45047</v>
      </c>
      <c r="B31" s="76"/>
      <c r="C31" s="21"/>
      <c r="E31" s="450">
        <v>45047</v>
      </c>
      <c r="F31" s="76"/>
      <c r="G31" s="21"/>
      <c r="I31" s="450">
        <v>45047</v>
      </c>
      <c r="J31" s="76"/>
      <c r="K31" s="21"/>
      <c r="M31" s="450">
        <v>45047</v>
      </c>
      <c r="N31" s="76"/>
      <c r="O31" s="21"/>
    </row>
    <row r="32" spans="1:15" ht="15">
      <c r="A32" s="450">
        <v>45078</v>
      </c>
      <c r="B32" s="76"/>
      <c r="C32" s="21"/>
      <c r="E32" s="450">
        <v>45078</v>
      </c>
      <c r="F32" s="76"/>
      <c r="G32" s="21"/>
      <c r="I32" s="450">
        <v>45078</v>
      </c>
      <c r="J32" s="76"/>
      <c r="K32" s="21"/>
      <c r="M32" s="450">
        <v>45078</v>
      </c>
      <c r="N32" s="76"/>
      <c r="O32" s="21"/>
    </row>
    <row r="33" spans="1:15" ht="15">
      <c r="A33" s="450">
        <v>45108</v>
      </c>
      <c r="B33" s="76"/>
      <c r="C33" s="21"/>
      <c r="E33" s="450">
        <v>45108</v>
      </c>
      <c r="F33" s="76"/>
      <c r="G33" s="21"/>
      <c r="I33" s="450">
        <v>45108</v>
      </c>
      <c r="J33" s="76"/>
      <c r="K33" s="21"/>
      <c r="M33" s="450">
        <v>45108</v>
      </c>
      <c r="N33" s="76"/>
      <c r="O33" s="21"/>
    </row>
    <row r="34" spans="1:15" ht="15">
      <c r="A34" s="450">
        <v>45139</v>
      </c>
      <c r="B34" s="76"/>
      <c r="C34" s="21"/>
      <c r="E34" s="450">
        <v>45139</v>
      </c>
      <c r="F34" s="76"/>
      <c r="G34" s="21"/>
      <c r="I34" s="450">
        <v>45139</v>
      </c>
      <c r="J34" s="76"/>
      <c r="K34" s="21"/>
      <c r="M34" s="450">
        <v>45139</v>
      </c>
      <c r="N34" s="76"/>
      <c r="O34" s="21"/>
    </row>
    <row r="35" spans="1:15" ht="15">
      <c r="A35" s="450">
        <v>45170</v>
      </c>
      <c r="B35" s="76"/>
      <c r="C35" s="21"/>
      <c r="E35" s="450">
        <v>45170</v>
      </c>
      <c r="F35" s="76"/>
      <c r="G35" s="21"/>
      <c r="I35" s="450">
        <v>45170</v>
      </c>
      <c r="J35" s="76"/>
      <c r="K35" s="21"/>
      <c r="M35" s="450">
        <v>45170</v>
      </c>
      <c r="N35" s="76"/>
      <c r="O35" s="21"/>
    </row>
    <row r="36" spans="1:15" ht="15">
      <c r="A36" s="450">
        <v>45200</v>
      </c>
      <c r="B36" s="76"/>
      <c r="C36" s="21"/>
      <c r="E36" s="450">
        <v>45200</v>
      </c>
      <c r="F36" s="76"/>
      <c r="G36" s="21"/>
      <c r="I36" s="450">
        <v>45200</v>
      </c>
      <c r="J36" s="76"/>
      <c r="K36" s="21"/>
      <c r="M36" s="450">
        <v>45200</v>
      </c>
      <c r="N36" s="76"/>
      <c r="O36" s="21"/>
    </row>
    <row r="37" spans="1:15" ht="15">
      <c r="A37" s="450">
        <v>45231</v>
      </c>
      <c r="B37" s="76"/>
      <c r="C37" s="21"/>
      <c r="E37" s="450">
        <v>45231</v>
      </c>
      <c r="F37" s="77"/>
      <c r="G37" s="21"/>
      <c r="I37" s="450">
        <v>45231</v>
      </c>
      <c r="J37" s="76"/>
      <c r="K37" s="21"/>
      <c r="M37" s="450">
        <v>45231</v>
      </c>
      <c r="N37" s="76"/>
      <c r="O37" s="21"/>
    </row>
    <row r="38" spans="1:15" ht="15.75" thickBot="1">
      <c r="A38" s="451">
        <v>45261</v>
      </c>
      <c r="B38" s="103"/>
      <c r="C38" s="27"/>
      <c r="E38" s="451">
        <v>45261</v>
      </c>
      <c r="F38" s="78"/>
      <c r="G38" s="27"/>
      <c r="I38" s="451">
        <v>45261</v>
      </c>
      <c r="J38" s="103"/>
      <c r="K38" s="27"/>
      <c r="M38" s="451">
        <v>45261</v>
      </c>
      <c r="N38" s="103"/>
      <c r="O38" s="27"/>
    </row>
    <row r="39" spans="1:15">
      <c r="B39" s="23"/>
      <c r="C39" s="23"/>
    </row>
    <row r="40" spans="1:15" ht="15" thickBot="1">
      <c r="B40" s="23"/>
      <c r="C40" s="23"/>
    </row>
    <row r="41" spans="1:15" ht="30.75" customHeight="1" thickBot="1">
      <c r="A41" s="995" t="str">
        <f>'10_UNIDADES_+_demandadas_2023'!A15</f>
        <v>Agência Reguladora de Serviços Públicos do Município</v>
      </c>
      <c r="B41" s="995"/>
      <c r="C41" s="995"/>
      <c r="E41" s="995" t="str">
        <f>'10_UNIDADES_+_demandadas_2023'!A16</f>
        <v>Subprefeitura Lapa</v>
      </c>
      <c r="F41" s="995"/>
      <c r="G41" s="995"/>
    </row>
    <row r="42" spans="1:15" ht="15.75" thickBot="1">
      <c r="A42" s="104" t="s">
        <v>7</v>
      </c>
      <c r="B42" s="19" t="s">
        <v>151</v>
      </c>
      <c r="C42" s="19" t="s">
        <v>152</v>
      </c>
      <c r="E42" s="18" t="s">
        <v>7</v>
      </c>
      <c r="F42" s="19" t="s">
        <v>151</v>
      </c>
      <c r="G42" s="19" t="s">
        <v>152</v>
      </c>
    </row>
    <row r="43" spans="1:15" ht="15">
      <c r="A43" s="449">
        <v>44927</v>
      </c>
      <c r="B43" s="75">
        <f>'10_UNIDADES_+_demandadas_2023'!M15</f>
        <v>68</v>
      </c>
      <c r="C43" s="81">
        <f>((B43-76)/76)*100</f>
        <v>-10.526315789473683</v>
      </c>
      <c r="E43" s="449">
        <v>44927</v>
      </c>
      <c r="F43" s="75">
        <f>'10_UNIDADES_+_demandadas_2023'!M16</f>
        <v>70</v>
      </c>
      <c r="G43" s="81">
        <f>((F43-55)/55)*100</f>
        <v>27.27272727272727</v>
      </c>
    </row>
    <row r="44" spans="1:15" ht="15">
      <c r="A44" s="450">
        <v>44958</v>
      </c>
      <c r="B44" s="76">
        <f>'10_UNIDADES_+_demandadas_2023'!L15</f>
        <v>99</v>
      </c>
      <c r="C44" s="21">
        <f>((B44-B43)/B43)*100</f>
        <v>45.588235294117645</v>
      </c>
      <c r="E44" s="450">
        <v>44958</v>
      </c>
      <c r="F44" s="76">
        <f>'10_UNIDADES_+_demandadas_2023'!L16</f>
        <v>71</v>
      </c>
      <c r="G44" s="21">
        <f>((F44-F43)/F43)*100</f>
        <v>1.4285714285714286</v>
      </c>
    </row>
    <row r="45" spans="1:15" ht="15">
      <c r="A45" s="450">
        <v>44986</v>
      </c>
      <c r="B45" s="76">
        <f>'10_UNIDADES_+_demandadas_2023'!K15</f>
        <v>140</v>
      </c>
      <c r="C45" s="21">
        <f>((B45-B44)/B44)*100</f>
        <v>41.414141414141412</v>
      </c>
      <c r="E45" s="450">
        <v>44986</v>
      </c>
      <c r="F45" s="76">
        <f>'10_UNIDADES_+_demandadas_2023'!K16</f>
        <v>140</v>
      </c>
      <c r="G45" s="21">
        <f>((F45-F44)/F44)*100</f>
        <v>97.183098591549296</v>
      </c>
    </row>
    <row r="46" spans="1:15" ht="15">
      <c r="A46" s="450">
        <v>45017</v>
      </c>
      <c r="B46" s="76"/>
      <c r="C46" s="21"/>
      <c r="E46" s="450">
        <v>45017</v>
      </c>
      <c r="F46" s="76"/>
      <c r="G46" s="21"/>
    </row>
    <row r="47" spans="1:15" ht="15">
      <c r="A47" s="450">
        <v>45047</v>
      </c>
      <c r="B47" s="76"/>
      <c r="C47" s="21"/>
      <c r="E47" s="450">
        <v>45047</v>
      </c>
      <c r="F47" s="76"/>
      <c r="G47" s="21"/>
    </row>
    <row r="48" spans="1:15" ht="15">
      <c r="A48" s="450">
        <v>45078</v>
      </c>
      <c r="B48" s="76"/>
      <c r="C48" s="21"/>
      <c r="E48" s="450">
        <v>45078</v>
      </c>
      <c r="F48" s="76"/>
      <c r="G48" s="21"/>
    </row>
    <row r="49" spans="1:7" ht="15">
      <c r="A49" s="450">
        <v>45108</v>
      </c>
      <c r="B49" s="76"/>
      <c r="C49" s="21"/>
      <c r="E49" s="450">
        <v>45108</v>
      </c>
      <c r="F49" s="76"/>
      <c r="G49" s="21"/>
    </row>
    <row r="50" spans="1:7" ht="15">
      <c r="A50" s="450">
        <v>45139</v>
      </c>
      <c r="B50" s="76"/>
      <c r="C50" s="21"/>
      <c r="E50" s="450">
        <v>45139</v>
      </c>
      <c r="F50" s="76"/>
      <c r="G50" s="21"/>
    </row>
    <row r="51" spans="1:7" ht="15">
      <c r="A51" s="450">
        <v>45170</v>
      </c>
      <c r="B51" s="76"/>
      <c r="C51" s="21"/>
      <c r="E51" s="450">
        <v>45170</v>
      </c>
      <c r="F51" s="76"/>
      <c r="G51" s="21"/>
    </row>
    <row r="52" spans="1:7" ht="15">
      <c r="A52" s="450">
        <v>45200</v>
      </c>
      <c r="B52" s="76"/>
      <c r="C52" s="21"/>
      <c r="E52" s="450">
        <v>45200</v>
      </c>
      <c r="F52" s="76"/>
      <c r="G52" s="21"/>
    </row>
    <row r="53" spans="1:7" ht="15">
      <c r="A53" s="450">
        <v>45231</v>
      </c>
      <c r="B53" s="76"/>
      <c r="C53" s="21"/>
      <c r="E53" s="450">
        <v>45231</v>
      </c>
      <c r="F53" s="76"/>
      <c r="G53" s="21"/>
    </row>
    <row r="54" spans="1:7" ht="15.75" thickBot="1">
      <c r="A54" s="451">
        <v>45261</v>
      </c>
      <c r="B54" s="103"/>
      <c r="C54" s="27"/>
      <c r="E54" s="451">
        <v>45261</v>
      </c>
      <c r="F54" s="78"/>
      <c r="G54" s="27"/>
    </row>
    <row r="55" spans="1:7">
      <c r="B55" s="23"/>
      <c r="C55" s="23"/>
    </row>
    <row r="56" spans="1:7">
      <c r="B56" s="23"/>
      <c r="C56" s="23"/>
    </row>
    <row r="57" spans="1:7">
      <c r="B57" s="23"/>
      <c r="C57" s="23"/>
    </row>
    <row r="58" spans="1:7">
      <c r="B58" s="23"/>
      <c r="C58" s="23"/>
    </row>
    <row r="59" spans="1:7">
      <c r="B59" s="23"/>
      <c r="C59" s="23"/>
    </row>
    <row r="60" spans="1:7" ht="15">
      <c r="A60" s="5"/>
    </row>
  </sheetData>
  <mergeCells count="10">
    <mergeCell ref="M9:O9"/>
    <mergeCell ref="A25:C25"/>
    <mergeCell ref="E25:G25"/>
    <mergeCell ref="I25:K25"/>
    <mergeCell ref="M25:O25"/>
    <mergeCell ref="A41:C41"/>
    <mergeCell ref="E41:G41"/>
    <mergeCell ref="A9:C9"/>
    <mergeCell ref="E9:G9"/>
    <mergeCell ref="I9:K9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workbookViewId="0"/>
  </sheetViews>
  <sheetFormatPr defaultColWidth="5.5703125" defaultRowHeight="14.25"/>
  <cols>
    <col min="1" max="1" width="52.42578125" style="23" customWidth="1"/>
    <col min="2" max="2" width="7.7109375" style="64" bestFit="1" customWidth="1"/>
    <col min="3" max="4" width="7.5703125" style="64" bestFit="1" customWidth="1"/>
    <col min="5" max="5" width="7.5703125" style="64" customWidth="1"/>
    <col min="6" max="6" width="9.140625" style="64" customWidth="1"/>
    <col min="7" max="7" width="3" style="23" customWidth="1"/>
    <col min="8" max="17" width="9.140625" style="23" customWidth="1"/>
    <col min="18" max="18" width="15.42578125" style="23" customWidth="1"/>
    <col min="19" max="222" width="9.140625" style="23" customWidth="1"/>
    <col min="223" max="223" width="58.28515625" style="23" customWidth="1"/>
    <col min="224" max="224" width="3.7109375" style="23" bestFit="1" customWidth="1"/>
    <col min="225" max="225" width="5.5703125" style="23" bestFit="1" customWidth="1"/>
    <col min="226" max="226" width="5.5703125" style="23" customWidth="1"/>
    <col min="227" max="16384" width="5.5703125" style="23"/>
  </cols>
  <sheetData>
    <row r="1" spans="1:18" ht="15">
      <c r="A1" s="51" t="s">
        <v>0</v>
      </c>
      <c r="B1" s="94"/>
      <c r="C1" s="94"/>
      <c r="D1" s="94"/>
      <c r="E1" s="94"/>
    </row>
    <row r="2" spans="1:18" ht="15">
      <c r="A2" s="5" t="s">
        <v>1</v>
      </c>
      <c r="B2" s="96"/>
      <c r="C2" s="96"/>
      <c r="D2" s="96"/>
      <c r="E2" s="96"/>
    </row>
    <row r="3" spans="1:18" ht="15">
      <c r="A3" s="5"/>
      <c r="B3" s="96"/>
      <c r="C3" s="96"/>
      <c r="D3" s="96"/>
      <c r="E3" s="96"/>
    </row>
    <row r="4" spans="1:18" ht="15">
      <c r="A4" s="5" t="s">
        <v>202</v>
      </c>
      <c r="B4" s="96"/>
      <c r="C4" s="96"/>
      <c r="D4" s="96"/>
      <c r="E4" s="96"/>
    </row>
    <row r="5" spans="1:18" ht="15" thickBot="1"/>
    <row r="6" spans="1:18" ht="15.75" thickBot="1">
      <c r="A6" s="657" t="s">
        <v>146</v>
      </c>
      <c r="B6" s="771">
        <v>44986</v>
      </c>
      <c r="C6" s="771">
        <v>44958</v>
      </c>
      <c r="D6" s="192">
        <v>44927</v>
      </c>
      <c r="E6" s="116" t="s">
        <v>3</v>
      </c>
      <c r="F6" s="106" t="s">
        <v>4</v>
      </c>
    </row>
    <row r="7" spans="1:18" ht="14.25" customHeight="1" thickBot="1">
      <c r="A7" s="802" t="s">
        <v>159</v>
      </c>
      <c r="B7" s="833">
        <v>886</v>
      </c>
      <c r="C7" s="133">
        <v>527</v>
      </c>
      <c r="D7" s="133">
        <v>564</v>
      </c>
      <c r="E7" s="183">
        <f>SUM(B7:D7)</f>
        <v>1977</v>
      </c>
      <c r="F7" s="184">
        <f>AVERAGE(B7:D7)</f>
        <v>659</v>
      </c>
      <c r="R7" s="63"/>
    </row>
    <row r="8" spans="1:18" ht="15" customHeight="1" thickBot="1">
      <c r="A8" s="802" t="s">
        <v>228</v>
      </c>
      <c r="B8" s="833">
        <v>573</v>
      </c>
      <c r="C8" s="133">
        <v>536</v>
      </c>
      <c r="D8" s="133">
        <v>545</v>
      </c>
      <c r="E8" s="183">
        <f t="shared" ref="E8:E16" si="0">SUM(B8:D8)</f>
        <v>1654</v>
      </c>
      <c r="F8" s="184">
        <f t="shared" ref="F8:F16" si="1">AVERAGE(B8:D8)</f>
        <v>551.33333333333337</v>
      </c>
      <c r="R8" s="63"/>
    </row>
    <row r="9" spans="1:18" ht="15.75" thickBot="1">
      <c r="A9" s="802" t="s">
        <v>158</v>
      </c>
      <c r="B9" s="833">
        <v>373</v>
      </c>
      <c r="C9" s="133">
        <v>318</v>
      </c>
      <c r="D9" s="133">
        <v>343</v>
      </c>
      <c r="E9" s="183">
        <f t="shared" si="0"/>
        <v>1034</v>
      </c>
      <c r="F9" s="184">
        <f t="shared" si="1"/>
        <v>344.66666666666669</v>
      </c>
      <c r="R9" s="63"/>
    </row>
    <row r="10" spans="1:18" ht="15.75" thickBot="1">
      <c r="A10" s="802" t="s">
        <v>433</v>
      </c>
      <c r="B10" s="833">
        <v>299</v>
      </c>
      <c r="C10" s="133">
        <v>330</v>
      </c>
      <c r="D10" s="133">
        <v>327</v>
      </c>
      <c r="E10" s="183">
        <f t="shared" si="0"/>
        <v>956</v>
      </c>
      <c r="F10" s="184">
        <f t="shared" si="1"/>
        <v>318.66666666666669</v>
      </c>
      <c r="R10" s="63"/>
    </row>
    <row r="11" spans="1:18" ht="15.75" thickBot="1">
      <c r="A11" s="802" t="s">
        <v>156</v>
      </c>
      <c r="B11" s="833">
        <v>306</v>
      </c>
      <c r="C11" s="133">
        <v>292</v>
      </c>
      <c r="D11" s="133">
        <v>328</v>
      </c>
      <c r="E11" s="183">
        <f t="shared" si="0"/>
        <v>926</v>
      </c>
      <c r="F11" s="184">
        <f t="shared" si="1"/>
        <v>308.66666666666669</v>
      </c>
      <c r="R11" s="63"/>
    </row>
    <row r="12" spans="1:18" ht="15" customHeight="1" thickBot="1">
      <c r="A12" s="802" t="s">
        <v>434</v>
      </c>
      <c r="B12" s="833">
        <v>318</v>
      </c>
      <c r="C12" s="133">
        <v>286</v>
      </c>
      <c r="D12" s="133">
        <v>247</v>
      </c>
      <c r="E12" s="183">
        <f t="shared" si="0"/>
        <v>851</v>
      </c>
      <c r="F12" s="184">
        <f t="shared" si="1"/>
        <v>283.66666666666669</v>
      </c>
      <c r="R12" s="63"/>
    </row>
    <row r="13" spans="1:18" ht="15.75" thickBot="1">
      <c r="A13" s="802" t="s">
        <v>162</v>
      </c>
      <c r="B13" s="833">
        <v>326</v>
      </c>
      <c r="C13" s="133">
        <v>377</v>
      </c>
      <c r="D13" s="133">
        <v>131</v>
      </c>
      <c r="E13" s="183">
        <f t="shared" si="0"/>
        <v>834</v>
      </c>
      <c r="F13" s="184">
        <f t="shared" si="1"/>
        <v>278</v>
      </c>
      <c r="R13" s="63"/>
    </row>
    <row r="14" spans="1:18" ht="15.75" thickBot="1">
      <c r="A14" s="802" t="s">
        <v>435</v>
      </c>
      <c r="B14" s="833">
        <v>333</v>
      </c>
      <c r="C14" s="133">
        <v>204</v>
      </c>
      <c r="D14" s="133">
        <v>140</v>
      </c>
      <c r="E14" s="183">
        <f t="shared" si="0"/>
        <v>677</v>
      </c>
      <c r="F14" s="184">
        <f t="shared" si="1"/>
        <v>225.66666666666666</v>
      </c>
      <c r="R14" s="63"/>
    </row>
    <row r="15" spans="1:18" ht="15.75" thickBot="1">
      <c r="A15" s="802" t="s">
        <v>436</v>
      </c>
      <c r="B15" s="833">
        <v>140</v>
      </c>
      <c r="C15" s="133">
        <v>99</v>
      </c>
      <c r="D15" s="133">
        <v>68</v>
      </c>
      <c r="E15" s="183">
        <f t="shared" si="0"/>
        <v>307</v>
      </c>
      <c r="F15" s="184">
        <f t="shared" si="1"/>
        <v>102.33333333333333</v>
      </c>
      <c r="R15" s="63"/>
    </row>
    <row r="16" spans="1:18" ht="15.75" thickBot="1">
      <c r="A16" s="802" t="s">
        <v>183</v>
      </c>
      <c r="B16" s="833">
        <v>140</v>
      </c>
      <c r="C16" s="133">
        <v>71</v>
      </c>
      <c r="D16" s="133">
        <v>70</v>
      </c>
      <c r="E16" s="774">
        <f t="shared" si="0"/>
        <v>281</v>
      </c>
      <c r="F16" s="775">
        <f t="shared" si="1"/>
        <v>93.666666666666671</v>
      </c>
      <c r="R16" s="63"/>
    </row>
    <row r="17" spans="1:7" ht="15.75" customHeight="1" thickBot="1">
      <c r="A17" s="191" t="s">
        <v>3</v>
      </c>
      <c r="B17" s="772">
        <f>SUM(B7:B16)</f>
        <v>3694</v>
      </c>
      <c r="C17" s="657">
        <f>SUM(C7:C16)</f>
        <v>3040</v>
      </c>
      <c r="D17" s="773">
        <f>SUM(D7:D16)</f>
        <v>2763</v>
      </c>
      <c r="E17" s="182">
        <f>SUM(E7:E16)</f>
        <v>9497</v>
      </c>
      <c r="F17" s="37">
        <f>AVERAGE(B17:D17)</f>
        <v>3165.6666666666665</v>
      </c>
    </row>
    <row r="18" spans="1:7" s="109" customFormat="1" ht="15">
      <c r="A18" s="107"/>
      <c r="B18" s="2"/>
      <c r="C18" s="2"/>
      <c r="D18" s="2"/>
      <c r="E18" s="2"/>
      <c r="F18" s="108"/>
    </row>
    <row r="19" spans="1:7" ht="57" customHeight="1">
      <c r="A19" s="110"/>
      <c r="B19" s="100"/>
      <c r="C19" s="100"/>
      <c r="D19" s="100"/>
      <c r="E19" s="100"/>
      <c r="F19" s="997"/>
      <c r="G19" s="997"/>
    </row>
    <row r="20" spans="1:7">
      <c r="A20" s="61"/>
      <c r="B20" s="101"/>
      <c r="C20" s="101"/>
      <c r="D20" s="101"/>
      <c r="E20" s="101"/>
    </row>
    <row r="21" spans="1:7" ht="82.5" customHeight="1">
      <c r="A21" s="110"/>
      <c r="B21" s="100"/>
      <c r="C21" s="100"/>
      <c r="D21" s="100"/>
      <c r="E21" s="100"/>
      <c r="F21" s="997"/>
      <c r="G21" s="997"/>
    </row>
    <row r="22" spans="1:7">
      <c r="A22" s="110"/>
      <c r="B22" s="100"/>
      <c r="C22" s="100"/>
      <c r="D22" s="100"/>
      <c r="E22" s="100"/>
    </row>
    <row r="23" spans="1:7" ht="66.75" customHeight="1">
      <c r="A23" s="110"/>
      <c r="B23" s="100"/>
      <c r="C23" s="100"/>
      <c r="D23" s="100"/>
      <c r="E23" s="100"/>
      <c r="F23" s="997"/>
      <c r="G23" s="997"/>
    </row>
    <row r="24" spans="1:7">
      <c r="A24" s="61"/>
      <c r="B24" s="101"/>
      <c r="C24" s="101"/>
      <c r="D24" s="101"/>
      <c r="E24" s="101"/>
    </row>
    <row r="25" spans="1:7">
      <c r="A25" s="59"/>
      <c r="B25" s="102"/>
      <c r="C25" s="102"/>
      <c r="D25" s="102"/>
      <c r="E25" s="102"/>
    </row>
  </sheetData>
  <mergeCells count="3">
    <mergeCell ref="F19:G19"/>
    <mergeCell ref="F21:G21"/>
    <mergeCell ref="F23:G23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F7:F16 B17:D17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1"/>
  <sheetViews>
    <sheetView zoomScaleNormal="100" workbookViewId="0"/>
  </sheetViews>
  <sheetFormatPr defaultColWidth="5.5703125" defaultRowHeight="14.25"/>
  <cols>
    <col min="1" max="1" width="58.28515625" style="23" customWidth="1"/>
    <col min="2" max="2" width="7.5703125" style="64" bestFit="1" customWidth="1"/>
    <col min="3" max="16" width="9.140625" style="23" customWidth="1"/>
    <col min="17" max="21" width="9.140625" style="57" customWidth="1"/>
    <col min="22" max="22" width="12" style="57" customWidth="1"/>
    <col min="23" max="23" width="9.140625" style="57" customWidth="1"/>
    <col min="24" max="24" width="12.85546875" style="57" customWidth="1"/>
    <col min="25" max="25" width="20.28515625" style="57" bestFit="1" customWidth="1"/>
    <col min="26" max="26" width="24.28515625" style="57" hidden="1" customWidth="1"/>
    <col min="27" max="27" width="9.140625" style="57" customWidth="1"/>
    <col min="28" max="235" width="9.140625" style="23" customWidth="1"/>
    <col min="236" max="236" width="58.28515625" style="23" customWidth="1"/>
    <col min="237" max="237" width="3.7109375" style="23" bestFit="1" customWidth="1"/>
    <col min="238" max="238" width="5.5703125" style="23" bestFit="1"/>
    <col min="239" max="16384" width="5.5703125" style="23"/>
  </cols>
  <sheetData>
    <row r="1" spans="1:15" ht="15">
      <c r="A1" s="393" t="s">
        <v>0</v>
      </c>
    </row>
    <row r="2" spans="1:15" ht="15">
      <c r="A2" s="5" t="s">
        <v>1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ht="15">
      <c r="A3" s="5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</row>
    <row r="4" spans="1:15" ht="15">
      <c r="A4" s="13" t="s">
        <v>443</v>
      </c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</row>
    <row r="5" spans="1:15" ht="15" thickBot="1"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</row>
    <row r="6" spans="1:15" ht="15">
      <c r="A6" s="755" t="s">
        <v>146</v>
      </c>
      <c r="B6" s="756">
        <v>44986</v>
      </c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</row>
    <row r="7" spans="1:15">
      <c r="A7" s="802" t="s">
        <v>159</v>
      </c>
      <c r="B7" s="833">
        <v>886</v>
      </c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39"/>
    </row>
    <row r="8" spans="1:15">
      <c r="A8" s="802" t="s">
        <v>228</v>
      </c>
      <c r="B8" s="833">
        <v>573</v>
      </c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</row>
    <row r="9" spans="1:15" ht="15" customHeight="1">
      <c r="A9" s="802" t="s">
        <v>158</v>
      </c>
      <c r="B9" s="833">
        <v>373</v>
      </c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</row>
    <row r="10" spans="1:15">
      <c r="A10" s="802" t="s">
        <v>435</v>
      </c>
      <c r="B10" s="833">
        <v>333</v>
      </c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</row>
    <row r="11" spans="1:15">
      <c r="A11" s="802" t="s">
        <v>162</v>
      </c>
      <c r="B11" s="833">
        <v>326</v>
      </c>
      <c r="C11" s="139"/>
      <c r="D11" s="139"/>
      <c r="E11" s="139"/>
      <c r="F11" s="139"/>
      <c r="G11" s="139"/>
      <c r="H11" s="139"/>
      <c r="I11" s="139"/>
      <c r="J11" s="139"/>
      <c r="K11" s="139"/>
      <c r="L11" s="139"/>
      <c r="M11" s="139"/>
      <c r="N11" s="139"/>
      <c r="O11" s="139"/>
    </row>
    <row r="12" spans="1:15">
      <c r="A12" s="802" t="s">
        <v>434</v>
      </c>
      <c r="B12" s="833">
        <v>318</v>
      </c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39"/>
    </row>
    <row r="13" spans="1:15" ht="15" customHeight="1">
      <c r="A13" s="802" t="s">
        <v>156</v>
      </c>
      <c r="B13" s="833">
        <v>306</v>
      </c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</row>
    <row r="14" spans="1:15">
      <c r="A14" s="802" t="s">
        <v>433</v>
      </c>
      <c r="B14" s="833">
        <v>299</v>
      </c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</row>
    <row r="15" spans="1:15">
      <c r="A15" s="802" t="s">
        <v>436</v>
      </c>
      <c r="B15" s="833">
        <v>140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</row>
    <row r="16" spans="1:15" ht="15" thickBot="1">
      <c r="A16" s="802" t="s">
        <v>183</v>
      </c>
      <c r="B16" s="833">
        <v>140</v>
      </c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</row>
    <row r="17" spans="1:31" ht="15.75" thickBot="1">
      <c r="A17" s="804" t="s">
        <v>3</v>
      </c>
      <c r="B17" s="776">
        <f>SUM(B7:B16)</f>
        <v>3694</v>
      </c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</row>
    <row r="18" spans="1:31" ht="15">
      <c r="A18" s="430"/>
      <c r="B18" s="431"/>
      <c r="C18" s="139"/>
      <c r="D18" s="139"/>
      <c r="E18" s="139"/>
      <c r="F18" s="139"/>
      <c r="G18" s="139"/>
      <c r="H18" s="139"/>
      <c r="I18" s="139"/>
      <c r="J18" s="139"/>
      <c r="K18" s="139"/>
      <c r="L18" s="139"/>
      <c r="M18" s="139"/>
      <c r="N18" s="139"/>
      <c r="O18" s="139"/>
      <c r="P18" s="139"/>
    </row>
    <row r="19" spans="1:31">
      <c r="A19" s="394" t="s">
        <v>349</v>
      </c>
      <c r="B19" s="395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275"/>
      <c r="P19" s="275"/>
      <c r="Q19" s="275"/>
      <c r="R19" s="275"/>
      <c r="S19" s="275"/>
      <c r="T19" s="275"/>
      <c r="U19" s="139"/>
      <c r="V19" s="139"/>
      <c r="W19" s="139"/>
      <c r="X19" s="139"/>
      <c r="Y19" s="139"/>
      <c r="Z19" s="139"/>
      <c r="AA19" s="139"/>
    </row>
    <row r="20" spans="1:31" ht="15.75" customHeight="1">
      <c r="A20" s="396"/>
      <c r="B20" s="397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39"/>
      <c r="N20" s="139"/>
      <c r="O20" s="275"/>
      <c r="P20" s="275"/>
      <c r="Q20" s="275"/>
      <c r="R20" s="275"/>
      <c r="S20" s="275"/>
      <c r="T20" s="275"/>
      <c r="U20" s="137"/>
      <c r="V20" s="137"/>
      <c r="W20" s="137"/>
      <c r="X20" s="137"/>
      <c r="Y20" s="137"/>
      <c r="Z20" s="139"/>
      <c r="AA20" s="139"/>
    </row>
    <row r="21" spans="1:31">
      <c r="A21" s="394"/>
      <c r="B21" s="395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275"/>
      <c r="P21" s="275"/>
      <c r="Q21" s="275"/>
      <c r="R21" s="275"/>
      <c r="S21" s="275"/>
      <c r="T21" s="275"/>
      <c r="U21" s="137"/>
      <c r="V21" s="137"/>
      <c r="W21" s="137"/>
      <c r="X21" s="137"/>
      <c r="Y21" s="137"/>
      <c r="Z21" s="139"/>
      <c r="AA21" s="139"/>
      <c r="AB21" s="275"/>
    </row>
    <row r="22" spans="1:31" s="275" customFormat="1" ht="15" customHeight="1">
      <c r="A22" s="413"/>
      <c r="B22" s="410" t="str">
        <f>A7</f>
        <v>Secretaria Municipal de Assistência e Desenvolvimento Social</v>
      </c>
      <c r="C22" s="410" t="str">
        <f>A8</f>
        <v>Secretaria Municipal das Subprefeituras</v>
      </c>
      <c r="D22" s="410" t="str">
        <f>A9</f>
        <v>Secretaria Municipal da Saúde</v>
      </c>
      <c r="E22" s="410" t="str">
        <f>A10</f>
        <v>São Paulo Transportes</v>
      </c>
      <c r="F22" s="410" t="str">
        <f>A11</f>
        <v>Secretaria Municipal de Educação</v>
      </c>
      <c r="G22" s="410" t="str">
        <f>A12</f>
        <v>Secretaria Executiva de Limpeza Urbana</v>
      </c>
      <c r="H22" s="410" t="str">
        <f>A13</f>
        <v>Secretaria Municipal da Fazenda</v>
      </c>
      <c r="I22" s="410" t="str">
        <f>A14</f>
        <v>Companhia de Engenharia de Tráfego</v>
      </c>
      <c r="J22" s="410" t="str">
        <f>A15</f>
        <v>Agência Reguladora de Serviços Públicos do Município</v>
      </c>
      <c r="K22" s="410" t="str">
        <f>A16</f>
        <v>Subprefeitura Lapa</v>
      </c>
      <c r="L22" s="410" t="s">
        <v>3</v>
      </c>
      <c r="M22" s="410"/>
      <c r="N22" s="139"/>
    </row>
    <row r="23" spans="1:31" s="275" customFormat="1">
      <c r="A23" s="394"/>
      <c r="B23" s="410">
        <f>B7</f>
        <v>886</v>
      </c>
      <c r="C23" s="410">
        <f>B8</f>
        <v>573</v>
      </c>
      <c r="D23" s="410">
        <f>B9</f>
        <v>373</v>
      </c>
      <c r="E23" s="410">
        <f>B10</f>
        <v>333</v>
      </c>
      <c r="F23" s="410">
        <f>B11</f>
        <v>326</v>
      </c>
      <c r="G23" s="410">
        <f>B12</f>
        <v>318</v>
      </c>
      <c r="H23" s="410">
        <f>B13</f>
        <v>306</v>
      </c>
      <c r="I23" s="410">
        <f>B14</f>
        <v>299</v>
      </c>
      <c r="J23" s="410">
        <f>B15</f>
        <v>140</v>
      </c>
      <c r="K23" s="410">
        <f>B16</f>
        <v>140</v>
      </c>
      <c r="L23" s="411"/>
      <c r="M23" s="410"/>
      <c r="N23" s="139"/>
      <c r="S23" s="842"/>
      <c r="T23" s="638"/>
      <c r="U23" s="638"/>
      <c r="V23" s="638"/>
      <c r="W23" s="638"/>
      <c r="X23" s="638"/>
      <c r="Y23" s="638"/>
      <c r="Z23" s="843"/>
      <c r="AA23" s="638"/>
      <c r="AB23" s="638"/>
      <c r="AC23" s="638"/>
      <c r="AD23" s="638"/>
      <c r="AE23" s="844"/>
    </row>
    <row r="24" spans="1:31" s="275" customFormat="1" ht="16.5" customHeight="1">
      <c r="A24" s="396"/>
      <c r="B24" s="410"/>
      <c r="C24" s="410"/>
      <c r="D24" s="410"/>
      <c r="E24" s="410"/>
      <c r="F24" s="410"/>
      <c r="G24" s="410"/>
      <c r="H24" s="410"/>
      <c r="I24" s="410"/>
      <c r="J24" s="410"/>
      <c r="K24" s="410"/>
      <c r="L24" s="411"/>
      <c r="M24" s="410"/>
      <c r="N24" s="139"/>
      <c r="S24" s="842"/>
      <c r="T24" s="638"/>
      <c r="U24" s="638"/>
      <c r="V24" s="638"/>
      <c r="W24" s="638"/>
      <c r="X24" s="638"/>
      <c r="Y24" s="638"/>
      <c r="Z24" s="843"/>
      <c r="AA24" s="638"/>
      <c r="AB24" s="638"/>
      <c r="AC24" s="638"/>
      <c r="AD24" s="638"/>
      <c r="AE24" s="844"/>
    </row>
    <row r="25" spans="1:31" s="275" customFormat="1">
      <c r="A25" s="394"/>
      <c r="B25" s="410"/>
      <c r="C25" s="410"/>
      <c r="D25" s="410"/>
      <c r="E25" s="410"/>
      <c r="F25" s="410"/>
      <c r="G25" s="410"/>
      <c r="H25" s="410"/>
      <c r="I25" s="410"/>
      <c r="J25" s="410"/>
      <c r="K25" s="410"/>
      <c r="L25" s="411">
        <v>5517</v>
      </c>
      <c r="M25" s="410"/>
      <c r="N25" s="139"/>
      <c r="S25" s="842"/>
      <c r="T25" s="638"/>
      <c r="U25" s="638"/>
      <c r="V25" s="638"/>
      <c r="W25" s="638"/>
      <c r="X25" s="638"/>
      <c r="Y25" s="638"/>
      <c r="Z25" s="843"/>
      <c r="AA25" s="638"/>
      <c r="AB25" s="638"/>
      <c r="AC25" s="638"/>
      <c r="AD25" s="638"/>
      <c r="AE25" s="844"/>
    </row>
    <row r="26" spans="1:31" s="275" customFormat="1" ht="15">
      <c r="A26" s="137"/>
      <c r="B26" s="138"/>
      <c r="C26" s="137"/>
      <c r="D26" s="137"/>
      <c r="E26" s="137"/>
      <c r="F26" s="137"/>
      <c r="G26" s="137"/>
      <c r="H26" s="841"/>
      <c r="I26" s="137"/>
      <c r="J26" s="137"/>
      <c r="K26" s="137"/>
      <c r="L26" s="137"/>
      <c r="M26" s="137"/>
      <c r="S26" s="842"/>
      <c r="T26" s="638"/>
      <c r="U26" s="638"/>
      <c r="V26" s="638"/>
      <c r="W26" s="638"/>
      <c r="X26" s="638"/>
      <c r="Y26" s="638"/>
      <c r="Z26" s="843"/>
      <c r="AA26" s="638"/>
      <c r="AB26" s="638"/>
      <c r="AC26" s="638"/>
      <c r="AD26" s="638"/>
      <c r="AE26" s="844"/>
    </row>
    <row r="27" spans="1:31">
      <c r="A27" s="757"/>
      <c r="B27" s="758"/>
      <c r="C27" s="757"/>
      <c r="D27" s="757"/>
      <c r="E27" s="757"/>
      <c r="F27" s="757"/>
      <c r="G27" s="757"/>
      <c r="H27" s="757"/>
      <c r="I27" s="757"/>
      <c r="J27" s="757"/>
      <c r="K27" s="757"/>
      <c r="L27" s="757"/>
      <c r="M27" s="757"/>
      <c r="N27" s="137"/>
      <c r="O27" s="137"/>
      <c r="P27" s="137"/>
      <c r="Q27" s="137"/>
      <c r="R27" s="137"/>
      <c r="S27" s="703"/>
      <c r="T27" s="138"/>
      <c r="U27" s="138"/>
      <c r="V27" s="138"/>
      <c r="W27" s="138"/>
      <c r="X27" s="138"/>
      <c r="Y27" s="138"/>
      <c r="Z27" s="704"/>
      <c r="AA27" s="138"/>
      <c r="AB27" s="638"/>
      <c r="AC27" s="64"/>
      <c r="AD27" s="64"/>
      <c r="AE27" s="65"/>
    </row>
    <row r="28" spans="1:31">
      <c r="A28" s="922"/>
      <c r="B28" s="758"/>
      <c r="C28" s="757"/>
      <c r="D28" s="757"/>
      <c r="E28" s="757"/>
      <c r="F28" s="757"/>
      <c r="G28" s="757"/>
      <c r="H28" s="757"/>
      <c r="I28" s="757"/>
      <c r="J28" s="757"/>
      <c r="K28" s="757"/>
      <c r="L28" s="757"/>
      <c r="M28" s="757"/>
      <c r="N28" s="137"/>
      <c r="O28" s="137"/>
      <c r="P28" s="137"/>
      <c r="Q28" s="137"/>
      <c r="R28" s="137"/>
      <c r="S28" s="703"/>
      <c r="T28" s="138"/>
      <c r="U28" s="138"/>
      <c r="V28" s="138"/>
      <c r="W28" s="138"/>
      <c r="X28" s="138"/>
      <c r="Y28" s="138"/>
      <c r="Z28" s="704"/>
      <c r="AA28" s="138"/>
      <c r="AB28" s="638"/>
      <c r="AC28" s="64"/>
      <c r="AD28" s="64"/>
      <c r="AE28" s="65"/>
    </row>
    <row r="29" spans="1:31">
      <c r="A29" s="137"/>
      <c r="B29" s="138"/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7"/>
      <c r="R29" s="137"/>
      <c r="S29" s="703"/>
      <c r="T29" s="138"/>
      <c r="U29" s="138"/>
      <c r="V29" s="138"/>
      <c r="W29" s="138"/>
      <c r="X29" s="138"/>
      <c r="Y29" s="138"/>
      <c r="Z29" s="704"/>
      <c r="AA29" s="138"/>
      <c r="AB29" s="638"/>
      <c r="AC29" s="64"/>
      <c r="AD29" s="64"/>
      <c r="AE29" s="65"/>
    </row>
    <row r="30" spans="1:31">
      <c r="A30" s="137"/>
      <c r="B30" s="138"/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7"/>
      <c r="R30" s="137"/>
      <c r="S30" s="703"/>
      <c r="T30" s="138"/>
      <c r="U30" s="138"/>
      <c r="V30" s="138"/>
      <c r="W30" s="138"/>
      <c r="X30" s="138"/>
      <c r="Y30" s="138"/>
      <c r="Z30" s="704"/>
      <c r="AA30" s="138"/>
      <c r="AB30" s="638"/>
      <c r="AC30" s="64"/>
      <c r="AD30" s="64"/>
      <c r="AE30" s="65"/>
    </row>
    <row r="31" spans="1:31">
      <c r="A31" s="137"/>
      <c r="B31" s="138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703"/>
      <c r="T31" s="138"/>
      <c r="U31" s="138"/>
      <c r="V31" s="138"/>
      <c r="W31" s="138"/>
      <c r="X31" s="138"/>
      <c r="Y31" s="138"/>
      <c r="Z31" s="704"/>
      <c r="AA31" s="138"/>
      <c r="AB31" s="638"/>
      <c r="AC31" s="64"/>
      <c r="AD31" s="64"/>
      <c r="AE31" s="65"/>
    </row>
    <row r="32" spans="1:31">
      <c r="A32" s="137"/>
      <c r="B32" s="138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703"/>
      <c r="T32" s="138"/>
      <c r="U32" s="138"/>
      <c r="V32" s="138"/>
      <c r="W32" s="138"/>
      <c r="X32" s="138"/>
      <c r="Y32" s="138"/>
      <c r="Z32" s="704"/>
      <c r="AA32" s="138"/>
      <c r="AB32" s="111"/>
      <c r="AC32" s="64"/>
      <c r="AD32" s="64"/>
      <c r="AE32" s="65"/>
    </row>
    <row r="33" spans="1:28">
      <c r="A33" s="137"/>
      <c r="B33" s="138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57"/>
    </row>
    <row r="34" spans="1:28">
      <c r="A34" s="137"/>
      <c r="B34" s="138"/>
      <c r="C34" s="137"/>
      <c r="D34" s="137"/>
      <c r="E34" s="137"/>
      <c r="F34" s="137"/>
      <c r="G34" s="137"/>
      <c r="H34" s="137"/>
      <c r="I34" s="137"/>
      <c r="J34" s="137"/>
      <c r="K34" s="137"/>
      <c r="L34" s="137"/>
      <c r="M34" s="137"/>
      <c r="N34" s="137"/>
      <c r="O34" s="137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57"/>
    </row>
    <row r="35" spans="1:28">
      <c r="A35" s="139"/>
      <c r="B35" s="140"/>
      <c r="C35" s="139"/>
      <c r="D35" s="139"/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7"/>
      <c r="V35" s="137"/>
      <c r="W35" s="137"/>
      <c r="X35" s="137"/>
      <c r="Y35" s="137"/>
      <c r="Z35" s="275"/>
      <c r="AA35" s="275"/>
      <c r="AB35" s="57"/>
    </row>
    <row r="36" spans="1:28">
      <c r="A36" s="139"/>
      <c r="B36" s="140"/>
      <c r="C36" s="139"/>
      <c r="D36" s="139"/>
      <c r="E36" s="139"/>
      <c r="F36" s="139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7"/>
      <c r="V36" s="137"/>
      <c r="W36" s="137"/>
      <c r="X36" s="137"/>
      <c r="Y36" s="137"/>
      <c r="Z36" s="275"/>
      <c r="AA36" s="275"/>
      <c r="AB36" s="57"/>
    </row>
    <row r="37" spans="1:28">
      <c r="A37" s="139"/>
      <c r="B37" s="140"/>
      <c r="C37" s="139"/>
      <c r="D37" s="139"/>
      <c r="E37" s="139"/>
      <c r="F37" s="139"/>
      <c r="G37" s="139"/>
      <c r="H37" s="139"/>
      <c r="I37" s="139"/>
      <c r="J37" s="139"/>
      <c r="K37" s="139"/>
      <c r="L37" s="139"/>
      <c r="M37" s="139"/>
      <c r="N37" s="139"/>
      <c r="O37" s="139"/>
      <c r="P37" s="139"/>
      <c r="Q37" s="139"/>
      <c r="R37" s="139"/>
      <c r="S37" s="139"/>
      <c r="T37" s="139"/>
      <c r="U37" s="137"/>
      <c r="V37" s="137"/>
      <c r="W37" s="137"/>
      <c r="X37" s="137"/>
      <c r="Y37" s="137"/>
      <c r="Z37" s="275"/>
      <c r="AA37" s="275"/>
      <c r="AB37" s="57"/>
    </row>
    <row r="38" spans="1:28">
      <c r="A38" s="139"/>
      <c r="B38" s="140"/>
      <c r="C38" s="139"/>
      <c r="D38" s="139"/>
      <c r="E38" s="139"/>
      <c r="F38" s="139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7"/>
      <c r="V38" s="137"/>
      <c r="W38" s="137"/>
      <c r="X38" s="137"/>
      <c r="Y38" s="137"/>
      <c r="Z38" s="275"/>
      <c r="AA38" s="275"/>
      <c r="AB38" s="57"/>
    </row>
    <row r="39" spans="1:28">
      <c r="A39" s="139"/>
      <c r="B39" s="140"/>
      <c r="C39" s="139"/>
      <c r="D39" s="139"/>
      <c r="E39" s="139"/>
      <c r="F39" s="139"/>
      <c r="G39" s="139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7"/>
      <c r="V39" s="137"/>
      <c r="W39" s="137"/>
      <c r="X39" s="137"/>
      <c r="Y39" s="137"/>
      <c r="Z39" s="275"/>
      <c r="AA39" s="275"/>
      <c r="AB39" s="57"/>
    </row>
    <row r="40" spans="1:28">
      <c r="A40" s="137"/>
      <c r="B40" s="138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275"/>
      <c r="AA40" s="275"/>
    </row>
    <row r="41" spans="1:28">
      <c r="A41" s="137"/>
      <c r="B41" s="138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275"/>
      <c r="AA41" s="275"/>
    </row>
  </sheetData>
  <pageMargins left="0.511811024" right="0.511811024" top="0.78740157499999996" bottom="0.78740157499999996" header="0.31496062000000002" footer="0.31496062000000002"/>
  <ignoredErrors>
    <ignoredError sqref="B17" formulaRange="1"/>
  </ignoredError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"/>
  <sheetViews>
    <sheetView zoomScaleNormal="100" workbookViewId="0"/>
  </sheetViews>
  <sheetFormatPr defaultRowHeight="15"/>
  <cols>
    <col min="1" max="1" width="24.85546875" style="114" customWidth="1"/>
    <col min="2" max="3" width="6.85546875" bestFit="1" customWidth="1"/>
    <col min="4" max="4" width="6.42578125" bestFit="1" customWidth="1"/>
    <col min="5" max="5" width="6.140625" style="39" bestFit="1" customWidth="1"/>
    <col min="6" max="6" width="7" style="112" bestFit="1" customWidth="1"/>
    <col min="7" max="7" width="5.85546875" style="112" bestFit="1" customWidth="1"/>
    <col min="8" max="8" width="6.42578125" style="112" bestFit="1" customWidth="1"/>
    <col min="9" max="9" width="7" style="112" bestFit="1" customWidth="1"/>
    <col min="10" max="10" width="6.5703125" style="113" bestFit="1" customWidth="1"/>
    <col min="11" max="11" width="7.140625" style="112" bestFit="1" customWidth="1"/>
    <col min="12" max="12" width="6.28515625" style="112" bestFit="1" customWidth="1"/>
    <col min="13" max="13" width="6.42578125" bestFit="1" customWidth="1"/>
    <col min="14" max="14" width="6.7109375" bestFit="1" customWidth="1"/>
    <col min="15" max="15" width="7.140625" style="17" bestFit="1" customWidth="1"/>
    <col min="16" max="16" width="13.7109375" customWidth="1"/>
  </cols>
  <sheetData>
    <row r="1" spans="1:16">
      <c r="A1" s="93" t="s">
        <v>0</v>
      </c>
      <c r="B1" s="51"/>
      <c r="C1" s="51"/>
      <c r="D1" s="51"/>
      <c r="E1" s="52"/>
      <c r="F1" s="94"/>
      <c r="G1" s="94"/>
    </row>
    <row r="2" spans="1:16">
      <c r="A2" s="95" t="s">
        <v>1</v>
      </c>
      <c r="B2" s="5"/>
      <c r="C2" s="5"/>
      <c r="D2" s="5"/>
      <c r="E2" s="54"/>
      <c r="F2" s="96"/>
      <c r="G2" s="96"/>
    </row>
    <row r="3" spans="1:16" ht="15.75" thickBot="1"/>
    <row r="4" spans="1:16" ht="52.5" thickBot="1">
      <c r="A4" s="357" t="s">
        <v>146</v>
      </c>
      <c r="B4" s="420">
        <v>45261</v>
      </c>
      <c r="C4" s="421">
        <v>45231</v>
      </c>
      <c r="D4" s="422">
        <v>45200</v>
      </c>
      <c r="E4" s="423">
        <v>45170</v>
      </c>
      <c r="F4" s="421">
        <v>45139</v>
      </c>
      <c r="G4" s="422">
        <v>45108</v>
      </c>
      <c r="H4" s="420">
        <v>45078</v>
      </c>
      <c r="I4" s="420">
        <v>45047</v>
      </c>
      <c r="J4" s="420">
        <v>45017</v>
      </c>
      <c r="K4" s="420">
        <v>44986</v>
      </c>
      <c r="L4" s="420">
        <v>44958</v>
      </c>
      <c r="M4" s="807">
        <v>44927</v>
      </c>
      <c r="N4" s="188" t="s">
        <v>3</v>
      </c>
      <c r="O4" s="189" t="s">
        <v>4</v>
      </c>
      <c r="P4" s="419" t="s">
        <v>233</v>
      </c>
    </row>
    <row r="5" spans="1:16">
      <c r="A5" s="805" t="s">
        <v>407</v>
      </c>
      <c r="B5" s="710"/>
      <c r="C5" s="305"/>
      <c r="D5" s="305"/>
      <c r="E5" s="305"/>
      <c r="F5" s="305"/>
      <c r="G5" s="305"/>
      <c r="H5" s="305"/>
      <c r="I5" s="305"/>
      <c r="J5" s="305"/>
      <c r="K5" s="833">
        <v>40</v>
      </c>
      <c r="L5" s="305">
        <v>24</v>
      </c>
      <c r="M5" s="845">
        <v>24</v>
      </c>
      <c r="N5" s="452">
        <f>SUM(B5:M5)</f>
        <v>88</v>
      </c>
      <c r="O5" s="173">
        <f>AVERAGE(B5:M5)</f>
        <v>29.333333333333332</v>
      </c>
      <c r="P5" s="398">
        <f>N5/$N$37*100</f>
        <v>2.4739949395558054</v>
      </c>
    </row>
    <row r="6" spans="1:16">
      <c r="A6" s="802" t="s">
        <v>400</v>
      </c>
      <c r="B6" s="709"/>
      <c r="C6" s="133"/>
      <c r="D6" s="133"/>
      <c r="E6" s="133"/>
      <c r="F6" s="133"/>
      <c r="G6" s="133"/>
      <c r="H6" s="133"/>
      <c r="I6" s="133"/>
      <c r="J6" s="133"/>
      <c r="K6" s="833">
        <v>66</v>
      </c>
      <c r="L6" s="133">
        <v>57</v>
      </c>
      <c r="M6" s="846">
        <v>52</v>
      </c>
      <c r="N6" s="453">
        <f t="shared" ref="N6:N36" si="0">SUM(B6:M6)</f>
        <v>175</v>
      </c>
      <c r="O6" s="172">
        <f t="shared" ref="O6:O37" si="1">AVERAGE(B6:M6)</f>
        <v>58.333333333333336</v>
      </c>
      <c r="P6" s="399">
        <f t="shared" ref="P6:P36" si="2">N6/$N$37*100</f>
        <v>4.9198763002530228</v>
      </c>
    </row>
    <row r="7" spans="1:16">
      <c r="A7" s="802" t="s">
        <v>398</v>
      </c>
      <c r="B7" s="709"/>
      <c r="C7" s="133"/>
      <c r="D7" s="133"/>
      <c r="E7" s="133"/>
      <c r="F7" s="133"/>
      <c r="G7" s="133"/>
      <c r="H7" s="133"/>
      <c r="I7" s="133"/>
      <c r="J7" s="133"/>
      <c r="K7" s="833">
        <v>36</v>
      </c>
      <c r="L7" s="133">
        <v>48</v>
      </c>
      <c r="M7" s="846">
        <v>62</v>
      </c>
      <c r="N7" s="453">
        <f t="shared" si="0"/>
        <v>146</v>
      </c>
      <c r="O7" s="172">
        <f t="shared" si="1"/>
        <v>48.666666666666664</v>
      </c>
      <c r="P7" s="399">
        <f t="shared" si="2"/>
        <v>4.1045825133539502</v>
      </c>
    </row>
    <row r="8" spans="1:16">
      <c r="A8" s="802" t="s">
        <v>408</v>
      </c>
      <c r="B8" s="709"/>
      <c r="C8" s="133"/>
      <c r="D8" s="133"/>
      <c r="E8" s="133"/>
      <c r="F8" s="133"/>
      <c r="G8" s="133"/>
      <c r="H8" s="133"/>
      <c r="I8" s="133"/>
      <c r="J8" s="133"/>
      <c r="K8" s="833">
        <v>50</v>
      </c>
      <c r="L8" s="133">
        <v>32</v>
      </c>
      <c r="M8" s="846">
        <v>29</v>
      </c>
      <c r="N8" s="453">
        <f t="shared" si="0"/>
        <v>111</v>
      </c>
      <c r="O8" s="172">
        <f t="shared" si="1"/>
        <v>37</v>
      </c>
      <c r="P8" s="399">
        <f t="shared" si="2"/>
        <v>3.1206072533033455</v>
      </c>
    </row>
    <row r="9" spans="1:16">
      <c r="A9" s="802" t="s">
        <v>409</v>
      </c>
      <c r="B9" s="709"/>
      <c r="C9" s="133"/>
      <c r="D9" s="146"/>
      <c r="E9" s="133"/>
      <c r="F9" s="133"/>
      <c r="G9" s="146"/>
      <c r="H9" s="133"/>
      <c r="I9" s="146"/>
      <c r="J9" s="133"/>
      <c r="K9" s="833">
        <v>40</v>
      </c>
      <c r="L9" s="133">
        <v>43</v>
      </c>
      <c r="M9" s="846">
        <v>25</v>
      </c>
      <c r="N9" s="453">
        <f t="shared" si="0"/>
        <v>108</v>
      </c>
      <c r="O9" s="172">
        <f t="shared" si="1"/>
        <v>36</v>
      </c>
      <c r="P9" s="399">
        <f t="shared" si="2"/>
        <v>3.0362665167275793</v>
      </c>
    </row>
    <row r="10" spans="1:16">
      <c r="A10" s="802" t="s">
        <v>410</v>
      </c>
      <c r="B10" s="709"/>
      <c r="C10" s="133"/>
      <c r="D10" s="133"/>
      <c r="E10" s="133"/>
      <c r="F10" s="133"/>
      <c r="G10" s="133"/>
      <c r="H10" s="133"/>
      <c r="I10" s="133"/>
      <c r="J10" s="133"/>
      <c r="K10" s="833">
        <v>37</v>
      </c>
      <c r="L10" s="133">
        <v>43</v>
      </c>
      <c r="M10" s="846">
        <v>41</v>
      </c>
      <c r="N10" s="453">
        <f t="shared" si="0"/>
        <v>121</v>
      </c>
      <c r="O10" s="172">
        <f t="shared" si="1"/>
        <v>40.333333333333336</v>
      </c>
      <c r="P10" s="399">
        <f t="shared" si="2"/>
        <v>3.4017430418892323</v>
      </c>
    </row>
    <row r="11" spans="1:16">
      <c r="A11" s="802" t="s">
        <v>411</v>
      </c>
      <c r="B11" s="709"/>
      <c r="C11" s="133"/>
      <c r="D11" s="133"/>
      <c r="E11" s="133"/>
      <c r="F11" s="133"/>
      <c r="G11" s="133"/>
      <c r="H11" s="133"/>
      <c r="I11" s="133"/>
      <c r="J11" s="133"/>
      <c r="K11" s="833">
        <v>7</v>
      </c>
      <c r="L11" s="133">
        <v>6</v>
      </c>
      <c r="M11" s="846">
        <v>6</v>
      </c>
      <c r="N11" s="453">
        <f t="shared" si="0"/>
        <v>19</v>
      </c>
      <c r="O11" s="172">
        <f t="shared" si="1"/>
        <v>6.333333333333333</v>
      </c>
      <c r="P11" s="399">
        <f t="shared" si="2"/>
        <v>0.53415799831318522</v>
      </c>
    </row>
    <row r="12" spans="1:16">
      <c r="A12" s="802" t="s">
        <v>412</v>
      </c>
      <c r="B12" s="709"/>
      <c r="C12" s="133"/>
      <c r="D12" s="133"/>
      <c r="E12" s="133"/>
      <c r="F12" s="133"/>
      <c r="G12" s="133"/>
      <c r="H12" s="133"/>
      <c r="I12" s="133"/>
      <c r="J12" s="133"/>
      <c r="K12" s="833">
        <v>10</v>
      </c>
      <c r="L12" s="133">
        <v>15</v>
      </c>
      <c r="M12" s="846">
        <v>14</v>
      </c>
      <c r="N12" s="453">
        <f t="shared" si="0"/>
        <v>39</v>
      </c>
      <c r="O12" s="172">
        <f t="shared" si="1"/>
        <v>13</v>
      </c>
      <c r="P12" s="399">
        <f t="shared" si="2"/>
        <v>1.0964295754849593</v>
      </c>
    </row>
    <row r="13" spans="1:16">
      <c r="A13" s="802" t="s">
        <v>413</v>
      </c>
      <c r="B13" s="709"/>
      <c r="C13" s="133"/>
      <c r="D13" s="133"/>
      <c r="E13" s="133"/>
      <c r="F13" s="133"/>
      <c r="G13" s="133"/>
      <c r="H13" s="133"/>
      <c r="I13" s="133"/>
      <c r="J13" s="133"/>
      <c r="K13" s="833">
        <v>20</v>
      </c>
      <c r="L13" s="133">
        <v>27</v>
      </c>
      <c r="M13" s="846">
        <v>22</v>
      </c>
      <c r="N13" s="453">
        <f t="shared" si="0"/>
        <v>69</v>
      </c>
      <c r="O13" s="172">
        <f t="shared" si="1"/>
        <v>23</v>
      </c>
      <c r="P13" s="399">
        <f t="shared" si="2"/>
        <v>1.9398369412426204</v>
      </c>
    </row>
    <row r="14" spans="1:16">
      <c r="A14" s="802" t="s">
        <v>414</v>
      </c>
      <c r="B14" s="709"/>
      <c r="C14" s="133"/>
      <c r="D14" s="133"/>
      <c r="E14" s="133"/>
      <c r="F14" s="133"/>
      <c r="G14" s="133"/>
      <c r="H14" s="133"/>
      <c r="I14" s="133"/>
      <c r="J14" s="133"/>
      <c r="K14" s="833">
        <v>10</v>
      </c>
      <c r="L14" s="133">
        <v>13</v>
      </c>
      <c r="M14" s="846">
        <v>10</v>
      </c>
      <c r="N14" s="453">
        <f t="shared" si="0"/>
        <v>33</v>
      </c>
      <c r="O14" s="172">
        <f t="shared" si="1"/>
        <v>11</v>
      </c>
      <c r="P14" s="399">
        <f t="shared" si="2"/>
        <v>0.92774810233342708</v>
      </c>
    </row>
    <row r="15" spans="1:16">
      <c r="A15" s="802" t="s">
        <v>415</v>
      </c>
      <c r="B15" s="709"/>
      <c r="C15" s="133"/>
      <c r="D15" s="133"/>
      <c r="E15" s="133"/>
      <c r="F15" s="133"/>
      <c r="G15" s="133"/>
      <c r="H15" s="133"/>
      <c r="I15" s="133"/>
      <c r="J15" s="133"/>
      <c r="K15" s="833">
        <v>43</v>
      </c>
      <c r="L15" s="133">
        <v>65</v>
      </c>
      <c r="M15" s="846">
        <v>41</v>
      </c>
      <c r="N15" s="453">
        <f t="shared" si="0"/>
        <v>149</v>
      </c>
      <c r="O15" s="172">
        <f t="shared" si="1"/>
        <v>49.666666666666664</v>
      </c>
      <c r="P15" s="399">
        <f t="shared" si="2"/>
        <v>4.188923249929716</v>
      </c>
    </row>
    <row r="16" spans="1:16">
      <c r="A16" s="802" t="s">
        <v>416</v>
      </c>
      <c r="B16" s="709"/>
      <c r="C16" s="133"/>
      <c r="D16" s="133"/>
      <c r="E16" s="133"/>
      <c r="F16" s="133"/>
      <c r="G16" s="133"/>
      <c r="H16" s="133"/>
      <c r="I16" s="133"/>
      <c r="J16" s="133"/>
      <c r="K16" s="833">
        <v>27</v>
      </c>
      <c r="L16" s="133">
        <v>35</v>
      </c>
      <c r="M16" s="846">
        <v>28</v>
      </c>
      <c r="N16" s="453">
        <f t="shared" si="0"/>
        <v>90</v>
      </c>
      <c r="O16" s="172">
        <f t="shared" si="1"/>
        <v>30</v>
      </c>
      <c r="P16" s="399">
        <f t="shared" si="2"/>
        <v>2.5302220972729828</v>
      </c>
    </row>
    <row r="17" spans="1:20">
      <c r="A17" s="802" t="s">
        <v>401</v>
      </c>
      <c r="B17" s="709"/>
      <c r="C17" s="133"/>
      <c r="D17" s="133"/>
      <c r="E17" s="133"/>
      <c r="F17" s="133"/>
      <c r="G17" s="133"/>
      <c r="H17" s="133"/>
      <c r="I17" s="133"/>
      <c r="J17" s="133"/>
      <c r="K17" s="833">
        <v>55</v>
      </c>
      <c r="L17" s="133">
        <v>47</v>
      </c>
      <c r="M17" s="846">
        <v>49</v>
      </c>
      <c r="N17" s="453">
        <f t="shared" si="0"/>
        <v>151</v>
      </c>
      <c r="O17" s="172">
        <f t="shared" si="1"/>
        <v>50.333333333333336</v>
      </c>
      <c r="P17" s="399">
        <f t="shared" si="2"/>
        <v>4.2451504076468938</v>
      </c>
    </row>
    <row r="18" spans="1:20">
      <c r="A18" s="802" t="s">
        <v>417</v>
      </c>
      <c r="B18" s="709"/>
      <c r="C18" s="133"/>
      <c r="D18" s="133"/>
      <c r="E18" s="133"/>
      <c r="F18" s="133"/>
      <c r="G18" s="133"/>
      <c r="H18" s="133"/>
      <c r="I18" s="133"/>
      <c r="J18" s="133"/>
      <c r="K18" s="833">
        <v>28</v>
      </c>
      <c r="L18" s="133">
        <v>18</v>
      </c>
      <c r="M18" s="846">
        <v>20</v>
      </c>
      <c r="N18" s="453">
        <f t="shared" si="0"/>
        <v>66</v>
      </c>
      <c r="O18" s="172">
        <f t="shared" si="1"/>
        <v>22</v>
      </c>
      <c r="P18" s="399">
        <f t="shared" si="2"/>
        <v>1.8554962046668542</v>
      </c>
    </row>
    <row r="19" spans="1:20">
      <c r="A19" s="802" t="s">
        <v>418</v>
      </c>
      <c r="B19" s="709"/>
      <c r="C19" s="133"/>
      <c r="D19" s="133"/>
      <c r="E19" s="133"/>
      <c r="F19" s="133"/>
      <c r="G19" s="133"/>
      <c r="H19" s="133"/>
      <c r="I19" s="133"/>
      <c r="J19" s="133"/>
      <c r="K19" s="833">
        <v>26</v>
      </c>
      <c r="L19" s="133">
        <v>17</v>
      </c>
      <c r="M19" s="846">
        <v>22</v>
      </c>
      <c r="N19" s="453">
        <f t="shared" si="0"/>
        <v>65</v>
      </c>
      <c r="O19" s="172">
        <f t="shared" si="1"/>
        <v>21.666666666666668</v>
      </c>
      <c r="P19" s="399">
        <f t="shared" si="2"/>
        <v>1.8273826258082653</v>
      </c>
      <c r="Q19" s="380"/>
      <c r="R19" s="382"/>
      <c r="S19" s="382"/>
      <c r="T19" s="381"/>
    </row>
    <row r="20" spans="1:20">
      <c r="A20" s="802" t="s">
        <v>397</v>
      </c>
      <c r="B20" s="709"/>
      <c r="C20" s="133"/>
      <c r="D20" s="133"/>
      <c r="E20" s="133"/>
      <c r="F20" s="133"/>
      <c r="G20" s="133"/>
      <c r="H20" s="133"/>
      <c r="I20" s="133"/>
      <c r="J20" s="133"/>
      <c r="K20" s="833">
        <v>140</v>
      </c>
      <c r="L20" s="133">
        <v>71</v>
      </c>
      <c r="M20" s="846">
        <v>70</v>
      </c>
      <c r="N20" s="453">
        <f t="shared" si="0"/>
        <v>281</v>
      </c>
      <c r="O20" s="172">
        <f t="shared" si="1"/>
        <v>93.666666666666671</v>
      </c>
      <c r="P20" s="399">
        <f t="shared" si="2"/>
        <v>7.8999156592634252</v>
      </c>
      <c r="Q20" s="380"/>
      <c r="R20" s="382"/>
      <c r="S20" s="382"/>
      <c r="T20" s="381"/>
    </row>
    <row r="21" spans="1:20">
      <c r="A21" s="802" t="s">
        <v>419</v>
      </c>
      <c r="B21" s="709"/>
      <c r="C21" s="133"/>
      <c r="D21" s="133"/>
      <c r="E21" s="133"/>
      <c r="F21" s="133"/>
      <c r="G21" s="133"/>
      <c r="H21" s="133"/>
      <c r="I21" s="133"/>
      <c r="J21" s="133"/>
      <c r="K21" s="833">
        <v>33</v>
      </c>
      <c r="L21" s="133">
        <v>23</v>
      </c>
      <c r="M21" s="846">
        <v>22</v>
      </c>
      <c r="N21" s="453">
        <f t="shared" si="0"/>
        <v>78</v>
      </c>
      <c r="O21" s="172">
        <f t="shared" si="1"/>
        <v>26</v>
      </c>
      <c r="P21" s="399">
        <f t="shared" si="2"/>
        <v>2.1928591509699187</v>
      </c>
      <c r="Q21" s="380"/>
      <c r="R21" s="382"/>
      <c r="S21" s="382"/>
      <c r="T21" s="381"/>
    </row>
    <row r="22" spans="1:20">
      <c r="A22" s="802" t="s">
        <v>399</v>
      </c>
      <c r="B22" s="709"/>
      <c r="C22" s="133"/>
      <c r="D22" s="133"/>
      <c r="E22" s="133"/>
      <c r="F22" s="133"/>
      <c r="G22" s="133"/>
      <c r="H22" s="133"/>
      <c r="I22" s="133"/>
      <c r="J22" s="133"/>
      <c r="K22" s="833">
        <v>75</v>
      </c>
      <c r="L22" s="133">
        <v>55</v>
      </c>
      <c r="M22" s="846">
        <v>53</v>
      </c>
      <c r="N22" s="453">
        <f t="shared" si="0"/>
        <v>183</v>
      </c>
      <c r="O22" s="172">
        <f t="shared" si="1"/>
        <v>61</v>
      </c>
      <c r="P22" s="399">
        <f t="shared" si="2"/>
        <v>5.1447849311217322</v>
      </c>
      <c r="Q22" s="380"/>
      <c r="R22" s="382"/>
      <c r="S22" s="382"/>
      <c r="T22" s="381"/>
    </row>
    <row r="23" spans="1:20">
      <c r="A23" s="802" t="s">
        <v>420</v>
      </c>
      <c r="B23" s="709"/>
      <c r="C23" s="133"/>
      <c r="D23" s="133"/>
      <c r="E23" s="133"/>
      <c r="F23" s="133"/>
      <c r="G23" s="133"/>
      <c r="H23" s="133"/>
      <c r="I23" s="133"/>
      <c r="J23" s="133"/>
      <c r="K23" s="833">
        <v>7</v>
      </c>
      <c r="L23" s="133">
        <v>16</v>
      </c>
      <c r="M23" s="846">
        <v>5</v>
      </c>
      <c r="N23" s="453">
        <f t="shared" si="0"/>
        <v>28</v>
      </c>
      <c r="O23" s="172">
        <f t="shared" si="1"/>
        <v>9.3333333333333339</v>
      </c>
      <c r="P23" s="399">
        <f t="shared" si="2"/>
        <v>0.78718020804048361</v>
      </c>
      <c r="Q23" s="383"/>
      <c r="R23" s="382"/>
      <c r="S23" s="382"/>
      <c r="T23" s="384"/>
    </row>
    <row r="24" spans="1:20">
      <c r="A24" s="802" t="s">
        <v>396</v>
      </c>
      <c r="B24" s="709"/>
      <c r="C24" s="133"/>
      <c r="D24" s="133"/>
      <c r="E24" s="133"/>
      <c r="F24" s="133"/>
      <c r="G24" s="133"/>
      <c r="H24" s="133"/>
      <c r="I24" s="133"/>
      <c r="J24" s="133"/>
      <c r="K24" s="833">
        <v>70</v>
      </c>
      <c r="L24" s="133">
        <v>52</v>
      </c>
      <c r="M24" s="846">
        <v>71</v>
      </c>
      <c r="N24" s="453">
        <f t="shared" si="0"/>
        <v>193</v>
      </c>
      <c r="O24" s="172">
        <f t="shared" si="1"/>
        <v>64.333333333333329</v>
      </c>
      <c r="P24" s="399">
        <f t="shared" si="2"/>
        <v>5.4259207197076185</v>
      </c>
      <c r="Q24" s="380"/>
      <c r="R24" s="382"/>
      <c r="S24" s="382"/>
      <c r="T24" s="381"/>
    </row>
    <row r="25" spans="1:20">
      <c r="A25" s="802" t="s">
        <v>421</v>
      </c>
      <c r="B25" s="709"/>
      <c r="C25" s="133"/>
      <c r="D25" s="133"/>
      <c r="E25" s="133"/>
      <c r="F25" s="133"/>
      <c r="G25" s="133"/>
      <c r="H25" s="133"/>
      <c r="I25" s="133"/>
      <c r="J25" s="133"/>
      <c r="K25" s="833">
        <v>14</v>
      </c>
      <c r="L25" s="133">
        <v>5</v>
      </c>
      <c r="M25" s="846">
        <v>10</v>
      </c>
      <c r="N25" s="453">
        <f t="shared" si="0"/>
        <v>29</v>
      </c>
      <c r="O25" s="172">
        <f t="shared" si="1"/>
        <v>9.6666666666666661</v>
      </c>
      <c r="P25" s="399">
        <f t="shared" si="2"/>
        <v>0.81529378689907217</v>
      </c>
      <c r="Q25" s="380"/>
      <c r="R25" s="382"/>
      <c r="S25" s="382"/>
      <c r="T25" s="381"/>
    </row>
    <row r="26" spans="1:20">
      <c r="A26" s="802" t="s">
        <v>403</v>
      </c>
      <c r="B26" s="709"/>
      <c r="C26" s="133"/>
      <c r="D26" s="133"/>
      <c r="E26" s="133"/>
      <c r="F26" s="133"/>
      <c r="G26" s="133"/>
      <c r="H26" s="133"/>
      <c r="I26" s="133"/>
      <c r="J26" s="133"/>
      <c r="K26" s="833">
        <v>51</v>
      </c>
      <c r="L26" s="133">
        <v>43</v>
      </c>
      <c r="M26" s="846">
        <v>47</v>
      </c>
      <c r="N26" s="453">
        <f t="shared" si="0"/>
        <v>141</v>
      </c>
      <c r="O26" s="172">
        <f t="shared" si="1"/>
        <v>47</v>
      </c>
      <c r="P26" s="399">
        <f t="shared" si="2"/>
        <v>3.9640146190610062</v>
      </c>
      <c r="Q26" s="380"/>
      <c r="R26" s="382"/>
      <c r="S26" s="382"/>
      <c r="T26" s="381"/>
    </row>
    <row r="27" spans="1:20">
      <c r="A27" s="802" t="s">
        <v>422</v>
      </c>
      <c r="B27" s="709"/>
      <c r="C27" s="133"/>
      <c r="D27" s="133"/>
      <c r="E27" s="133"/>
      <c r="F27" s="133"/>
      <c r="G27" s="133"/>
      <c r="H27" s="133"/>
      <c r="I27" s="133"/>
      <c r="J27" s="133"/>
      <c r="K27" s="833">
        <v>54</v>
      </c>
      <c r="L27" s="133">
        <v>52</v>
      </c>
      <c r="M27" s="846">
        <v>38</v>
      </c>
      <c r="N27" s="453">
        <f t="shared" si="0"/>
        <v>144</v>
      </c>
      <c r="O27" s="172">
        <f t="shared" si="1"/>
        <v>48</v>
      </c>
      <c r="P27" s="399">
        <f t="shared" si="2"/>
        <v>4.0483553556367724</v>
      </c>
      <c r="Q27" s="380"/>
      <c r="R27" s="382"/>
      <c r="S27" s="382"/>
      <c r="T27" s="381"/>
    </row>
    <row r="28" spans="1:20">
      <c r="A28" s="802" t="s">
        <v>423</v>
      </c>
      <c r="B28" s="709"/>
      <c r="C28" s="133"/>
      <c r="D28" s="133"/>
      <c r="E28" s="133"/>
      <c r="F28" s="133"/>
      <c r="G28" s="133"/>
      <c r="H28" s="133"/>
      <c r="I28" s="133"/>
      <c r="J28" s="133"/>
      <c r="K28" s="833">
        <v>57</v>
      </c>
      <c r="L28" s="133">
        <v>34</v>
      </c>
      <c r="M28" s="846">
        <v>42</v>
      </c>
      <c r="N28" s="453">
        <f t="shared" si="0"/>
        <v>133</v>
      </c>
      <c r="O28" s="172">
        <f t="shared" si="1"/>
        <v>44.333333333333336</v>
      </c>
      <c r="P28" s="399">
        <f t="shared" si="2"/>
        <v>3.7391059881922968</v>
      </c>
      <c r="Q28" s="380"/>
      <c r="R28" s="382"/>
      <c r="S28" s="382"/>
      <c r="T28" s="381"/>
    </row>
    <row r="29" spans="1:20">
      <c r="A29" s="802" t="s">
        <v>405</v>
      </c>
      <c r="B29" s="709"/>
      <c r="C29" s="133"/>
      <c r="D29" s="133"/>
      <c r="E29" s="133"/>
      <c r="F29" s="133"/>
      <c r="G29" s="133"/>
      <c r="H29" s="133"/>
      <c r="I29" s="133"/>
      <c r="J29" s="133"/>
      <c r="K29" s="833">
        <v>68</v>
      </c>
      <c r="L29" s="133">
        <v>51</v>
      </c>
      <c r="M29" s="846">
        <v>44</v>
      </c>
      <c r="N29" s="453">
        <f t="shared" si="0"/>
        <v>163</v>
      </c>
      <c r="O29" s="172">
        <f t="shared" si="1"/>
        <v>54.333333333333336</v>
      </c>
      <c r="P29" s="399">
        <f t="shared" si="2"/>
        <v>4.5825133539499578</v>
      </c>
      <c r="Q29" s="380"/>
      <c r="R29" s="382"/>
      <c r="S29" s="382"/>
      <c r="T29" s="381"/>
    </row>
    <row r="30" spans="1:20">
      <c r="A30" s="802" t="s">
        <v>424</v>
      </c>
      <c r="B30" s="709"/>
      <c r="C30" s="133"/>
      <c r="D30" s="133"/>
      <c r="E30" s="133"/>
      <c r="F30" s="133"/>
      <c r="G30" s="133"/>
      <c r="H30" s="133"/>
      <c r="I30" s="133"/>
      <c r="J30" s="133"/>
      <c r="K30" s="833">
        <v>27</v>
      </c>
      <c r="L30" s="133">
        <v>34</v>
      </c>
      <c r="M30" s="846">
        <v>32</v>
      </c>
      <c r="N30" s="453">
        <f t="shared" si="0"/>
        <v>93</v>
      </c>
      <c r="O30" s="172">
        <f t="shared" si="1"/>
        <v>31</v>
      </c>
      <c r="P30" s="399">
        <f t="shared" si="2"/>
        <v>2.614562833848749</v>
      </c>
      <c r="Q30" s="380"/>
      <c r="R30" s="382"/>
      <c r="S30" s="382"/>
      <c r="T30" s="381"/>
    </row>
    <row r="31" spans="1:20">
      <c r="A31" s="802" t="s">
        <v>425</v>
      </c>
      <c r="B31" s="709"/>
      <c r="C31" s="133"/>
      <c r="D31" s="133"/>
      <c r="E31" s="133"/>
      <c r="F31" s="133"/>
      <c r="G31" s="133"/>
      <c r="H31" s="133"/>
      <c r="I31" s="133"/>
      <c r="J31" s="133"/>
      <c r="K31" s="833">
        <v>17</v>
      </c>
      <c r="L31" s="133">
        <v>20</v>
      </c>
      <c r="M31" s="846">
        <v>10</v>
      </c>
      <c r="N31" s="453">
        <f t="shared" si="0"/>
        <v>47</v>
      </c>
      <c r="O31" s="172">
        <f t="shared" si="1"/>
        <v>15.666666666666666</v>
      </c>
      <c r="P31" s="399">
        <f t="shared" si="2"/>
        <v>1.3213382063536689</v>
      </c>
      <c r="Q31" s="380"/>
      <c r="R31" s="382"/>
      <c r="S31" s="382"/>
      <c r="T31" s="381"/>
    </row>
    <row r="32" spans="1:20">
      <c r="A32" s="802" t="s">
        <v>426</v>
      </c>
      <c r="B32" s="709"/>
      <c r="C32" s="133"/>
      <c r="D32" s="133"/>
      <c r="E32" s="133"/>
      <c r="F32" s="133"/>
      <c r="G32" s="133"/>
      <c r="H32" s="133"/>
      <c r="I32" s="133"/>
      <c r="J32" s="133"/>
      <c r="K32" s="833">
        <v>21</v>
      </c>
      <c r="L32" s="133">
        <v>12</v>
      </c>
      <c r="M32" s="846">
        <v>23</v>
      </c>
      <c r="N32" s="453">
        <f t="shared" si="0"/>
        <v>56</v>
      </c>
      <c r="O32" s="172">
        <f t="shared" si="1"/>
        <v>18.666666666666668</v>
      </c>
      <c r="P32" s="399">
        <f t="shared" si="2"/>
        <v>1.5743604160809672</v>
      </c>
      <c r="Q32" s="380"/>
      <c r="R32" s="382"/>
      <c r="S32" s="382"/>
      <c r="T32" s="381"/>
    </row>
    <row r="33" spans="1:20">
      <c r="A33" s="802" t="s">
        <v>404</v>
      </c>
      <c r="B33" s="709"/>
      <c r="C33" s="133"/>
      <c r="D33" s="133"/>
      <c r="E33" s="133"/>
      <c r="F33" s="133"/>
      <c r="G33" s="133"/>
      <c r="H33" s="133"/>
      <c r="I33" s="133"/>
      <c r="J33" s="133"/>
      <c r="K33" s="833">
        <v>78</v>
      </c>
      <c r="L33" s="133">
        <v>72</v>
      </c>
      <c r="M33" s="846">
        <v>46</v>
      </c>
      <c r="N33" s="453">
        <f t="shared" si="0"/>
        <v>196</v>
      </c>
      <c r="O33" s="172">
        <f t="shared" si="1"/>
        <v>65.333333333333329</v>
      </c>
      <c r="P33" s="399">
        <f t="shared" si="2"/>
        <v>5.5102614562833852</v>
      </c>
      <c r="Q33" s="380"/>
      <c r="R33" s="382"/>
      <c r="S33" s="382"/>
      <c r="T33" s="381"/>
    </row>
    <row r="34" spans="1:20">
      <c r="A34" s="802" t="s">
        <v>427</v>
      </c>
      <c r="B34" s="709"/>
      <c r="C34" s="133"/>
      <c r="D34" s="133"/>
      <c r="E34" s="133"/>
      <c r="F34" s="133"/>
      <c r="G34" s="133"/>
      <c r="H34" s="133"/>
      <c r="I34" s="133"/>
      <c r="J34" s="133"/>
      <c r="K34" s="833">
        <v>27</v>
      </c>
      <c r="L34" s="133">
        <v>42</v>
      </c>
      <c r="M34" s="846">
        <v>28</v>
      </c>
      <c r="N34" s="453">
        <f t="shared" si="0"/>
        <v>97</v>
      </c>
      <c r="O34" s="172">
        <f t="shared" si="1"/>
        <v>32.333333333333336</v>
      </c>
      <c r="P34" s="399">
        <f t="shared" si="2"/>
        <v>2.7270171492831037</v>
      </c>
      <c r="Q34" s="380"/>
      <c r="R34" s="382"/>
      <c r="S34" s="382"/>
      <c r="T34" s="381"/>
    </row>
    <row r="35" spans="1:20">
      <c r="A35" s="802" t="s">
        <v>402</v>
      </c>
      <c r="B35" s="709"/>
      <c r="C35" s="133"/>
      <c r="D35" s="133"/>
      <c r="E35" s="133"/>
      <c r="F35" s="133"/>
      <c r="G35" s="133"/>
      <c r="H35" s="133"/>
      <c r="I35" s="133"/>
      <c r="J35" s="133"/>
      <c r="K35" s="833">
        <v>65</v>
      </c>
      <c r="L35" s="133">
        <v>59</v>
      </c>
      <c r="M35" s="846">
        <v>48</v>
      </c>
      <c r="N35" s="453">
        <f t="shared" si="0"/>
        <v>172</v>
      </c>
      <c r="O35" s="172">
        <f t="shared" si="1"/>
        <v>57.333333333333336</v>
      </c>
      <c r="P35" s="399">
        <f t="shared" si="2"/>
        <v>4.8355355636772561</v>
      </c>
      <c r="Q35" s="380"/>
      <c r="R35" s="382"/>
      <c r="S35" s="382"/>
      <c r="T35" s="381"/>
    </row>
    <row r="36" spans="1:20" ht="15.75" thickBot="1">
      <c r="A36" s="803" t="s">
        <v>428</v>
      </c>
      <c r="B36" s="713"/>
      <c r="C36" s="424"/>
      <c r="D36" s="424"/>
      <c r="E36" s="424"/>
      <c r="F36" s="424"/>
      <c r="G36" s="424"/>
      <c r="H36" s="424"/>
      <c r="I36" s="424"/>
      <c r="J36" s="424"/>
      <c r="K36" s="833">
        <v>44</v>
      </c>
      <c r="L36" s="424">
        <v>32</v>
      </c>
      <c r="M36" s="847">
        <v>17</v>
      </c>
      <c r="N36" s="454">
        <f t="shared" si="0"/>
        <v>93</v>
      </c>
      <c r="O36" s="425">
        <f t="shared" si="1"/>
        <v>31</v>
      </c>
      <c r="P36" s="399">
        <f t="shared" si="2"/>
        <v>2.614562833848749</v>
      </c>
      <c r="Q36" s="380"/>
      <c r="R36" s="382"/>
      <c r="S36" s="382"/>
      <c r="T36" s="381"/>
    </row>
    <row r="37" spans="1:20" ht="15.75" thickBot="1">
      <c r="A37" s="808" t="s">
        <v>3</v>
      </c>
      <c r="B37" s="155"/>
      <c r="C37" s="156"/>
      <c r="D37" s="156"/>
      <c r="E37" s="358"/>
      <c r="F37" s="358"/>
      <c r="G37" s="358"/>
      <c r="H37" s="426"/>
      <c r="I37" s="190"/>
      <c r="J37" s="190"/>
      <c r="K37" s="190">
        <f>SUM(K5:K36)</f>
        <v>1343</v>
      </c>
      <c r="L37" s="190">
        <f>SUM(L5:L36)</f>
        <v>1163</v>
      </c>
      <c r="M37" s="809">
        <f>SUM(M5:M36)</f>
        <v>1051</v>
      </c>
      <c r="N37" s="920">
        <f>SUM(N5:N36)</f>
        <v>3557</v>
      </c>
      <c r="O37" s="921">
        <f t="shared" si="1"/>
        <v>1185.6666666666667</v>
      </c>
      <c r="P37" s="400">
        <f>SUM(P5:P36)</f>
        <v>100.00000000000001</v>
      </c>
      <c r="Q37" s="380"/>
      <c r="R37" s="382"/>
      <c r="S37" s="382"/>
      <c r="T37" s="381"/>
    </row>
    <row r="38" spans="1:20">
      <c r="Q38" s="380"/>
      <c r="R38" s="382"/>
      <c r="S38" s="382"/>
      <c r="T38" s="381"/>
    </row>
    <row r="39" spans="1:20">
      <c r="Q39" s="380"/>
      <c r="R39" s="382"/>
      <c r="S39" s="382"/>
      <c r="T39" s="381"/>
    </row>
    <row r="40" spans="1:20">
      <c r="Q40" s="380"/>
      <c r="R40" s="382"/>
      <c r="S40" s="382"/>
      <c r="T40" s="381"/>
    </row>
    <row r="41" spans="1:20">
      <c r="Q41" s="380"/>
      <c r="R41" s="382"/>
      <c r="S41" s="382"/>
      <c r="T41" s="381"/>
    </row>
    <row r="42" spans="1:20">
      <c r="Q42" s="380"/>
      <c r="R42" s="382"/>
      <c r="S42" s="382"/>
      <c r="T42" s="381"/>
    </row>
    <row r="43" spans="1:20">
      <c r="Q43" s="380"/>
      <c r="R43" s="382"/>
      <c r="S43" s="382"/>
      <c r="T43" s="381"/>
    </row>
    <row r="44" spans="1:20">
      <c r="Q44" s="380"/>
      <c r="R44" s="382"/>
      <c r="S44" s="382"/>
      <c r="T44" s="381"/>
    </row>
    <row r="45" spans="1:20">
      <c r="Q45" s="380"/>
      <c r="R45" s="382"/>
      <c r="S45" s="382"/>
      <c r="T45" s="381"/>
    </row>
    <row r="46" spans="1:20">
      <c r="Q46" s="380"/>
      <c r="R46" s="382"/>
      <c r="S46" s="382"/>
      <c r="T46" s="381"/>
    </row>
    <row r="47" spans="1:20">
      <c r="Q47" s="380"/>
      <c r="R47" s="382"/>
      <c r="S47" s="382"/>
      <c r="T47" s="381"/>
    </row>
    <row r="48" spans="1:20">
      <c r="Q48" s="380"/>
      <c r="R48" s="382"/>
      <c r="S48" s="382"/>
      <c r="T48" s="381"/>
    </row>
    <row r="49" spans="17:20">
      <c r="Q49" s="380"/>
      <c r="R49" s="382"/>
      <c r="S49" s="382"/>
      <c r="T49" s="381"/>
    </row>
    <row r="50" spans="17:20">
      <c r="Q50" s="380"/>
      <c r="R50" s="382"/>
      <c r="S50" s="382"/>
      <c r="T50" s="381"/>
    </row>
  </sheetData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  <ignoredErrors>
    <ignoredError sqref="K37:M37" formulaRange="1"/>
    <ignoredError sqref="O37" formula="1"/>
  </ignoredErrors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"/>
  <sheetViews>
    <sheetView zoomScale="90" zoomScaleNormal="90" workbookViewId="0"/>
  </sheetViews>
  <sheetFormatPr defaultRowHeight="15"/>
  <cols>
    <col min="1" max="1" width="19.7109375" customWidth="1"/>
    <col min="2" max="2" width="7.5703125" bestFit="1" customWidth="1"/>
    <col min="3" max="3" width="7.7109375" bestFit="1" customWidth="1"/>
    <col min="4" max="4" width="7.140625" bestFit="1" customWidth="1"/>
    <col min="5" max="5" width="7" bestFit="1" customWidth="1"/>
    <col min="6" max="6" width="7.5703125" bestFit="1" customWidth="1"/>
    <col min="7" max="7" width="6.28515625" bestFit="1" customWidth="1"/>
    <col min="8" max="8" width="7" bestFit="1" customWidth="1"/>
    <col min="9" max="9" width="7.5703125" customWidth="1"/>
    <col min="10" max="10" width="7.140625" bestFit="1" customWidth="1"/>
    <col min="11" max="11" width="7.5703125" bestFit="1" customWidth="1"/>
    <col min="12" max="12" width="7.140625" bestFit="1" customWidth="1"/>
    <col min="13" max="13" width="7.5703125" customWidth="1"/>
    <col min="14" max="14" width="6.140625" bestFit="1" customWidth="1"/>
    <col min="15" max="15" width="7.85546875" bestFit="1" customWidth="1"/>
    <col min="16" max="16" width="17.85546875" customWidth="1"/>
    <col min="17" max="17" width="9.140625" customWidth="1"/>
  </cols>
  <sheetData>
    <row r="1" spans="1:16">
      <c r="A1" s="5" t="s">
        <v>0</v>
      </c>
      <c r="O1" s="149"/>
      <c r="P1" s="132">
        <v>5517</v>
      </c>
    </row>
    <row r="2" spans="1:16">
      <c r="A2" s="5" t="s">
        <v>1</v>
      </c>
      <c r="O2" s="149"/>
      <c r="P2" s="149"/>
    </row>
    <row r="3" spans="1:16">
      <c r="A3" s="5"/>
      <c r="O3" s="149"/>
      <c r="P3" s="149"/>
    </row>
    <row r="4" spans="1:16">
      <c r="A4" s="5" t="s">
        <v>406</v>
      </c>
      <c r="O4" s="149"/>
      <c r="P4" s="149"/>
    </row>
    <row r="5" spans="1:16" ht="15.75" thickBot="1"/>
    <row r="6" spans="1:16" ht="45.75" customHeight="1" thickBot="1">
      <c r="A6" s="276" t="s">
        <v>146</v>
      </c>
      <c r="B6" s="187">
        <v>45261</v>
      </c>
      <c r="C6" s="188">
        <v>45231</v>
      </c>
      <c r="D6" s="188">
        <v>45200</v>
      </c>
      <c r="E6" s="188">
        <v>45170</v>
      </c>
      <c r="F6" s="188">
        <v>45139</v>
      </c>
      <c r="G6" s="188">
        <v>45108</v>
      </c>
      <c r="H6" s="653">
        <v>45078</v>
      </c>
      <c r="I6" s="654">
        <v>45047</v>
      </c>
      <c r="J6" s="655">
        <v>45017</v>
      </c>
      <c r="K6" s="655">
        <v>44986</v>
      </c>
      <c r="L6" s="655">
        <v>44958</v>
      </c>
      <c r="M6" s="656">
        <v>44927</v>
      </c>
      <c r="N6" s="652" t="s">
        <v>3</v>
      </c>
      <c r="O6" s="685" t="s">
        <v>4</v>
      </c>
      <c r="P6" s="694" t="s">
        <v>441</v>
      </c>
    </row>
    <row r="7" spans="1:16" ht="15.75" thickBot="1">
      <c r="A7" s="802" t="s">
        <v>397</v>
      </c>
      <c r="B7" s="135"/>
      <c r="C7" s="133"/>
      <c r="D7" s="133"/>
      <c r="E7" s="133"/>
      <c r="F7" s="133"/>
      <c r="G7" s="133"/>
      <c r="H7" s="133"/>
      <c r="I7" s="133"/>
      <c r="J7" s="133"/>
      <c r="K7" s="833">
        <v>140</v>
      </c>
      <c r="L7" s="133">
        <v>71</v>
      </c>
      <c r="M7" s="133">
        <v>70</v>
      </c>
      <c r="N7" s="617">
        <f>SUM(B7:M7)</f>
        <v>281</v>
      </c>
      <c r="O7" s="627">
        <f>AVERAGE(B7:M7)</f>
        <v>93.666666666666671</v>
      </c>
      <c r="P7" s="408">
        <f>(K7*100)/$P$1</f>
        <v>2.5376110204821463</v>
      </c>
    </row>
    <row r="8" spans="1:16" ht="15.75" thickBot="1">
      <c r="A8" s="802" t="s">
        <v>404</v>
      </c>
      <c r="B8" s="135"/>
      <c r="C8" s="133"/>
      <c r="D8" s="133"/>
      <c r="E8" s="133"/>
      <c r="F8" s="133"/>
      <c r="G8" s="133"/>
      <c r="H8" s="133"/>
      <c r="I8" s="133"/>
      <c r="J8" s="133"/>
      <c r="K8" s="833">
        <v>78</v>
      </c>
      <c r="L8" s="133">
        <v>72</v>
      </c>
      <c r="M8" s="133">
        <v>46</v>
      </c>
      <c r="N8" s="618">
        <f t="shared" ref="N8:N16" si="0">SUM(B8:M8)</f>
        <v>196</v>
      </c>
      <c r="O8" s="628">
        <f t="shared" ref="O8:O17" si="1">AVERAGE(B8:M8)</f>
        <v>65.333333333333329</v>
      </c>
      <c r="P8" s="408">
        <f t="shared" ref="P8:P16" si="2">(K8*100)/$P$1</f>
        <v>1.4138118542686242</v>
      </c>
    </row>
    <row r="9" spans="1:16" ht="15.75" thickBot="1">
      <c r="A9" s="802" t="s">
        <v>396</v>
      </c>
      <c r="B9" s="135"/>
      <c r="C9" s="133"/>
      <c r="D9" s="133"/>
      <c r="E9" s="133"/>
      <c r="F9" s="133"/>
      <c r="G9" s="133"/>
      <c r="H9" s="133"/>
      <c r="I9" s="133"/>
      <c r="J9" s="133"/>
      <c r="K9" s="833">
        <v>70</v>
      </c>
      <c r="L9" s="133">
        <v>52</v>
      </c>
      <c r="M9" s="133">
        <v>71</v>
      </c>
      <c r="N9" s="618">
        <f t="shared" si="0"/>
        <v>193</v>
      </c>
      <c r="O9" s="628">
        <f t="shared" si="1"/>
        <v>64.333333333333329</v>
      </c>
      <c r="P9" s="408">
        <f t="shared" si="2"/>
        <v>1.2688055102410731</v>
      </c>
    </row>
    <row r="10" spans="1:16" ht="15.75" thickBot="1">
      <c r="A10" s="802" t="s">
        <v>399</v>
      </c>
      <c r="B10" s="135"/>
      <c r="C10" s="133"/>
      <c r="D10" s="133"/>
      <c r="E10" s="133"/>
      <c r="F10" s="133"/>
      <c r="G10" s="133"/>
      <c r="H10" s="133"/>
      <c r="I10" s="133"/>
      <c r="J10" s="133"/>
      <c r="K10" s="833">
        <v>75</v>
      </c>
      <c r="L10" s="133">
        <v>55</v>
      </c>
      <c r="M10" s="133">
        <v>53</v>
      </c>
      <c r="N10" s="618">
        <f t="shared" si="0"/>
        <v>183</v>
      </c>
      <c r="O10" s="628">
        <f t="shared" si="1"/>
        <v>61</v>
      </c>
      <c r="P10" s="408">
        <f t="shared" si="2"/>
        <v>1.3594344752582925</v>
      </c>
    </row>
    <row r="11" spans="1:16" ht="15.75" thickBot="1">
      <c r="A11" s="802" t="s">
        <v>400</v>
      </c>
      <c r="B11" s="135"/>
      <c r="C11" s="133"/>
      <c r="D11" s="133"/>
      <c r="E11" s="133"/>
      <c r="F11" s="133"/>
      <c r="G11" s="133"/>
      <c r="H11" s="133"/>
      <c r="I11" s="133"/>
      <c r="J11" s="133"/>
      <c r="K11" s="833">
        <v>66</v>
      </c>
      <c r="L11" s="133">
        <v>57</v>
      </c>
      <c r="M11" s="133">
        <v>52</v>
      </c>
      <c r="N11" s="618">
        <f t="shared" si="0"/>
        <v>175</v>
      </c>
      <c r="O11" s="628">
        <f t="shared" si="1"/>
        <v>58.333333333333336</v>
      </c>
      <c r="P11" s="408">
        <f t="shared" si="2"/>
        <v>1.1963023382272975</v>
      </c>
    </row>
    <row r="12" spans="1:16" ht="15.75" thickBot="1">
      <c r="A12" s="802" t="s">
        <v>402</v>
      </c>
      <c r="B12" s="135"/>
      <c r="C12" s="133"/>
      <c r="D12" s="133"/>
      <c r="E12" s="133"/>
      <c r="F12" s="133"/>
      <c r="G12" s="133"/>
      <c r="H12" s="133"/>
      <c r="I12" s="133"/>
      <c r="J12" s="133"/>
      <c r="K12" s="833">
        <v>65</v>
      </c>
      <c r="L12" s="133">
        <v>59</v>
      </c>
      <c r="M12" s="133">
        <v>48</v>
      </c>
      <c r="N12" s="618">
        <f t="shared" si="0"/>
        <v>172</v>
      </c>
      <c r="O12" s="628">
        <f t="shared" si="1"/>
        <v>57.333333333333336</v>
      </c>
      <c r="P12" s="408">
        <f t="shared" si="2"/>
        <v>1.1781765452238535</v>
      </c>
    </row>
    <row r="13" spans="1:16" ht="15.75" thickBot="1">
      <c r="A13" s="802" t="s">
        <v>405</v>
      </c>
      <c r="B13" s="135"/>
      <c r="C13" s="133"/>
      <c r="D13" s="133"/>
      <c r="E13" s="133"/>
      <c r="F13" s="133"/>
      <c r="G13" s="133"/>
      <c r="H13" s="133"/>
      <c r="I13" s="133"/>
      <c r="J13" s="133"/>
      <c r="K13" s="833">
        <v>68</v>
      </c>
      <c r="L13" s="133">
        <v>51</v>
      </c>
      <c r="M13" s="133">
        <v>44</v>
      </c>
      <c r="N13" s="618">
        <f t="shared" si="0"/>
        <v>163</v>
      </c>
      <c r="O13" s="628">
        <f t="shared" si="1"/>
        <v>54.333333333333336</v>
      </c>
      <c r="P13" s="408">
        <f t="shared" si="2"/>
        <v>1.2325539242341852</v>
      </c>
    </row>
    <row r="14" spans="1:16" ht="15.75" thickBot="1">
      <c r="A14" s="802" t="s">
        <v>401</v>
      </c>
      <c r="B14" s="135"/>
      <c r="C14" s="133"/>
      <c r="D14" s="133"/>
      <c r="E14" s="133"/>
      <c r="F14" s="133"/>
      <c r="G14" s="133"/>
      <c r="H14" s="133"/>
      <c r="I14" s="133"/>
      <c r="J14" s="133"/>
      <c r="K14" s="833">
        <v>55</v>
      </c>
      <c r="L14" s="133">
        <v>47</v>
      </c>
      <c r="M14" s="133">
        <v>49</v>
      </c>
      <c r="N14" s="618">
        <f t="shared" si="0"/>
        <v>151</v>
      </c>
      <c r="O14" s="628">
        <f t="shared" si="1"/>
        <v>50.333333333333336</v>
      </c>
      <c r="P14" s="408">
        <f t="shared" si="2"/>
        <v>0.99691861518941449</v>
      </c>
    </row>
    <row r="15" spans="1:16" ht="15.75" thickBot="1">
      <c r="A15" s="802" t="s">
        <v>415</v>
      </c>
      <c r="B15" s="135"/>
      <c r="C15" s="133"/>
      <c r="D15" s="133"/>
      <c r="E15" s="133"/>
      <c r="F15" s="133"/>
      <c r="G15" s="133"/>
      <c r="H15" s="133"/>
      <c r="I15" s="133"/>
      <c r="J15" s="133"/>
      <c r="K15" s="833">
        <v>43</v>
      </c>
      <c r="L15" s="133">
        <v>65</v>
      </c>
      <c r="M15" s="133">
        <v>41</v>
      </c>
      <c r="N15" s="618">
        <f t="shared" si="0"/>
        <v>149</v>
      </c>
      <c r="O15" s="628">
        <f t="shared" si="1"/>
        <v>49.666666666666664</v>
      </c>
      <c r="P15" s="408">
        <f t="shared" si="2"/>
        <v>0.77940909914808776</v>
      </c>
    </row>
    <row r="16" spans="1:16" ht="15.75" thickBot="1">
      <c r="A16" s="802" t="s">
        <v>398</v>
      </c>
      <c r="B16" s="135"/>
      <c r="C16" s="133"/>
      <c r="D16" s="133"/>
      <c r="E16" s="133"/>
      <c r="F16" s="133"/>
      <c r="G16" s="133"/>
      <c r="H16" s="133"/>
      <c r="I16" s="133"/>
      <c r="J16" s="133"/>
      <c r="K16" s="833">
        <v>36</v>
      </c>
      <c r="L16" s="133">
        <v>48</v>
      </c>
      <c r="M16" s="133">
        <v>62</v>
      </c>
      <c r="N16" s="619">
        <f t="shared" si="0"/>
        <v>146</v>
      </c>
      <c r="O16" s="629">
        <f t="shared" si="1"/>
        <v>48.666666666666664</v>
      </c>
      <c r="P16" s="408">
        <f t="shared" si="2"/>
        <v>0.65252854812398042</v>
      </c>
    </row>
    <row r="17" spans="1:33" ht="15.75" thickBot="1">
      <c r="A17" s="432" t="s">
        <v>3</v>
      </c>
      <c r="B17" s="657"/>
      <c r="C17" s="155"/>
      <c r="D17" s="156"/>
      <c r="E17" s="156"/>
      <c r="F17" s="156"/>
      <c r="G17" s="156"/>
      <c r="H17" s="658"/>
      <c r="I17" s="657"/>
      <c r="J17" s="772"/>
      <c r="K17" s="772">
        <f>SUM(K7:K16)</f>
        <v>696</v>
      </c>
      <c r="L17" s="772">
        <f>SUM(L7:L16)</f>
        <v>577</v>
      </c>
      <c r="M17" s="776">
        <f>SUM(M7:M16)</f>
        <v>536</v>
      </c>
      <c r="N17" s="777">
        <f>SUM(B17:M17)</f>
        <v>1809</v>
      </c>
      <c r="O17" s="921">
        <f t="shared" si="1"/>
        <v>603</v>
      </c>
      <c r="P17" s="445">
        <f>(K17*100)/$P$1</f>
        <v>12.615551930396954</v>
      </c>
    </row>
    <row r="18" spans="1:33">
      <c r="A18" s="117" t="s">
        <v>147</v>
      </c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157">
        <f>SUM(N7:N16)</f>
        <v>1809</v>
      </c>
      <c r="O18" s="91"/>
      <c r="P18" s="118">
        <f>100-P17</f>
        <v>87.384448069603053</v>
      </c>
    </row>
    <row r="19" spans="1:33">
      <c r="B19" s="5"/>
      <c r="C19" s="5"/>
      <c r="D19" s="5"/>
      <c r="N19" s="6"/>
      <c r="P19" s="767"/>
      <c r="Q19" s="382"/>
      <c r="R19" s="382"/>
      <c r="S19" s="382"/>
      <c r="T19" s="382"/>
      <c r="U19" s="382"/>
      <c r="V19" s="382"/>
      <c r="W19" s="382"/>
      <c r="X19" s="382"/>
      <c r="Y19" s="382"/>
      <c r="Z19" s="382"/>
      <c r="AA19" s="382"/>
      <c r="AB19" s="382"/>
      <c r="AC19" s="382"/>
      <c r="AD19" s="382"/>
    </row>
    <row r="20" spans="1:33">
      <c r="B20" s="5"/>
      <c r="C20" s="5"/>
      <c r="D20" s="5"/>
      <c r="P20" s="382"/>
      <c r="Q20" s="380"/>
      <c r="R20" s="764"/>
      <c r="S20" s="765"/>
      <c r="T20" s="764"/>
      <c r="U20" s="764"/>
      <c r="V20" s="764"/>
      <c r="W20" s="764"/>
      <c r="X20" s="764"/>
      <c r="Y20" s="764"/>
      <c r="Z20" s="764"/>
      <c r="AA20" s="764"/>
      <c r="AB20" s="764"/>
      <c r="AC20" s="765"/>
      <c r="AD20" s="764"/>
      <c r="AE20" s="64"/>
      <c r="AF20" s="64"/>
      <c r="AG20" s="65"/>
    </row>
    <row r="21" spans="1:33">
      <c r="B21" s="5"/>
      <c r="C21" s="5"/>
      <c r="D21" s="5"/>
      <c r="P21" s="382"/>
      <c r="Q21" s="380"/>
      <c r="R21" s="764"/>
      <c r="S21" s="765"/>
      <c r="T21" s="764"/>
      <c r="U21" s="764"/>
      <c r="V21" s="764"/>
      <c r="W21" s="764"/>
      <c r="X21" s="764"/>
      <c r="Y21" s="764"/>
      <c r="Z21" s="764"/>
      <c r="AA21" s="764"/>
      <c r="AB21" s="764"/>
      <c r="AC21" s="765"/>
      <c r="AD21" s="764"/>
      <c r="AE21" s="64"/>
      <c r="AF21" s="64"/>
      <c r="AG21" s="65"/>
    </row>
    <row r="22" spans="1:33">
      <c r="B22" s="5"/>
      <c r="C22" s="5"/>
      <c r="D22" s="5"/>
      <c r="P22" s="382"/>
      <c r="Q22" s="382"/>
      <c r="R22" s="382"/>
      <c r="S22" s="382"/>
      <c r="T22" s="382"/>
      <c r="U22" s="380"/>
      <c r="V22" s="764"/>
      <c r="W22" s="764"/>
      <c r="X22" s="764"/>
      <c r="Y22" s="764"/>
      <c r="Z22" s="764"/>
      <c r="AA22" s="764"/>
      <c r="AB22" s="381"/>
      <c r="AC22" s="764"/>
      <c r="AD22" s="764"/>
      <c r="AE22" s="64"/>
      <c r="AF22" s="64"/>
      <c r="AG22" s="65"/>
    </row>
    <row r="23" spans="1:33">
      <c r="P23" s="382"/>
      <c r="Q23" s="382"/>
      <c r="R23" s="382"/>
      <c r="S23" s="382"/>
      <c r="T23" s="382"/>
      <c r="U23" s="380"/>
      <c r="V23" s="764"/>
      <c r="W23" s="764"/>
      <c r="X23" s="764"/>
      <c r="Y23" s="764"/>
      <c r="Z23" s="764"/>
      <c r="AA23" s="764"/>
      <c r="AB23" s="381"/>
      <c r="AC23" s="764"/>
      <c r="AD23" s="764"/>
      <c r="AE23" s="64"/>
      <c r="AF23" s="64"/>
      <c r="AG23" s="65"/>
    </row>
    <row r="24" spans="1:33">
      <c r="U24" s="63"/>
      <c r="V24" s="64"/>
      <c r="W24" s="64"/>
      <c r="X24" s="64"/>
      <c r="Y24" s="64"/>
      <c r="Z24" s="64"/>
      <c r="AA24" s="64"/>
      <c r="AB24" s="55"/>
      <c r="AC24" s="64"/>
      <c r="AD24" s="64"/>
      <c r="AE24" s="64"/>
      <c r="AF24" s="64"/>
      <c r="AG24" s="65"/>
    </row>
    <row r="25" spans="1:33">
      <c r="U25" s="63"/>
      <c r="V25" s="64"/>
      <c r="W25" s="64"/>
      <c r="X25" s="64"/>
      <c r="Y25" s="64"/>
      <c r="Z25" s="64"/>
      <c r="AA25" s="64"/>
      <c r="AB25" s="55"/>
      <c r="AC25" s="64"/>
      <c r="AD25" s="64"/>
      <c r="AE25" s="64"/>
      <c r="AF25" s="64"/>
      <c r="AG25" s="65"/>
    </row>
    <row r="26" spans="1:33">
      <c r="U26" s="63"/>
      <c r="V26" s="64"/>
      <c r="W26" s="64"/>
      <c r="X26" s="64"/>
      <c r="Y26" s="64"/>
      <c r="Z26" s="64"/>
      <c r="AA26" s="64"/>
      <c r="AB26" s="55"/>
      <c r="AC26" s="64"/>
      <c r="AD26" s="64"/>
      <c r="AE26" s="64"/>
      <c r="AF26" s="64"/>
      <c r="AG26" s="65"/>
    </row>
    <row r="27" spans="1:33">
      <c r="U27" s="63"/>
      <c r="V27" s="64"/>
      <c r="W27" s="64"/>
      <c r="X27" s="64"/>
      <c r="Y27" s="64"/>
      <c r="Z27" s="64"/>
      <c r="AA27" s="64"/>
      <c r="AB27" s="55"/>
      <c r="AC27" s="64"/>
      <c r="AD27" s="64"/>
      <c r="AE27" s="64"/>
      <c r="AF27" s="64"/>
      <c r="AG27" s="65"/>
    </row>
    <row r="28" spans="1:33">
      <c r="U28" s="63"/>
      <c r="V28" s="64"/>
      <c r="W28" s="64"/>
      <c r="X28" s="64"/>
      <c r="Y28" s="64"/>
      <c r="Z28" s="64"/>
      <c r="AA28" s="64"/>
      <c r="AB28" s="55"/>
      <c r="AC28" s="64"/>
      <c r="AD28" s="64"/>
      <c r="AE28" s="64"/>
      <c r="AF28" s="64"/>
      <c r="AG28" s="65"/>
    </row>
    <row r="29" spans="1:33">
      <c r="U29" s="63"/>
      <c r="V29" s="64"/>
      <c r="W29" s="64"/>
      <c r="X29" s="64"/>
      <c r="Y29" s="64"/>
      <c r="Z29" s="64"/>
      <c r="AA29" s="64"/>
      <c r="AB29" s="55"/>
      <c r="AC29" s="64"/>
      <c r="AD29" s="64"/>
      <c r="AE29" s="64"/>
      <c r="AF29" s="64"/>
      <c r="AG29" s="65"/>
    </row>
  </sheetData>
  <pageMargins left="0.511811024" right="0.511811024" top="0.78740157500000008" bottom="0.78740157500000008" header="0.31496062000000008" footer="0.31496062000000008"/>
  <pageSetup paperSize="9" fitToWidth="0" fitToHeight="0" orientation="portrait" r:id="rId1"/>
  <ignoredErrors>
    <ignoredError sqref="K17:M17" formulaRange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8"/>
  <sheetViews>
    <sheetView workbookViewId="0"/>
  </sheetViews>
  <sheetFormatPr defaultRowHeight="14.25"/>
  <cols>
    <col min="1" max="1" width="11.42578125" style="23" customWidth="1"/>
    <col min="2" max="2" width="12.85546875" style="53" bestFit="1" customWidth="1"/>
    <col min="3" max="3" width="11.42578125" style="53" bestFit="1" customWidth="1"/>
    <col min="4" max="4" width="6.28515625" style="23" bestFit="1" customWidth="1"/>
    <col min="5" max="5" width="9.42578125" style="23" customWidth="1"/>
    <col min="6" max="6" width="12.85546875" style="23" bestFit="1" customWidth="1"/>
    <col min="7" max="7" width="11.42578125" style="23" bestFit="1" customWidth="1"/>
    <col min="8" max="8" width="7.140625" style="23" customWidth="1"/>
    <col min="9" max="9" width="9.5703125" style="23" customWidth="1"/>
    <col min="10" max="10" width="12.85546875" style="23" bestFit="1" customWidth="1"/>
    <col min="11" max="11" width="11.42578125" style="23" bestFit="1" customWidth="1"/>
    <col min="12" max="12" width="7.140625" style="23" customWidth="1"/>
    <col min="13" max="13" width="9.42578125" style="23" customWidth="1"/>
    <col min="14" max="14" width="12.85546875" style="23" bestFit="1" customWidth="1"/>
    <col min="15" max="15" width="11.42578125" style="23" bestFit="1" customWidth="1"/>
    <col min="16" max="16" width="9.140625" style="23" customWidth="1"/>
    <col min="17" max="16384" width="9.140625" style="23"/>
  </cols>
  <sheetData>
    <row r="1" spans="1:15" ht="15">
      <c r="A1" s="5" t="s">
        <v>0</v>
      </c>
    </row>
    <row r="2" spans="1:15" ht="15">
      <c r="A2" s="5" t="s">
        <v>1</v>
      </c>
    </row>
    <row r="3" spans="1:15" ht="15">
      <c r="A3" s="5"/>
    </row>
    <row r="4" spans="1:15" ht="15">
      <c r="A4" s="5" t="s">
        <v>432</v>
      </c>
    </row>
    <row r="5" spans="1:15" ht="15">
      <c r="A5" s="5"/>
    </row>
    <row r="6" spans="1:15">
      <c r="A6" s="23" t="s">
        <v>149</v>
      </c>
    </row>
    <row r="7" spans="1:15">
      <c r="A7" s="23" t="s">
        <v>150</v>
      </c>
    </row>
    <row r="8" spans="1:15" ht="15" thickBot="1">
      <c r="B8" s="23"/>
      <c r="C8" s="23"/>
    </row>
    <row r="9" spans="1:15" ht="15.75" thickBot="1">
      <c r="A9" s="998" t="str">
        <f>'10_SUB''s_+_demandadas_2023'!A7</f>
        <v>Lapa</v>
      </c>
      <c r="B9" s="998"/>
      <c r="C9" s="998"/>
      <c r="E9" s="998" t="str">
        <f>'10_SUB''s_+_demandadas_2023'!A8</f>
        <v>Sé</v>
      </c>
      <c r="F9" s="998"/>
      <c r="G9" s="998"/>
      <c r="I9" s="998" t="str">
        <f>'10_SUB''s_+_demandadas_2023'!A9</f>
        <v>Penha</v>
      </c>
      <c r="J9" s="998"/>
      <c r="K9" s="998"/>
      <c r="M9" s="998" t="str">
        <f>'10_SUB''s_+_demandadas_2023'!A10</f>
        <v>Mooca</v>
      </c>
      <c r="N9" s="998"/>
      <c r="O9" s="998"/>
    </row>
    <row r="10" spans="1:15" ht="15.75" thickBot="1">
      <c r="A10" s="18" t="s">
        <v>7</v>
      </c>
      <c r="B10" s="19" t="s">
        <v>151</v>
      </c>
      <c r="C10" s="18" t="s">
        <v>152</v>
      </c>
      <c r="E10" s="18" t="s">
        <v>7</v>
      </c>
      <c r="F10" s="19" t="s">
        <v>151</v>
      </c>
      <c r="G10" s="19" t="s">
        <v>152</v>
      </c>
      <c r="I10" s="18" t="s">
        <v>7</v>
      </c>
      <c r="J10" s="19" t="s">
        <v>151</v>
      </c>
      <c r="K10" s="19" t="s">
        <v>152</v>
      </c>
      <c r="M10" s="18" t="s">
        <v>7</v>
      </c>
      <c r="N10" s="19" t="s">
        <v>151</v>
      </c>
      <c r="O10" s="18" t="s">
        <v>152</v>
      </c>
    </row>
    <row r="11" spans="1:15" ht="15">
      <c r="A11" s="449">
        <v>44927</v>
      </c>
      <c r="B11" s="174">
        <f>'10_SUB''s_+_demandadas_2023'!M7</f>
        <v>70</v>
      </c>
      <c r="C11" s="178">
        <f>((B11-55)/55)*100</f>
        <v>27.27272727272727</v>
      </c>
      <c r="E11" s="449">
        <v>44927</v>
      </c>
      <c r="F11" s="75">
        <f>'10_SUB''s_+_demandadas_2023'!M8</f>
        <v>46</v>
      </c>
      <c r="G11" s="21">
        <f>((F11-49)/49)*100</f>
        <v>-6.1224489795918364</v>
      </c>
      <c r="I11" s="449">
        <v>44927</v>
      </c>
      <c r="J11" s="75">
        <f>'10_SUB''s_+_demandadas_2023'!M9</f>
        <v>71</v>
      </c>
      <c r="K11" s="21">
        <f>((J11-34)/34)*100</f>
        <v>108.8235294117647</v>
      </c>
      <c r="M11" s="449">
        <v>44927</v>
      </c>
      <c r="N11" s="174">
        <f>'10_SUB''s_+_demandadas_2023'!M10</f>
        <v>53</v>
      </c>
      <c r="O11" s="178">
        <f>((N11-34)/34)*100</f>
        <v>55.882352941176471</v>
      </c>
    </row>
    <row r="12" spans="1:15" ht="15">
      <c r="A12" s="450">
        <v>44958</v>
      </c>
      <c r="B12" s="175">
        <f>'10_SUB''s_+_demandadas_2023'!L7</f>
        <v>71</v>
      </c>
      <c r="C12" s="179">
        <f>((B12-51)/51)*100</f>
        <v>39.215686274509807</v>
      </c>
      <c r="E12" s="450">
        <v>44958</v>
      </c>
      <c r="F12" s="76">
        <f>'10_SUB''s_+_demandadas_2023'!L8</f>
        <v>72</v>
      </c>
      <c r="G12" s="21">
        <f>((F12-F11)/F11)*100</f>
        <v>56.521739130434781</v>
      </c>
      <c r="I12" s="450">
        <v>44958</v>
      </c>
      <c r="J12" s="76">
        <f>'10_SUB''s_+_demandadas_2023'!L9</f>
        <v>52</v>
      </c>
      <c r="K12" s="21">
        <f>((J12-J11)/J11)*100</f>
        <v>-26.760563380281688</v>
      </c>
      <c r="M12" s="450">
        <v>44958</v>
      </c>
      <c r="N12" s="175">
        <f>'10_SUB''s_+_demandadas_2023'!L10</f>
        <v>55</v>
      </c>
      <c r="O12" s="179">
        <f>((N12-N11)/N11)*100</f>
        <v>3.7735849056603774</v>
      </c>
    </row>
    <row r="13" spans="1:15" ht="15">
      <c r="A13" s="450">
        <v>44986</v>
      </c>
      <c r="B13" s="175">
        <f>'10_SUB''s_+_demandadas_2023'!K7</f>
        <v>140</v>
      </c>
      <c r="C13" s="179">
        <f>((B13-B12)/B12)*100</f>
        <v>97.183098591549296</v>
      </c>
      <c r="E13" s="450">
        <v>44986</v>
      </c>
      <c r="F13" s="76">
        <f>'10_SUB''s_+_demandadas_2023'!$K$8</f>
        <v>78</v>
      </c>
      <c r="G13" s="21">
        <f>((F13-F12)/F12)*100</f>
        <v>8.3333333333333321</v>
      </c>
      <c r="I13" s="450">
        <v>44986</v>
      </c>
      <c r="J13" s="76">
        <f>'10_SUB''s_+_demandadas_2023'!$K$9</f>
        <v>70</v>
      </c>
      <c r="K13" s="21">
        <f>((J13-J12)/J12)*100</f>
        <v>34.615384615384613</v>
      </c>
      <c r="M13" s="450">
        <v>44986</v>
      </c>
      <c r="N13" s="175">
        <f>'10_SUB''s_+_demandadas_2023'!$K$10</f>
        <v>75</v>
      </c>
      <c r="O13" s="179">
        <f>((N13-N12)/N12)*100</f>
        <v>36.363636363636367</v>
      </c>
    </row>
    <row r="14" spans="1:15" ht="15">
      <c r="A14" s="450">
        <v>45017</v>
      </c>
      <c r="B14" s="175"/>
      <c r="C14" s="179"/>
      <c r="E14" s="450">
        <v>45017</v>
      </c>
      <c r="F14" s="76"/>
      <c r="G14" s="21"/>
      <c r="I14" s="450">
        <v>45017</v>
      </c>
      <c r="J14" s="76"/>
      <c r="K14" s="21"/>
      <c r="M14" s="450">
        <v>45017</v>
      </c>
      <c r="N14" s="175"/>
      <c r="O14" s="179"/>
    </row>
    <row r="15" spans="1:15" ht="15">
      <c r="A15" s="450">
        <v>45047</v>
      </c>
      <c r="B15" s="175"/>
      <c r="C15" s="179"/>
      <c r="E15" s="450">
        <v>45047</v>
      </c>
      <c r="F15" s="76"/>
      <c r="G15" s="21"/>
      <c r="I15" s="450">
        <v>45047</v>
      </c>
      <c r="J15" s="76"/>
      <c r="K15" s="21"/>
      <c r="M15" s="450">
        <v>45047</v>
      </c>
      <c r="N15" s="175"/>
      <c r="O15" s="179"/>
    </row>
    <row r="16" spans="1:15" ht="15">
      <c r="A16" s="450">
        <v>45078</v>
      </c>
      <c r="B16" s="175"/>
      <c r="C16" s="179"/>
      <c r="E16" s="450">
        <v>45078</v>
      </c>
      <c r="F16" s="76"/>
      <c r="G16" s="21"/>
      <c r="I16" s="450">
        <v>45078</v>
      </c>
      <c r="J16" s="76"/>
      <c r="K16" s="21"/>
      <c r="M16" s="450">
        <v>45078</v>
      </c>
      <c r="N16" s="175"/>
      <c r="O16" s="179"/>
    </row>
    <row r="17" spans="1:15" ht="15">
      <c r="A17" s="450">
        <v>45108</v>
      </c>
      <c r="B17" s="175"/>
      <c r="C17" s="179"/>
      <c r="E17" s="450">
        <v>45108</v>
      </c>
      <c r="F17" s="76"/>
      <c r="G17" s="21"/>
      <c r="I17" s="450">
        <v>45108</v>
      </c>
      <c r="J17" s="76"/>
      <c r="K17" s="21"/>
      <c r="M17" s="450">
        <v>45108</v>
      </c>
      <c r="N17" s="175"/>
      <c r="O17" s="179"/>
    </row>
    <row r="18" spans="1:15" ht="15">
      <c r="A18" s="450">
        <v>45139</v>
      </c>
      <c r="B18" s="175"/>
      <c r="C18" s="179"/>
      <c r="E18" s="450">
        <v>45139</v>
      </c>
      <c r="F18" s="76"/>
      <c r="G18" s="21"/>
      <c r="I18" s="450">
        <v>45139</v>
      </c>
      <c r="J18" s="76"/>
      <c r="K18" s="21"/>
      <c r="M18" s="450">
        <v>45139</v>
      </c>
      <c r="N18" s="175"/>
      <c r="O18" s="179"/>
    </row>
    <row r="19" spans="1:15" ht="15">
      <c r="A19" s="450">
        <v>45170</v>
      </c>
      <c r="B19" s="175"/>
      <c r="C19" s="179"/>
      <c r="E19" s="450">
        <v>45170</v>
      </c>
      <c r="F19" s="76"/>
      <c r="G19" s="21"/>
      <c r="I19" s="450">
        <v>45170</v>
      </c>
      <c r="J19" s="76"/>
      <c r="K19" s="21"/>
      <c r="M19" s="450">
        <v>45170</v>
      </c>
      <c r="N19" s="175"/>
      <c r="O19" s="179"/>
    </row>
    <row r="20" spans="1:15" ht="15">
      <c r="A20" s="450">
        <v>45200</v>
      </c>
      <c r="B20" s="175"/>
      <c r="C20" s="179"/>
      <c r="E20" s="450">
        <v>45200</v>
      </c>
      <c r="F20" s="76"/>
      <c r="G20" s="21"/>
      <c r="I20" s="450">
        <v>45200</v>
      </c>
      <c r="J20" s="76"/>
      <c r="K20" s="21"/>
      <c r="M20" s="450">
        <v>45200</v>
      </c>
      <c r="N20" s="175"/>
      <c r="O20" s="179"/>
    </row>
    <row r="21" spans="1:15" ht="15">
      <c r="A21" s="450">
        <v>45231</v>
      </c>
      <c r="B21" s="176"/>
      <c r="C21" s="179"/>
      <c r="E21" s="450">
        <v>45231</v>
      </c>
      <c r="F21" s="76"/>
      <c r="G21" s="21"/>
      <c r="I21" s="450">
        <v>45231</v>
      </c>
      <c r="J21" s="76"/>
      <c r="K21" s="21"/>
      <c r="M21" s="450">
        <v>45231</v>
      </c>
      <c r="N21" s="175"/>
      <c r="O21" s="179"/>
    </row>
    <row r="22" spans="1:15" ht="15.75" thickBot="1">
      <c r="A22" s="451">
        <v>45261</v>
      </c>
      <c r="B22" s="177"/>
      <c r="C22" s="180"/>
      <c r="E22" s="451">
        <v>45261</v>
      </c>
      <c r="F22" s="78"/>
      <c r="G22" s="27"/>
      <c r="I22" s="451">
        <v>45261</v>
      </c>
      <c r="J22" s="78"/>
      <c r="K22" s="27"/>
      <c r="M22" s="451">
        <v>45261</v>
      </c>
      <c r="N22" s="177"/>
      <c r="O22" s="180"/>
    </row>
    <row r="23" spans="1:15">
      <c r="B23" s="23"/>
      <c r="C23" s="23"/>
    </row>
    <row r="24" spans="1:15" ht="15" thickBot="1">
      <c r="B24" s="23"/>
      <c r="C24" s="23"/>
    </row>
    <row r="25" spans="1:15" ht="15.75" thickBot="1">
      <c r="A25" s="998" t="str">
        <f>'10_SUB''s_+_demandadas_2023'!A11</f>
        <v>Butantã</v>
      </c>
      <c r="B25" s="998"/>
      <c r="C25" s="998"/>
      <c r="E25" s="998" t="str">
        <f>'10_SUB''s_+_demandadas_2023'!A12</f>
        <v>Vila Mariana</v>
      </c>
      <c r="F25" s="998"/>
      <c r="G25" s="998"/>
      <c r="I25" s="998" t="str">
        <f>'10_SUB''s_+_demandadas_2023'!A13</f>
        <v>Santo Amaro</v>
      </c>
      <c r="J25" s="998"/>
      <c r="K25" s="998"/>
      <c r="M25" s="998" t="str">
        <f>'10_SUB''s_+_demandadas_2023'!A14</f>
        <v>Itaquera</v>
      </c>
      <c r="N25" s="998"/>
      <c r="O25" s="998"/>
    </row>
    <row r="26" spans="1:15" ht="15.75" thickBot="1">
      <c r="A26" s="18" t="s">
        <v>7</v>
      </c>
      <c r="B26" s="18" t="s">
        <v>151</v>
      </c>
      <c r="C26" s="18" t="s">
        <v>152</v>
      </c>
      <c r="E26" s="18" t="s">
        <v>7</v>
      </c>
      <c r="F26" s="19" t="s">
        <v>151</v>
      </c>
      <c r="G26" s="19" t="s">
        <v>152</v>
      </c>
      <c r="I26" s="19" t="s">
        <v>7</v>
      </c>
      <c r="J26" s="19" t="s">
        <v>151</v>
      </c>
      <c r="K26" s="19" t="s">
        <v>152</v>
      </c>
      <c r="M26" s="19" t="s">
        <v>7</v>
      </c>
      <c r="N26" s="119" t="s">
        <v>151</v>
      </c>
      <c r="O26" s="18" t="s">
        <v>152</v>
      </c>
    </row>
    <row r="27" spans="1:15" ht="15">
      <c r="A27" s="449">
        <v>44927</v>
      </c>
      <c r="B27" s="75">
        <f>'10_SUB''s_+_demandadas_2023'!M11</f>
        <v>52</v>
      </c>
      <c r="C27" s="21">
        <f>((B27-31)/31)*100</f>
        <v>67.741935483870961</v>
      </c>
      <c r="E27" s="449">
        <v>44927</v>
      </c>
      <c r="F27" s="75">
        <f>'10_SUB''s_+_demandadas_2023'!M12</f>
        <v>48</v>
      </c>
      <c r="G27" s="21">
        <f>((F27-35)/35)*100</f>
        <v>37.142857142857146</v>
      </c>
      <c r="I27" s="449">
        <v>44927</v>
      </c>
      <c r="J27" s="75">
        <f>'10_SUB''s_+_demandadas_2023'!M13</f>
        <v>44</v>
      </c>
      <c r="K27" s="21">
        <f>((J27-51)/51)*100</f>
        <v>-13.725490196078432</v>
      </c>
      <c r="M27" s="449">
        <v>44927</v>
      </c>
      <c r="N27" s="75">
        <f>'10_SUB''s_+_demandadas_2023'!M14</f>
        <v>49</v>
      </c>
      <c r="O27" s="21">
        <f>((N27-39)/39)*100</f>
        <v>25.641025641025639</v>
      </c>
    </row>
    <row r="28" spans="1:15" ht="15">
      <c r="A28" s="450">
        <v>44958</v>
      </c>
      <c r="B28" s="76">
        <f>'10_SUB''s_+_demandadas_2023'!L11</f>
        <v>57</v>
      </c>
      <c r="C28" s="21">
        <f>((B28-B27)/B27)*100</f>
        <v>9.6153846153846168</v>
      </c>
      <c r="E28" s="450">
        <v>44958</v>
      </c>
      <c r="F28" s="76">
        <f>'10_SUB''s_+_demandadas_2023'!L12</f>
        <v>59</v>
      </c>
      <c r="G28" s="21">
        <f>((F28-F27)/F27)*100</f>
        <v>22.916666666666664</v>
      </c>
      <c r="I28" s="450">
        <v>44958</v>
      </c>
      <c r="J28" s="76">
        <f>'10_SUB''s_+_demandadas_2023'!L13</f>
        <v>51</v>
      </c>
      <c r="K28" s="21">
        <f>((J28-J27)/J27)*100</f>
        <v>15.909090909090908</v>
      </c>
      <c r="M28" s="450">
        <v>44958</v>
      </c>
      <c r="N28" s="76">
        <f>'10_SUB''s_+_demandadas_2023'!L14</f>
        <v>47</v>
      </c>
      <c r="O28" s="21">
        <f>((N28-N27)/N27)*100</f>
        <v>-4.0816326530612246</v>
      </c>
    </row>
    <row r="29" spans="1:15" ht="15">
      <c r="A29" s="450">
        <v>44986</v>
      </c>
      <c r="B29" s="76">
        <f>'10_SUB''s_+_demandadas_2023'!$K$11</f>
        <v>66</v>
      </c>
      <c r="C29" s="21">
        <f>((B29-B28)/B28)*100</f>
        <v>15.789473684210526</v>
      </c>
      <c r="E29" s="450">
        <v>44986</v>
      </c>
      <c r="F29" s="76">
        <f>'10_SUB''s_+_demandadas_2023'!$K$12</f>
        <v>65</v>
      </c>
      <c r="G29" s="21">
        <f>((F29-F28)/F28)*100</f>
        <v>10.16949152542373</v>
      </c>
      <c r="I29" s="450">
        <v>44986</v>
      </c>
      <c r="J29" s="76">
        <f>'10_SUB''s_+_demandadas_2023'!$K$13</f>
        <v>68</v>
      </c>
      <c r="K29" s="21">
        <f>((J29-J28)/J28)*100</f>
        <v>33.333333333333329</v>
      </c>
      <c r="M29" s="450">
        <v>44986</v>
      </c>
      <c r="N29" s="76">
        <f>'10_SUB''s_+_demandadas_2023'!$K$14</f>
        <v>55</v>
      </c>
      <c r="O29" s="21">
        <f>((N29-N28)/N28)*100</f>
        <v>17.021276595744681</v>
      </c>
    </row>
    <row r="30" spans="1:15" ht="15">
      <c r="A30" s="450">
        <v>45017</v>
      </c>
      <c r="B30" s="76"/>
      <c r="C30" s="21"/>
      <c r="E30" s="450">
        <v>45017</v>
      </c>
      <c r="F30" s="76"/>
      <c r="G30" s="21"/>
      <c r="I30" s="450">
        <v>45017</v>
      </c>
      <c r="J30" s="76"/>
      <c r="K30" s="21"/>
      <c r="M30" s="450">
        <v>45017</v>
      </c>
      <c r="N30" s="76"/>
      <c r="O30" s="21"/>
    </row>
    <row r="31" spans="1:15" ht="15">
      <c r="A31" s="450">
        <v>45047</v>
      </c>
      <c r="B31" s="76"/>
      <c r="C31" s="21"/>
      <c r="E31" s="450">
        <v>45047</v>
      </c>
      <c r="F31" s="76"/>
      <c r="G31" s="21"/>
      <c r="I31" s="450">
        <v>45047</v>
      </c>
      <c r="J31" s="76"/>
      <c r="K31" s="21"/>
      <c r="M31" s="450">
        <v>45047</v>
      </c>
      <c r="N31" s="76"/>
      <c r="O31" s="21"/>
    </row>
    <row r="32" spans="1:15" ht="15">
      <c r="A32" s="450">
        <v>45078</v>
      </c>
      <c r="B32" s="76"/>
      <c r="C32" s="21"/>
      <c r="E32" s="450">
        <v>45078</v>
      </c>
      <c r="F32" s="76"/>
      <c r="G32" s="21"/>
      <c r="I32" s="450">
        <v>45078</v>
      </c>
      <c r="J32" s="76"/>
      <c r="K32" s="21"/>
      <c r="M32" s="450">
        <v>45078</v>
      </c>
      <c r="N32" s="76"/>
      <c r="O32" s="21"/>
    </row>
    <row r="33" spans="1:15" ht="15">
      <c r="A33" s="450">
        <v>45108</v>
      </c>
      <c r="B33" s="76"/>
      <c r="C33" s="21"/>
      <c r="E33" s="450">
        <v>45108</v>
      </c>
      <c r="F33" s="76"/>
      <c r="G33" s="21"/>
      <c r="I33" s="450">
        <v>45108</v>
      </c>
      <c r="J33" s="76"/>
      <c r="K33" s="21"/>
      <c r="M33" s="450">
        <v>45108</v>
      </c>
      <c r="N33" s="76"/>
      <c r="O33" s="21"/>
    </row>
    <row r="34" spans="1:15" ht="15">
      <c r="A34" s="450">
        <v>45139</v>
      </c>
      <c r="B34" s="76"/>
      <c r="C34" s="21"/>
      <c r="E34" s="450">
        <v>45139</v>
      </c>
      <c r="F34" s="76"/>
      <c r="G34" s="21"/>
      <c r="I34" s="450">
        <v>45139</v>
      </c>
      <c r="J34" s="76"/>
      <c r="K34" s="21"/>
      <c r="M34" s="450">
        <v>45139</v>
      </c>
      <c r="N34" s="76"/>
      <c r="O34" s="21"/>
    </row>
    <row r="35" spans="1:15" ht="15">
      <c r="A35" s="450">
        <v>45170</v>
      </c>
      <c r="B35" s="76"/>
      <c r="C35" s="21"/>
      <c r="E35" s="450">
        <v>45170</v>
      </c>
      <c r="F35" s="76"/>
      <c r="G35" s="21"/>
      <c r="I35" s="450">
        <v>45170</v>
      </c>
      <c r="J35" s="76"/>
      <c r="K35" s="21"/>
      <c r="M35" s="450">
        <v>45170</v>
      </c>
      <c r="N35" s="76"/>
      <c r="O35" s="21"/>
    </row>
    <row r="36" spans="1:15" ht="15">
      <c r="A36" s="450">
        <v>45200</v>
      </c>
      <c r="B36" s="76"/>
      <c r="C36" s="21"/>
      <c r="E36" s="450">
        <v>45200</v>
      </c>
      <c r="F36" s="76"/>
      <c r="G36" s="21"/>
      <c r="I36" s="450">
        <v>45200</v>
      </c>
      <c r="J36" s="76"/>
      <c r="K36" s="21"/>
      <c r="M36" s="450">
        <v>45200</v>
      </c>
      <c r="N36" s="76"/>
      <c r="O36" s="21"/>
    </row>
    <row r="37" spans="1:15" ht="15">
      <c r="A37" s="450">
        <v>45231</v>
      </c>
      <c r="B37" s="76"/>
      <c r="C37" s="21"/>
      <c r="E37" s="450">
        <v>45231</v>
      </c>
      <c r="F37" s="77"/>
      <c r="G37" s="21"/>
      <c r="I37" s="450">
        <v>45231</v>
      </c>
      <c r="J37" s="77"/>
      <c r="K37" s="21"/>
      <c r="M37" s="450">
        <v>45231</v>
      </c>
      <c r="N37" s="76"/>
      <c r="O37" s="21"/>
    </row>
    <row r="38" spans="1:15" ht="15.75" thickBot="1">
      <c r="A38" s="451">
        <v>45261</v>
      </c>
      <c r="B38" s="78"/>
      <c r="C38" s="27"/>
      <c r="E38" s="451">
        <v>45261</v>
      </c>
      <c r="F38" s="78"/>
      <c r="G38" s="21"/>
      <c r="I38" s="451">
        <v>45261</v>
      </c>
      <c r="J38" s="78"/>
      <c r="K38" s="27"/>
      <c r="M38" s="451">
        <v>45261</v>
      </c>
      <c r="N38" s="78"/>
      <c r="O38" s="27"/>
    </row>
    <row r="40" spans="1:15" ht="15" thickBot="1"/>
    <row r="41" spans="1:15" ht="15.75" thickBot="1">
      <c r="A41" s="998" t="str">
        <f>'10_SUB''s_+_demandadas_2023'!A15</f>
        <v>Ipiranga</v>
      </c>
      <c r="B41" s="998"/>
      <c r="C41" s="998"/>
      <c r="E41" s="998" t="str">
        <f>'10_SUB''s_+_demandadas_2023'!A16</f>
        <v>Campo Limpo</v>
      </c>
      <c r="F41" s="998"/>
      <c r="G41" s="998"/>
    </row>
    <row r="42" spans="1:15" ht="15.75" thickBot="1">
      <c r="A42" s="18" t="s">
        <v>7</v>
      </c>
      <c r="B42" s="19" t="s">
        <v>151</v>
      </c>
      <c r="C42" s="19" t="s">
        <v>152</v>
      </c>
      <c r="E42" s="18" t="s">
        <v>7</v>
      </c>
      <c r="F42" s="19" t="s">
        <v>151</v>
      </c>
      <c r="G42" s="19" t="s">
        <v>152</v>
      </c>
    </row>
    <row r="43" spans="1:15" ht="15">
      <c r="A43" s="449">
        <v>44927</v>
      </c>
      <c r="B43" s="75">
        <f>'10_SUB''s_+_demandadas_2023'!M15</f>
        <v>41</v>
      </c>
      <c r="C43" s="21">
        <f>((B43-51)/51)*100</f>
        <v>-19.607843137254903</v>
      </c>
      <c r="E43" s="449">
        <v>44927</v>
      </c>
      <c r="F43" s="99">
        <f>'10_SUB''s_+_demandadas_2023'!M16</f>
        <v>62</v>
      </c>
      <c r="G43" s="21">
        <f>((F43-31)/31)*100</f>
        <v>100</v>
      </c>
    </row>
    <row r="44" spans="1:15" ht="15">
      <c r="A44" s="450">
        <v>44958</v>
      </c>
      <c r="B44" s="76">
        <f>'10_SUB''s_+_demandadas_2023'!L15</f>
        <v>65</v>
      </c>
      <c r="C44" s="21">
        <f>((B44-B43)/B43)*100</f>
        <v>58.536585365853654</v>
      </c>
      <c r="E44" s="450">
        <v>44958</v>
      </c>
      <c r="F44" s="120">
        <f>'10_SUB''s_+_demandadas_2023'!L16</f>
        <v>48</v>
      </c>
      <c r="G44" s="21">
        <f>((F44-F43)/F43)*100</f>
        <v>-22.58064516129032</v>
      </c>
    </row>
    <row r="45" spans="1:15" ht="15">
      <c r="A45" s="450">
        <v>44986</v>
      </c>
      <c r="B45" s="76">
        <f>'10_SUB''s_+_demandadas_2023'!$K$15</f>
        <v>43</v>
      </c>
      <c r="C45" s="21">
        <f>((B45-B44)/B44)*100</f>
        <v>-33.846153846153847</v>
      </c>
      <c r="E45" s="450">
        <v>44986</v>
      </c>
      <c r="F45" s="56">
        <f>'10_SUB''s_+_demandadas_2023'!$K$16</f>
        <v>36</v>
      </c>
      <c r="G45" s="21">
        <f>((F45-F44)/F44)*100</f>
        <v>-25</v>
      </c>
    </row>
    <row r="46" spans="1:15" ht="15">
      <c r="A46" s="450">
        <v>45017</v>
      </c>
      <c r="B46" s="76"/>
      <c r="C46" s="21"/>
      <c r="E46" s="450">
        <v>45017</v>
      </c>
      <c r="F46" s="56"/>
      <c r="G46" s="21"/>
    </row>
    <row r="47" spans="1:15" ht="15">
      <c r="A47" s="450">
        <v>45047</v>
      </c>
      <c r="B47" s="76"/>
      <c r="C47" s="21"/>
      <c r="E47" s="450">
        <v>45047</v>
      </c>
      <c r="F47" s="56"/>
      <c r="G47" s="21"/>
    </row>
    <row r="48" spans="1:15" ht="15">
      <c r="A48" s="450">
        <v>45078</v>
      </c>
      <c r="B48" s="76"/>
      <c r="C48" s="21"/>
      <c r="E48" s="450">
        <v>45078</v>
      </c>
      <c r="F48" s="56"/>
      <c r="G48" s="21"/>
    </row>
    <row r="49" spans="1:11" ht="15">
      <c r="A49" s="450">
        <v>45108</v>
      </c>
      <c r="B49" s="76"/>
      <c r="C49" s="21"/>
      <c r="E49" s="450">
        <v>45108</v>
      </c>
      <c r="F49" s="99"/>
      <c r="G49" s="21"/>
    </row>
    <row r="50" spans="1:11" ht="15">
      <c r="A50" s="450">
        <v>45139</v>
      </c>
      <c r="B50" s="76"/>
      <c r="C50" s="21"/>
      <c r="E50" s="450">
        <v>45139</v>
      </c>
      <c r="F50" s="76"/>
      <c r="G50" s="21"/>
    </row>
    <row r="51" spans="1:11" ht="15">
      <c r="A51" s="450">
        <v>45170</v>
      </c>
      <c r="B51" s="76"/>
      <c r="C51" s="21"/>
      <c r="E51" s="450">
        <v>45170</v>
      </c>
      <c r="F51" s="76"/>
      <c r="G51" s="21"/>
    </row>
    <row r="52" spans="1:11" ht="15">
      <c r="A52" s="450">
        <v>45200</v>
      </c>
      <c r="B52" s="76"/>
      <c r="C52" s="21"/>
      <c r="E52" s="450">
        <v>45200</v>
      </c>
      <c r="F52" s="76"/>
      <c r="G52" s="21"/>
    </row>
    <row r="53" spans="1:11" ht="15">
      <c r="A53" s="450">
        <v>45231</v>
      </c>
      <c r="B53" s="77"/>
      <c r="C53" s="21"/>
      <c r="E53" s="450">
        <v>45231</v>
      </c>
      <c r="F53" s="77"/>
      <c r="G53" s="21"/>
    </row>
    <row r="54" spans="1:11" ht="15.75" thickBot="1">
      <c r="A54" s="451">
        <v>45261</v>
      </c>
      <c r="B54" s="78"/>
      <c r="C54" s="27"/>
      <c r="E54" s="451">
        <v>45261</v>
      </c>
      <c r="F54" s="78"/>
      <c r="G54" s="27"/>
    </row>
    <row r="56" spans="1:11">
      <c r="B56" s="23"/>
      <c r="C56" s="23"/>
    </row>
    <row r="57" spans="1:11" ht="15">
      <c r="A57" s="999"/>
      <c r="B57" s="999"/>
      <c r="C57" s="999"/>
      <c r="D57" s="999"/>
      <c r="F57" s="999"/>
      <c r="G57" s="999"/>
      <c r="H57" s="999"/>
      <c r="I57" s="999"/>
      <c r="J57" s="999"/>
      <c r="K57" s="28"/>
    </row>
    <row r="58" spans="1:11">
      <c r="A58" s="105"/>
      <c r="B58" s="23"/>
      <c r="C58" s="23"/>
    </row>
    <row r="59" spans="1:11" ht="15">
      <c r="B59" s="23"/>
      <c r="C59" s="23"/>
      <c r="F59" s="997"/>
      <c r="G59" s="997"/>
      <c r="H59" s="997"/>
      <c r="I59" s="997"/>
      <c r="J59" s="997"/>
      <c r="K59" s="997"/>
    </row>
    <row r="60" spans="1:11">
      <c r="B60" s="23"/>
      <c r="C60" s="23"/>
    </row>
    <row r="61" spans="1:11" ht="15">
      <c r="A61" s="997"/>
      <c r="B61" s="997"/>
      <c r="C61" s="997"/>
      <c r="D61" s="997"/>
    </row>
    <row r="102" ht="57" customHeight="1"/>
    <row r="104" ht="81" customHeight="1"/>
    <row r="106" ht="85.5" customHeight="1"/>
    <row r="108" ht="56.25" customHeight="1"/>
  </sheetData>
  <mergeCells count="14">
    <mergeCell ref="F59:K59"/>
    <mergeCell ref="A61:D61"/>
    <mergeCell ref="A41:C41"/>
    <mergeCell ref="E41:G41"/>
    <mergeCell ref="A57:D57"/>
    <mergeCell ref="F57:J57"/>
    <mergeCell ref="A9:C9"/>
    <mergeCell ref="E9:G9"/>
    <mergeCell ref="I9:K9"/>
    <mergeCell ref="M9:O9"/>
    <mergeCell ref="A25:C25"/>
    <mergeCell ref="E25:G25"/>
    <mergeCell ref="I25:K25"/>
    <mergeCell ref="M25:O25"/>
  </mergeCells>
  <pageMargins left="0.511811024" right="0.511811024" top="0.78740157500000008" bottom="0.78740157500000008" header="0.31496062000000008" footer="0.31496062000000008"/>
  <pageSetup paperSize="0" fitToWidth="0" fitToHeight="0" orientation="portrait" horizontalDpi="0" verticalDpi="0" copie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workbookViewId="0"/>
  </sheetViews>
  <sheetFormatPr defaultRowHeight="15"/>
  <cols>
    <col min="1" max="1" width="27" customWidth="1"/>
    <col min="2" max="2" width="10.7109375" style="65" bestFit="1" customWidth="1"/>
    <col min="3" max="8" width="9.140625" customWidth="1"/>
    <col min="9" max="9" width="53.5703125" bestFit="1" customWidth="1"/>
    <col min="10" max="10" width="9.140625" customWidth="1"/>
  </cols>
  <sheetData>
    <row r="1" spans="1:9">
      <c r="A1" s="51" t="s">
        <v>0</v>
      </c>
    </row>
    <row r="2" spans="1:9">
      <c r="A2" s="5" t="s">
        <v>1</v>
      </c>
    </row>
    <row r="3" spans="1:9" ht="15.75" thickBot="1"/>
    <row r="4" spans="1:9" ht="15" customHeight="1" thickBot="1">
      <c r="A4" s="812" t="s">
        <v>146</v>
      </c>
      <c r="B4" s="333">
        <v>44986</v>
      </c>
      <c r="C4" s="121"/>
      <c r="I4" s="23"/>
    </row>
    <row r="5" spans="1:9">
      <c r="A5" s="802" t="s">
        <v>397</v>
      </c>
      <c r="B5" s="833">
        <v>140</v>
      </c>
      <c r="C5" s="381"/>
    </row>
    <row r="6" spans="1:9">
      <c r="A6" s="802" t="s">
        <v>404</v>
      </c>
      <c r="B6" s="833">
        <v>78</v>
      </c>
      <c r="C6" s="381"/>
    </row>
    <row r="7" spans="1:9">
      <c r="A7" s="802" t="s">
        <v>399</v>
      </c>
      <c r="B7" s="833">
        <v>75</v>
      </c>
      <c r="C7" s="381"/>
    </row>
    <row r="8" spans="1:9">
      <c r="A8" s="802" t="s">
        <v>396</v>
      </c>
      <c r="B8" s="833">
        <v>70</v>
      </c>
      <c r="C8" s="381"/>
    </row>
    <row r="9" spans="1:9">
      <c r="A9" s="802" t="s">
        <v>405</v>
      </c>
      <c r="B9" s="833">
        <v>68</v>
      </c>
      <c r="C9" s="384"/>
    </row>
    <row r="10" spans="1:9">
      <c r="A10" s="802" t="s">
        <v>400</v>
      </c>
      <c r="B10" s="833">
        <v>66</v>
      </c>
      <c r="C10" s="381"/>
    </row>
    <row r="11" spans="1:9">
      <c r="A11" s="802" t="s">
        <v>402</v>
      </c>
      <c r="B11" s="833">
        <v>65</v>
      </c>
      <c r="C11" s="381"/>
    </row>
    <row r="12" spans="1:9">
      <c r="A12" s="802" t="s">
        <v>423</v>
      </c>
      <c r="B12" s="833">
        <v>57</v>
      </c>
      <c r="C12" s="381"/>
    </row>
    <row r="13" spans="1:9">
      <c r="A13" s="802" t="s">
        <v>401</v>
      </c>
      <c r="B13" s="833">
        <v>55</v>
      </c>
      <c r="C13" s="381"/>
    </row>
    <row r="14" spans="1:9">
      <c r="A14" s="802" t="s">
        <v>422</v>
      </c>
      <c r="B14" s="833">
        <v>54</v>
      </c>
      <c r="C14" s="381"/>
    </row>
    <row r="15" spans="1:9">
      <c r="A15" s="802" t="s">
        <v>403</v>
      </c>
      <c r="B15" s="833">
        <v>51</v>
      </c>
      <c r="C15" s="828"/>
    </row>
    <row r="16" spans="1:9">
      <c r="A16" s="802" t="s">
        <v>408</v>
      </c>
      <c r="B16" s="833">
        <v>50</v>
      </c>
      <c r="C16" s="381"/>
    </row>
    <row r="17" spans="1:3">
      <c r="A17" s="802" t="s">
        <v>428</v>
      </c>
      <c r="B17" s="833">
        <v>44</v>
      </c>
      <c r="C17" s="381"/>
    </row>
    <row r="18" spans="1:3">
      <c r="A18" s="802" t="s">
        <v>415</v>
      </c>
      <c r="B18" s="833">
        <v>43</v>
      </c>
      <c r="C18" s="381"/>
    </row>
    <row r="19" spans="1:3">
      <c r="A19" s="802" t="s">
        <v>407</v>
      </c>
      <c r="B19" s="833">
        <v>40</v>
      </c>
      <c r="C19" s="381"/>
    </row>
    <row r="20" spans="1:3">
      <c r="A20" s="802" t="s">
        <v>409</v>
      </c>
      <c r="B20" s="833">
        <v>40</v>
      </c>
      <c r="C20" s="381"/>
    </row>
    <row r="21" spans="1:3">
      <c r="A21" s="802" t="s">
        <v>410</v>
      </c>
      <c r="B21" s="833">
        <v>37</v>
      </c>
      <c r="C21" s="381"/>
    </row>
    <row r="22" spans="1:3">
      <c r="A22" s="802" t="s">
        <v>398</v>
      </c>
      <c r="B22" s="833">
        <v>36</v>
      </c>
      <c r="C22" s="381"/>
    </row>
    <row r="23" spans="1:3">
      <c r="A23" s="802" t="s">
        <v>419</v>
      </c>
      <c r="B23" s="833">
        <v>33</v>
      </c>
      <c r="C23" s="381"/>
    </row>
    <row r="24" spans="1:3">
      <c r="A24" s="802" t="s">
        <v>417</v>
      </c>
      <c r="B24" s="833">
        <v>28</v>
      </c>
      <c r="C24" s="381"/>
    </row>
    <row r="25" spans="1:3">
      <c r="A25" s="802" t="s">
        <v>416</v>
      </c>
      <c r="B25" s="833">
        <v>27</v>
      </c>
      <c r="C25" s="381"/>
    </row>
    <row r="26" spans="1:3">
      <c r="A26" s="802" t="s">
        <v>424</v>
      </c>
      <c r="B26" s="833">
        <v>27</v>
      </c>
      <c r="C26" s="381"/>
    </row>
    <row r="27" spans="1:3">
      <c r="A27" s="802" t="s">
        <v>427</v>
      </c>
      <c r="B27" s="833">
        <v>27</v>
      </c>
      <c r="C27" s="381"/>
    </row>
    <row r="28" spans="1:3">
      <c r="A28" s="802" t="s">
        <v>418</v>
      </c>
      <c r="B28" s="833">
        <v>26</v>
      </c>
      <c r="C28" s="381"/>
    </row>
    <row r="29" spans="1:3">
      <c r="A29" s="802" t="s">
        <v>426</v>
      </c>
      <c r="B29" s="833">
        <v>21</v>
      </c>
      <c r="C29" s="381"/>
    </row>
    <row r="30" spans="1:3">
      <c r="A30" s="802" t="s">
        <v>413</v>
      </c>
      <c r="B30" s="833">
        <v>20</v>
      </c>
      <c r="C30" s="381"/>
    </row>
    <row r="31" spans="1:3">
      <c r="A31" s="802" t="s">
        <v>425</v>
      </c>
      <c r="B31" s="833">
        <v>17</v>
      </c>
      <c r="C31" s="381"/>
    </row>
    <row r="32" spans="1:3">
      <c r="A32" s="802" t="s">
        <v>421</v>
      </c>
      <c r="B32" s="833">
        <v>14</v>
      </c>
      <c r="C32" s="381"/>
    </row>
    <row r="33" spans="1:10">
      <c r="A33" s="802" t="s">
        <v>412</v>
      </c>
      <c r="B33" s="833">
        <v>10</v>
      </c>
      <c r="C33" s="381"/>
    </row>
    <row r="34" spans="1:10">
      <c r="A34" s="802" t="s">
        <v>414</v>
      </c>
      <c r="B34" s="833">
        <v>10</v>
      </c>
      <c r="C34" s="381"/>
    </row>
    <row r="35" spans="1:10">
      <c r="A35" s="802" t="s">
        <v>411</v>
      </c>
      <c r="B35" s="833">
        <v>7</v>
      </c>
      <c r="C35" s="381"/>
    </row>
    <row r="36" spans="1:10" ht="15.75" thickBot="1">
      <c r="A36" s="802" t="s">
        <v>420</v>
      </c>
      <c r="B36" s="833">
        <v>7</v>
      </c>
      <c r="C36" s="381"/>
    </row>
    <row r="37" spans="1:10" ht="15.75" thickBot="1">
      <c r="A37" s="810" t="s">
        <v>203</v>
      </c>
      <c r="B37" s="811">
        <f>SUM(B5:B36)</f>
        <v>1343</v>
      </c>
      <c r="C37" s="92"/>
      <c r="H37" s="1"/>
      <c r="I37" s="109"/>
      <c r="J37" s="1"/>
    </row>
    <row r="38" spans="1:10">
      <c r="H38" s="1"/>
      <c r="I38" s="109"/>
      <c r="J38" s="1"/>
    </row>
    <row r="39" spans="1:10">
      <c r="H39" s="1"/>
      <c r="I39" s="109"/>
      <c r="J39" s="1"/>
    </row>
    <row r="40" spans="1:10">
      <c r="H40" s="1"/>
      <c r="I40" s="109"/>
      <c r="J40" s="1"/>
    </row>
  </sheetData>
  <pageMargins left="0.511811024" right="0.511811024" top="0.78740157500000008" bottom="0.78740157500000008" header="0.31496062000000008" footer="0.31496062000000008"/>
  <ignoredErrors>
    <ignoredError sqref="B37" formulaRange="1"/>
  </ignoredError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4"/>
  <sheetViews>
    <sheetView zoomScale="90" zoomScaleNormal="90" workbookViewId="0"/>
  </sheetViews>
  <sheetFormatPr defaultRowHeight="15"/>
  <cols>
    <col min="1" max="1" width="15.42578125" customWidth="1"/>
    <col min="2" max="2" width="10.5703125" customWidth="1"/>
    <col min="3" max="3" width="10.28515625" customWidth="1"/>
    <col min="4" max="4" width="9.5703125" customWidth="1"/>
    <col min="5" max="5" width="7.7109375" bestFit="1" customWidth="1"/>
    <col min="6" max="6" width="11" customWidth="1"/>
    <col min="7" max="7" width="10.28515625" customWidth="1"/>
    <col min="8" max="8" width="6.42578125" bestFit="1" customWidth="1"/>
    <col min="9" max="9" width="7" bestFit="1" customWidth="1"/>
    <col min="10" max="10" width="6.5703125" bestFit="1" customWidth="1"/>
    <col min="11" max="11" width="7.140625" bestFit="1" customWidth="1"/>
    <col min="12" max="12" width="6.28515625" bestFit="1" customWidth="1"/>
    <col min="13" max="13" width="6.42578125" bestFit="1" customWidth="1"/>
    <col min="14" max="14" width="5.5703125" bestFit="1" customWidth="1"/>
    <col min="15" max="15" width="7.7109375" bestFit="1" customWidth="1"/>
    <col min="16" max="16" width="9.85546875" customWidth="1"/>
    <col min="17" max="17" width="8.140625" bestFit="1" customWidth="1"/>
  </cols>
  <sheetData>
    <row r="1" spans="1:18" s="212" customFormat="1">
      <c r="A1" s="51" t="s">
        <v>0</v>
      </c>
    </row>
    <row r="2" spans="1:18" s="212" customFormat="1">
      <c r="A2" s="5" t="s">
        <v>1</v>
      </c>
    </row>
    <row r="3" spans="1:18" s="212" customFormat="1" ht="15.75" thickBot="1"/>
    <row r="4" spans="1:18" ht="46.5" customHeight="1" thickBot="1">
      <c r="A4" s="214" t="s">
        <v>219</v>
      </c>
      <c r="B4" s="215">
        <v>45261</v>
      </c>
      <c r="C4" s="215">
        <v>45231</v>
      </c>
      <c r="D4" s="215">
        <v>45200</v>
      </c>
      <c r="E4" s="215">
        <v>45170</v>
      </c>
      <c r="F4" s="215">
        <v>45139</v>
      </c>
      <c r="G4" s="215">
        <v>45108</v>
      </c>
      <c r="H4" s="215">
        <v>45078</v>
      </c>
      <c r="I4" s="216">
        <v>45047</v>
      </c>
      <c r="J4" s="215">
        <v>45017</v>
      </c>
      <c r="K4" s="217">
        <v>44986</v>
      </c>
      <c r="L4" s="218">
        <v>44958</v>
      </c>
      <c r="M4" s="218">
        <v>44927</v>
      </c>
      <c r="N4" s="218" t="s">
        <v>3</v>
      </c>
      <c r="O4" s="219" t="s">
        <v>218</v>
      </c>
      <c r="P4" s="301" t="s">
        <v>444</v>
      </c>
      <c r="Q4" s="213" t="s">
        <v>429</v>
      </c>
    </row>
    <row r="5" spans="1:18" ht="15.75" thickBot="1">
      <c r="A5" s="220" t="s">
        <v>205</v>
      </c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2"/>
      <c r="N5" s="223"/>
      <c r="O5" s="224"/>
      <c r="P5" s="225"/>
      <c r="Q5" s="226"/>
    </row>
    <row r="6" spans="1:18" ht="15.75" thickBot="1">
      <c r="A6" s="227" t="s">
        <v>204</v>
      </c>
      <c r="B6" s="228"/>
      <c r="C6" s="229"/>
      <c r="D6" s="229"/>
      <c r="E6" s="229"/>
      <c r="F6" s="229"/>
      <c r="G6" s="229"/>
      <c r="H6" s="229"/>
      <c r="I6" s="229"/>
      <c r="J6" s="229"/>
      <c r="K6" s="229">
        <v>71</v>
      </c>
      <c r="L6" s="229">
        <v>40</v>
      </c>
      <c r="M6" s="347">
        <v>38</v>
      </c>
      <c r="N6" s="686">
        <f>SUM(B6:M6)</f>
        <v>149</v>
      </c>
      <c r="O6" s="346">
        <f>AVERAGE(B6:M6)</f>
        <v>49.666666666666664</v>
      </c>
      <c r="P6" s="306">
        <f>(K6/K$9)*100</f>
        <v>43.827160493827158</v>
      </c>
      <c r="Q6" s="306">
        <f>(N6/N$15)*100</f>
        <v>18.41779975278121</v>
      </c>
    </row>
    <row r="7" spans="1:18">
      <c r="A7" s="439" t="s">
        <v>235</v>
      </c>
      <c r="B7" s="343"/>
      <c r="C7" s="342"/>
      <c r="D7" s="342"/>
      <c r="E7" s="342"/>
      <c r="F7" s="342"/>
      <c r="G7" s="342"/>
      <c r="H7" s="342"/>
      <c r="I7" s="342"/>
      <c r="J7" s="342"/>
      <c r="K7" s="342">
        <v>91</v>
      </c>
      <c r="L7" s="342">
        <v>61</v>
      </c>
      <c r="M7" s="348">
        <v>100</v>
      </c>
      <c r="N7" s="687">
        <f>SUM(B7:M7)</f>
        <v>252</v>
      </c>
      <c r="O7" s="691">
        <f>AVERAGE(B7:M7)</f>
        <v>84</v>
      </c>
      <c r="P7" s="306">
        <f>(K7/K$9)*100</f>
        <v>56.172839506172842</v>
      </c>
      <c r="Q7" s="252">
        <f>(N7/N$15)*100</f>
        <v>31.1495673671199</v>
      </c>
    </row>
    <row r="8" spans="1:18" s="335" customFormat="1" ht="15.75" thickBot="1">
      <c r="A8" s="440" t="s">
        <v>236</v>
      </c>
      <c r="B8" s="344"/>
      <c r="C8" s="345"/>
      <c r="D8" s="345"/>
      <c r="E8" s="345"/>
      <c r="F8" s="345"/>
      <c r="G8" s="345"/>
      <c r="H8" s="345"/>
      <c r="I8" s="345"/>
      <c r="J8" s="345"/>
      <c r="K8" s="345">
        <v>2</v>
      </c>
      <c r="L8" s="345">
        <v>1</v>
      </c>
      <c r="M8" s="349">
        <v>1</v>
      </c>
      <c r="N8" s="688">
        <f>SUM(B8:M8)</f>
        <v>4</v>
      </c>
      <c r="O8" s="692">
        <f>AVERAGE(B8:M8)</f>
        <v>1.3333333333333333</v>
      </c>
      <c r="P8" s="690"/>
      <c r="Q8" s="252">
        <f>(N8/N$15)*100</f>
        <v>0.4944375772558714</v>
      </c>
    </row>
    <row r="9" spans="1:18" s="335" customFormat="1" ht="24.75" customHeight="1" thickBot="1">
      <c r="A9" s="441" t="s">
        <v>254</v>
      </c>
      <c r="B9" s="350" t="s">
        <v>445</v>
      </c>
      <c r="C9" s="350" t="s">
        <v>445</v>
      </c>
      <c r="D9" s="350" t="s">
        <v>445</v>
      </c>
      <c r="E9" s="350" t="s">
        <v>445</v>
      </c>
      <c r="F9" s="350" t="s">
        <v>445</v>
      </c>
      <c r="G9" s="350" t="s">
        <v>445</v>
      </c>
      <c r="H9" s="350" t="s">
        <v>445</v>
      </c>
      <c r="I9" s="350" t="s">
        <v>445</v>
      </c>
      <c r="J9" s="350" t="s">
        <v>445</v>
      </c>
      <c r="K9" s="350">
        <f>SUM(K6:K7)</f>
        <v>162</v>
      </c>
      <c r="L9" s="350">
        <f>SUM(L6:L7)</f>
        <v>101</v>
      </c>
      <c r="M9" s="351">
        <f>SUM(M6:M7)</f>
        <v>138</v>
      </c>
      <c r="N9" s="689">
        <f>SUM(N6:N7)</f>
        <v>401</v>
      </c>
      <c r="O9" s="944">
        <f>AVERAGE(B9:M9)</f>
        <v>133.66666666666666</v>
      </c>
      <c r="P9" s="352">
        <f>SUM(P6:P7)</f>
        <v>100</v>
      </c>
      <c r="Q9" s="337"/>
    </row>
    <row r="10" spans="1:18" ht="15.75" thickBot="1">
      <c r="A10" s="257" t="s">
        <v>234</v>
      </c>
      <c r="B10" s="339"/>
      <c r="C10" s="339"/>
      <c r="D10" s="339"/>
      <c r="E10" s="339"/>
      <c r="F10" s="339"/>
      <c r="G10" s="339"/>
      <c r="H10" s="339"/>
      <c r="I10" s="339"/>
      <c r="J10" s="339"/>
      <c r="K10" s="340">
        <f>SUM(K6:K8)</f>
        <v>164</v>
      </c>
      <c r="L10" s="340">
        <f>SUM(L6:L8)</f>
        <v>102</v>
      </c>
      <c r="M10" s="340">
        <f>SUM(M6:M8)</f>
        <v>139</v>
      </c>
      <c r="N10" s="341">
        <f>SUM(N6:N8)</f>
        <v>405</v>
      </c>
      <c r="O10" s="945">
        <f>AVERAGE(B10:M10)</f>
        <v>135</v>
      </c>
      <c r="P10" s="338"/>
      <c r="Q10" s="252">
        <f>SUM(Q6:Q8)</f>
        <v>50.06180469715698</v>
      </c>
    </row>
    <row r="11" spans="1:18" ht="15.75" thickBot="1">
      <c r="A11" s="233"/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5"/>
      <c r="N11" s="236"/>
      <c r="O11" s="237"/>
      <c r="P11" s="238"/>
      <c r="Q11" s="239"/>
    </row>
    <row r="12" spans="1:18" ht="15.75" thickBot="1">
      <c r="A12" s="240" t="s">
        <v>206</v>
      </c>
      <c r="B12" s="241"/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2"/>
      <c r="N12" s="242"/>
      <c r="O12" s="243"/>
      <c r="P12" s="244"/>
      <c r="Q12" s="245"/>
    </row>
    <row r="13" spans="1:18" ht="15.75" thickBot="1">
      <c r="A13" s="246" t="s">
        <v>206</v>
      </c>
      <c r="B13" s="247"/>
      <c r="C13" s="248"/>
      <c r="D13" s="248"/>
      <c r="E13" s="248"/>
      <c r="F13" s="248"/>
      <c r="G13" s="248"/>
      <c r="H13" s="248"/>
      <c r="I13" s="248"/>
      <c r="J13" s="248"/>
      <c r="K13" s="248">
        <v>149</v>
      </c>
      <c r="L13" s="248">
        <v>143</v>
      </c>
      <c r="M13" s="249">
        <v>112</v>
      </c>
      <c r="N13" s="250">
        <f>SUM(B13:M13)</f>
        <v>404</v>
      </c>
      <c r="O13" s="251">
        <f>AVERAGE(B13:M13)</f>
        <v>134.66666666666666</v>
      </c>
      <c r="P13" s="336"/>
      <c r="Q13" s="252">
        <f>(N13/N$15)*100</f>
        <v>49.938195302843013</v>
      </c>
    </row>
    <row r="14" spans="1:18" ht="15.75" thickBot="1">
      <c r="A14" s="233"/>
      <c r="B14" s="234"/>
      <c r="C14" s="234"/>
      <c r="D14" s="234"/>
      <c r="E14" s="234"/>
      <c r="F14" s="234"/>
      <c r="G14" s="234"/>
      <c r="H14" s="234"/>
      <c r="I14" s="234"/>
      <c r="J14" s="234"/>
      <c r="K14" s="234"/>
      <c r="L14" s="234"/>
      <c r="M14" s="235"/>
      <c r="N14" s="253"/>
      <c r="O14" s="254"/>
      <c r="P14" s="255"/>
      <c r="Q14" s="256"/>
    </row>
    <row r="15" spans="1:18" ht="15.75" thickBot="1">
      <c r="A15" s="257" t="s">
        <v>16</v>
      </c>
      <c r="B15" s="230" t="s">
        <v>445</v>
      </c>
      <c r="C15" s="230" t="s">
        <v>445</v>
      </c>
      <c r="D15" s="230" t="s">
        <v>445</v>
      </c>
      <c r="E15" s="230" t="s">
        <v>445</v>
      </c>
      <c r="F15" s="230" t="s">
        <v>445</v>
      </c>
      <c r="G15" s="230" t="s">
        <v>445</v>
      </c>
      <c r="H15" s="230" t="s">
        <v>445</v>
      </c>
      <c r="I15" s="230" t="s">
        <v>445</v>
      </c>
      <c r="J15" s="230" t="s">
        <v>445</v>
      </c>
      <c r="K15" s="230">
        <f>K10+K13</f>
        <v>313</v>
      </c>
      <c r="L15" s="230">
        <f>L10+L13</f>
        <v>245</v>
      </c>
      <c r="M15" s="230">
        <f>M10+M13</f>
        <v>251</v>
      </c>
      <c r="N15" s="230">
        <f>N10+N13</f>
        <v>809</v>
      </c>
      <c r="O15" s="232">
        <f>AVERAGE(B15:M15)</f>
        <v>269.66666666666669</v>
      </c>
      <c r="P15" s="338"/>
      <c r="Q15" s="231">
        <f>SUM(Q10:Q13)</f>
        <v>100</v>
      </c>
      <c r="R15" s="25"/>
    </row>
    <row r="16" spans="1:18" ht="15.75" thickBot="1"/>
    <row r="17" spans="1:7" ht="15.75" thickBot="1">
      <c r="A17" s="1000" t="s">
        <v>253</v>
      </c>
      <c r="B17" s="1000"/>
      <c r="C17" s="1000"/>
      <c r="D17" s="278"/>
      <c r="E17" s="1000" t="s">
        <v>206</v>
      </c>
      <c r="F17" s="1000"/>
      <c r="G17" s="1000"/>
    </row>
    <row r="18" spans="1:7" ht="15.75" thickBot="1">
      <c r="A18" s="279" t="s">
        <v>7</v>
      </c>
      <c r="B18" s="277" t="s">
        <v>151</v>
      </c>
      <c r="C18" s="277" t="s">
        <v>152</v>
      </c>
      <c r="D18" s="278"/>
      <c r="E18" s="279" t="s">
        <v>7</v>
      </c>
      <c r="F18" s="277" t="s">
        <v>151</v>
      </c>
      <c r="G18" s="277" t="s">
        <v>152</v>
      </c>
    </row>
    <row r="19" spans="1:7">
      <c r="A19" s="456">
        <v>44927</v>
      </c>
      <c r="B19" s="280">
        <f>M9</f>
        <v>138</v>
      </c>
      <c r="C19" s="281">
        <f>((B19-81)/81)*100</f>
        <v>70.370370370370367</v>
      </c>
      <c r="D19" s="278"/>
      <c r="E19" s="456">
        <v>44927</v>
      </c>
      <c r="F19" s="280">
        <f>M13</f>
        <v>112</v>
      </c>
      <c r="G19" s="281">
        <f>((F19-98)/98)*100</f>
        <v>14.285714285714285</v>
      </c>
    </row>
    <row r="20" spans="1:7">
      <c r="A20" s="457">
        <v>44958</v>
      </c>
      <c r="B20" s="282">
        <f>L9</f>
        <v>101</v>
      </c>
      <c r="C20" s="281">
        <f>((B20-B19)/B19)*100</f>
        <v>-26.811594202898554</v>
      </c>
      <c r="D20" s="278"/>
      <c r="E20" s="457">
        <v>44958</v>
      </c>
      <c r="F20" s="282">
        <f>L13</f>
        <v>143</v>
      </c>
      <c r="G20" s="281">
        <f>((F20-F19)/F19)*100</f>
        <v>27.678571428571431</v>
      </c>
    </row>
    <row r="21" spans="1:7">
      <c r="A21" s="457">
        <v>44986</v>
      </c>
      <c r="B21" s="282">
        <f>K9</f>
        <v>162</v>
      </c>
      <c r="C21" s="281">
        <f>((B21-B20)/B20)*100</f>
        <v>60.396039603960396</v>
      </c>
      <c r="D21" s="278"/>
      <c r="E21" s="457">
        <v>44986</v>
      </c>
      <c r="F21" s="282">
        <f>K13</f>
        <v>149</v>
      </c>
      <c r="G21" s="281">
        <f>((F21-F20)/F20)*100</f>
        <v>4.1958041958041958</v>
      </c>
    </row>
    <row r="22" spans="1:7">
      <c r="A22" s="457">
        <v>45017</v>
      </c>
      <c r="B22" s="282" t="str">
        <f>J9</f>
        <v xml:space="preserve"> </v>
      </c>
      <c r="C22" s="281"/>
      <c r="D22" s="278"/>
      <c r="E22" s="457">
        <v>45017</v>
      </c>
      <c r="F22" s="282"/>
      <c r="G22" s="281"/>
    </row>
    <row r="23" spans="1:7">
      <c r="A23" s="457">
        <v>45047</v>
      </c>
      <c r="B23" s="282" t="str">
        <f>I9</f>
        <v xml:space="preserve"> </v>
      </c>
      <c r="C23" s="281"/>
      <c r="D23" s="278"/>
      <c r="E23" s="457">
        <v>45047</v>
      </c>
      <c r="F23" s="282"/>
      <c r="G23" s="281"/>
    </row>
    <row r="24" spans="1:7">
      <c r="A24" s="457">
        <v>45078</v>
      </c>
      <c r="B24" s="282" t="str">
        <f>H9</f>
        <v xml:space="preserve"> </v>
      </c>
      <c r="C24" s="281"/>
      <c r="D24" s="278"/>
      <c r="E24" s="457">
        <v>45078</v>
      </c>
      <c r="F24" s="282"/>
      <c r="G24" s="281"/>
    </row>
    <row r="25" spans="1:7">
      <c r="A25" s="457">
        <v>45108</v>
      </c>
      <c r="B25" s="282" t="str">
        <f>G9</f>
        <v xml:space="preserve"> </v>
      </c>
      <c r="C25" s="281"/>
      <c r="D25" s="278"/>
      <c r="E25" s="457">
        <v>45108</v>
      </c>
      <c r="F25" s="282"/>
      <c r="G25" s="281"/>
    </row>
    <row r="26" spans="1:7">
      <c r="A26" s="457">
        <v>45139</v>
      </c>
      <c r="B26" s="282" t="str">
        <f>F9</f>
        <v xml:space="preserve"> </v>
      </c>
      <c r="C26" s="281"/>
      <c r="D26" s="278"/>
      <c r="E26" s="457">
        <v>45139</v>
      </c>
      <c r="F26" s="282"/>
      <c r="G26" s="281"/>
    </row>
    <row r="27" spans="1:7">
      <c r="A27" s="457">
        <v>45170</v>
      </c>
      <c r="B27" s="282" t="str">
        <f>E9</f>
        <v xml:space="preserve"> </v>
      </c>
      <c r="C27" s="281"/>
      <c r="D27" s="278"/>
      <c r="E27" s="457">
        <v>45170</v>
      </c>
      <c r="F27" s="282"/>
      <c r="G27" s="281"/>
    </row>
    <row r="28" spans="1:7">
      <c r="A28" s="457">
        <v>45200</v>
      </c>
      <c r="B28" s="282" t="str">
        <f>D9</f>
        <v xml:space="preserve"> </v>
      </c>
      <c r="C28" s="281"/>
      <c r="D28" s="278"/>
      <c r="E28" s="457">
        <v>45200</v>
      </c>
      <c r="F28" s="282"/>
      <c r="G28" s="281"/>
    </row>
    <row r="29" spans="1:7">
      <c r="A29" s="457">
        <v>45231</v>
      </c>
      <c r="B29" s="283" t="str">
        <f>C9</f>
        <v xml:space="preserve"> </v>
      </c>
      <c r="C29" s="281"/>
      <c r="D29" s="278"/>
      <c r="E29" s="457">
        <v>45231</v>
      </c>
      <c r="F29" s="283"/>
      <c r="G29" s="281"/>
    </row>
    <row r="30" spans="1:7" ht="15.75" thickBot="1">
      <c r="A30" s="458">
        <v>45261</v>
      </c>
      <c r="B30" s="284" t="str">
        <f>B9</f>
        <v xml:space="preserve"> </v>
      </c>
      <c r="C30" s="285"/>
      <c r="D30" s="278"/>
      <c r="E30" s="458">
        <v>45261</v>
      </c>
      <c r="F30" s="284"/>
      <c r="G30" s="285"/>
    </row>
    <row r="31" spans="1:7" s="418" customFormat="1" ht="15.75" thickBot="1">
      <c r="A31" s="455" t="s">
        <v>3</v>
      </c>
      <c r="B31" s="354">
        <f>SUM(B19:B30)</f>
        <v>401</v>
      </c>
      <c r="C31" s="759"/>
      <c r="D31" s="760"/>
      <c r="E31" s="429" t="s">
        <v>3</v>
      </c>
      <c r="F31" s="354">
        <f>SUM(F19:F30)</f>
        <v>404</v>
      </c>
      <c r="G31" s="427"/>
    </row>
    <row r="32" spans="1:7" s="418" customFormat="1" ht="15.75" thickBot="1">
      <c r="A32" s="428" t="s">
        <v>4</v>
      </c>
      <c r="B32" s="354">
        <f>AVERAGE(B19:B30)</f>
        <v>133.66666666666666</v>
      </c>
      <c r="C32" s="759"/>
      <c r="D32" s="760"/>
      <c r="E32" s="428" t="s">
        <v>4</v>
      </c>
      <c r="F32" s="354">
        <f>AVERAGE(F19:F30)</f>
        <v>134.66666666666666</v>
      </c>
      <c r="G32" s="427"/>
    </row>
    <row r="33" spans="1:8" ht="17.25" customHeight="1" thickBot="1">
      <c r="C33" s="131"/>
      <c r="D33" s="131"/>
    </row>
    <row r="34" spans="1:8" ht="93" customHeight="1" thickBot="1">
      <c r="A34" s="286"/>
      <c r="B34" s="287" t="s">
        <v>237</v>
      </c>
      <c r="C34" s="288" t="s">
        <v>238</v>
      </c>
      <c r="D34" s="288" t="s">
        <v>239</v>
      </c>
      <c r="E34" s="288" t="s">
        <v>240</v>
      </c>
      <c r="F34" s="288" t="s">
        <v>241</v>
      </c>
      <c r="G34" s="289" t="s">
        <v>242</v>
      </c>
      <c r="H34" s="290" t="s">
        <v>16</v>
      </c>
    </row>
    <row r="35" spans="1:8" ht="15.75" thickBot="1">
      <c r="A35" s="664" t="s">
        <v>235</v>
      </c>
      <c r="B35" s="307"/>
      <c r="C35" s="294"/>
      <c r="D35" s="294"/>
      <c r="E35" s="294"/>
      <c r="F35" s="294"/>
      <c r="G35" s="294"/>
      <c r="H35" s="291"/>
    </row>
    <row r="36" spans="1:8" s="302" customFormat="1">
      <c r="A36" s="666">
        <v>44927</v>
      </c>
      <c r="B36" s="661">
        <v>6</v>
      </c>
      <c r="C36" s="313">
        <v>1</v>
      </c>
      <c r="D36" s="313">
        <v>65</v>
      </c>
      <c r="E36" s="313">
        <v>6</v>
      </c>
      <c r="F36" s="313">
        <v>16</v>
      </c>
      <c r="G36" s="314">
        <v>6</v>
      </c>
      <c r="H36" s="310">
        <f>SUM(B36:G36)</f>
        <v>100</v>
      </c>
    </row>
    <row r="37" spans="1:8" s="302" customFormat="1">
      <c r="A37" s="667">
        <v>44958</v>
      </c>
      <c r="B37" s="662">
        <v>6</v>
      </c>
      <c r="C37" s="315">
        <v>2</v>
      </c>
      <c r="D37" s="315">
        <v>35</v>
      </c>
      <c r="E37" s="315">
        <v>3</v>
      </c>
      <c r="F37" s="315">
        <v>8</v>
      </c>
      <c r="G37" s="316">
        <v>7</v>
      </c>
      <c r="H37" s="311">
        <f>SUM(B37:G37)</f>
        <v>61</v>
      </c>
    </row>
    <row r="38" spans="1:8" s="302" customFormat="1">
      <c r="A38" s="667">
        <v>44986</v>
      </c>
      <c r="B38" s="662">
        <v>6</v>
      </c>
      <c r="C38" s="315">
        <v>2</v>
      </c>
      <c r="D38" s="315">
        <v>56</v>
      </c>
      <c r="E38" s="315">
        <v>6</v>
      </c>
      <c r="F38" s="315">
        <v>9</v>
      </c>
      <c r="G38" s="316">
        <v>12</v>
      </c>
      <c r="H38" s="311">
        <f>SUM(B38:G38)</f>
        <v>91</v>
      </c>
    </row>
    <row r="39" spans="1:8" s="302" customFormat="1">
      <c r="A39" s="667">
        <v>45017</v>
      </c>
      <c r="B39" s="662"/>
      <c r="C39" s="315"/>
      <c r="D39" s="315"/>
      <c r="E39" s="315"/>
      <c r="F39" s="315"/>
      <c r="G39" s="316"/>
      <c r="H39" s="311">
        <f t="shared" ref="H39:H47" si="0">SUM(B39:G39)</f>
        <v>0</v>
      </c>
    </row>
    <row r="40" spans="1:8" s="302" customFormat="1">
      <c r="A40" s="667">
        <v>45047</v>
      </c>
      <c r="B40" s="662"/>
      <c r="C40" s="315"/>
      <c r="D40" s="315"/>
      <c r="E40" s="315"/>
      <c r="F40" s="315"/>
      <c r="G40" s="316"/>
      <c r="H40" s="311">
        <f t="shared" si="0"/>
        <v>0</v>
      </c>
    </row>
    <row r="41" spans="1:8" s="302" customFormat="1">
      <c r="A41" s="667">
        <v>45078</v>
      </c>
      <c r="B41" s="662"/>
      <c r="C41" s="315"/>
      <c r="D41" s="315"/>
      <c r="E41" s="315"/>
      <c r="F41" s="315"/>
      <c r="G41" s="316"/>
      <c r="H41" s="311">
        <f t="shared" si="0"/>
        <v>0</v>
      </c>
    </row>
    <row r="42" spans="1:8" s="302" customFormat="1">
      <c r="A42" s="667">
        <v>45108</v>
      </c>
      <c r="B42" s="662"/>
      <c r="C42" s="315"/>
      <c r="D42" s="315"/>
      <c r="E42" s="315"/>
      <c r="F42" s="315"/>
      <c r="G42" s="316"/>
      <c r="H42" s="311">
        <f t="shared" si="0"/>
        <v>0</v>
      </c>
    </row>
    <row r="43" spans="1:8" s="302" customFormat="1">
      <c r="A43" s="667">
        <v>45139</v>
      </c>
      <c r="B43" s="662"/>
      <c r="C43" s="315"/>
      <c r="D43" s="315"/>
      <c r="E43" s="315"/>
      <c r="F43" s="315"/>
      <c r="G43" s="316"/>
      <c r="H43" s="311">
        <f t="shared" si="0"/>
        <v>0</v>
      </c>
    </row>
    <row r="44" spans="1:8" s="302" customFormat="1">
      <c r="A44" s="667">
        <v>45170</v>
      </c>
      <c r="B44" s="662"/>
      <c r="C44" s="315"/>
      <c r="D44" s="315"/>
      <c r="E44" s="315"/>
      <c r="F44" s="315"/>
      <c r="G44" s="316"/>
      <c r="H44" s="311">
        <f t="shared" si="0"/>
        <v>0</v>
      </c>
    </row>
    <row r="45" spans="1:8" s="302" customFormat="1">
      <c r="A45" s="667">
        <v>45200</v>
      </c>
      <c r="B45" s="662"/>
      <c r="C45" s="315"/>
      <c r="D45" s="315"/>
      <c r="E45" s="315"/>
      <c r="F45" s="315"/>
      <c r="G45" s="316"/>
      <c r="H45" s="311">
        <f t="shared" si="0"/>
        <v>0</v>
      </c>
    </row>
    <row r="46" spans="1:8" s="302" customFormat="1">
      <c r="A46" s="667">
        <v>45231</v>
      </c>
      <c r="B46" s="662"/>
      <c r="C46" s="315"/>
      <c r="D46" s="315"/>
      <c r="E46" s="315"/>
      <c r="F46" s="315"/>
      <c r="G46" s="316"/>
      <c r="H46" s="311">
        <f t="shared" si="0"/>
        <v>0</v>
      </c>
    </row>
    <row r="47" spans="1:8" s="302" customFormat="1" ht="15.75" thickBot="1">
      <c r="A47" s="668">
        <v>45261</v>
      </c>
      <c r="B47" s="663"/>
      <c r="C47" s="317"/>
      <c r="D47" s="317"/>
      <c r="E47" s="317"/>
      <c r="F47" s="317"/>
      <c r="G47" s="318"/>
      <c r="H47" s="312">
        <f t="shared" si="0"/>
        <v>0</v>
      </c>
    </row>
    <row r="48" spans="1:8" ht="15.75" thickBot="1">
      <c r="A48" s="665" t="s">
        <v>243</v>
      </c>
      <c r="B48" s="292">
        <f t="shared" ref="B48:H48" si="1">SUM(B36:B47)</f>
        <v>18</v>
      </c>
      <c r="C48" s="292">
        <f t="shared" si="1"/>
        <v>5</v>
      </c>
      <c r="D48" s="292">
        <f t="shared" si="1"/>
        <v>156</v>
      </c>
      <c r="E48" s="292">
        <f t="shared" si="1"/>
        <v>15</v>
      </c>
      <c r="F48" s="292">
        <f t="shared" si="1"/>
        <v>33</v>
      </c>
      <c r="G48" s="292">
        <f t="shared" si="1"/>
        <v>25</v>
      </c>
      <c r="H48" s="308">
        <f t="shared" si="1"/>
        <v>252</v>
      </c>
    </row>
    <row r="49" spans="1:8" ht="15.75" thickBot="1">
      <c r="A49" s="294"/>
      <c r="B49" s="295"/>
      <c r="C49" s="295"/>
      <c r="D49" s="295"/>
      <c r="E49" s="295"/>
      <c r="F49" s="295"/>
      <c r="G49" s="295"/>
      <c r="H49" s="295"/>
    </row>
    <row r="50" spans="1:8" ht="15.75" thickBot="1">
      <c r="A50" s="664" t="s">
        <v>204</v>
      </c>
      <c r="B50" s="296"/>
      <c r="C50" s="297"/>
      <c r="D50" s="297"/>
      <c r="E50" s="297"/>
      <c r="F50" s="297"/>
      <c r="G50" s="297"/>
      <c r="H50" s="297"/>
    </row>
    <row r="51" spans="1:8" s="302" customFormat="1">
      <c r="A51" s="666">
        <v>44927</v>
      </c>
      <c r="B51" s="669">
        <v>4</v>
      </c>
      <c r="C51" s="319">
        <v>2</v>
      </c>
      <c r="D51" s="319">
        <v>11</v>
      </c>
      <c r="E51" s="319">
        <v>3</v>
      </c>
      <c r="F51" s="319">
        <v>8</v>
      </c>
      <c r="G51" s="322">
        <v>10</v>
      </c>
      <c r="H51" s="325">
        <f>SUM(B51:G51)</f>
        <v>38</v>
      </c>
    </row>
    <row r="52" spans="1:8" s="302" customFormat="1">
      <c r="A52" s="667">
        <v>44958</v>
      </c>
      <c r="B52" s="670">
        <v>2</v>
      </c>
      <c r="C52" s="320">
        <v>4</v>
      </c>
      <c r="D52" s="320">
        <v>18</v>
      </c>
      <c r="E52" s="320">
        <v>0</v>
      </c>
      <c r="F52" s="320">
        <v>10</v>
      </c>
      <c r="G52" s="323">
        <v>6</v>
      </c>
      <c r="H52" s="326">
        <f>SUM(B52:G52)</f>
        <v>40</v>
      </c>
    </row>
    <row r="53" spans="1:8" s="302" customFormat="1">
      <c r="A53" s="667">
        <v>44986</v>
      </c>
      <c r="B53" s="670">
        <v>4</v>
      </c>
      <c r="C53" s="320">
        <v>5</v>
      </c>
      <c r="D53" s="320">
        <v>24</v>
      </c>
      <c r="E53" s="320">
        <v>3</v>
      </c>
      <c r="F53" s="320">
        <v>20</v>
      </c>
      <c r="G53" s="323">
        <v>15</v>
      </c>
      <c r="H53" s="326">
        <f>SUM(B53:G53)</f>
        <v>71</v>
      </c>
    </row>
    <row r="54" spans="1:8" s="302" customFormat="1">
      <c r="A54" s="667">
        <v>45017</v>
      </c>
      <c r="B54" s="670"/>
      <c r="C54" s="320"/>
      <c r="D54" s="320"/>
      <c r="E54" s="320"/>
      <c r="F54" s="320"/>
      <c r="G54" s="323"/>
      <c r="H54" s="326">
        <f t="shared" ref="H54:H62" si="2">SUM(B54:G54)</f>
        <v>0</v>
      </c>
    </row>
    <row r="55" spans="1:8" s="302" customFormat="1">
      <c r="A55" s="667">
        <v>45047</v>
      </c>
      <c r="B55" s="670"/>
      <c r="C55" s="320"/>
      <c r="D55" s="320"/>
      <c r="E55" s="320"/>
      <c r="F55" s="320"/>
      <c r="G55" s="323"/>
      <c r="H55" s="326">
        <f t="shared" si="2"/>
        <v>0</v>
      </c>
    </row>
    <row r="56" spans="1:8" s="302" customFormat="1">
      <c r="A56" s="667">
        <v>45078</v>
      </c>
      <c r="B56" s="670"/>
      <c r="C56" s="320"/>
      <c r="D56" s="320"/>
      <c r="E56" s="320"/>
      <c r="F56" s="320"/>
      <c r="G56" s="323"/>
      <c r="H56" s="326">
        <f t="shared" si="2"/>
        <v>0</v>
      </c>
    </row>
    <row r="57" spans="1:8" s="302" customFormat="1">
      <c r="A57" s="667">
        <v>45108</v>
      </c>
      <c r="B57" s="670"/>
      <c r="C57" s="320"/>
      <c r="D57" s="320"/>
      <c r="E57" s="320"/>
      <c r="F57" s="320"/>
      <c r="G57" s="323"/>
      <c r="H57" s="326">
        <f t="shared" si="2"/>
        <v>0</v>
      </c>
    </row>
    <row r="58" spans="1:8" s="302" customFormat="1">
      <c r="A58" s="667">
        <v>45139</v>
      </c>
      <c r="B58" s="670"/>
      <c r="C58" s="320"/>
      <c r="D58" s="320"/>
      <c r="E58" s="320"/>
      <c r="F58" s="320"/>
      <c r="G58" s="323"/>
      <c r="H58" s="326">
        <f t="shared" si="2"/>
        <v>0</v>
      </c>
    </row>
    <row r="59" spans="1:8" s="302" customFormat="1">
      <c r="A59" s="667">
        <v>45170</v>
      </c>
      <c r="B59" s="670"/>
      <c r="C59" s="320"/>
      <c r="D59" s="320"/>
      <c r="E59" s="320"/>
      <c r="F59" s="320"/>
      <c r="G59" s="323"/>
      <c r="H59" s="326">
        <f t="shared" si="2"/>
        <v>0</v>
      </c>
    </row>
    <row r="60" spans="1:8" s="302" customFormat="1">
      <c r="A60" s="667">
        <v>45200</v>
      </c>
      <c r="B60" s="670"/>
      <c r="C60" s="320"/>
      <c r="D60" s="320"/>
      <c r="E60" s="320"/>
      <c r="F60" s="320"/>
      <c r="G60" s="323"/>
      <c r="H60" s="326">
        <f t="shared" si="2"/>
        <v>0</v>
      </c>
    </row>
    <row r="61" spans="1:8" s="302" customFormat="1">
      <c r="A61" s="667">
        <v>45231</v>
      </c>
      <c r="B61" s="670"/>
      <c r="C61" s="320"/>
      <c r="D61" s="320"/>
      <c r="E61" s="320"/>
      <c r="F61" s="320"/>
      <c r="G61" s="323"/>
      <c r="H61" s="326">
        <f t="shared" si="2"/>
        <v>0</v>
      </c>
    </row>
    <row r="62" spans="1:8" s="302" customFormat="1" ht="15.75" thickBot="1">
      <c r="A62" s="668">
        <v>45261</v>
      </c>
      <c r="B62" s="671"/>
      <c r="C62" s="321"/>
      <c r="D62" s="321"/>
      <c r="E62" s="321"/>
      <c r="F62" s="321"/>
      <c r="G62" s="324"/>
      <c r="H62" s="327">
        <f t="shared" si="2"/>
        <v>0</v>
      </c>
    </row>
    <row r="63" spans="1:8" ht="15.75" thickBot="1">
      <c r="A63" s="672" t="s">
        <v>244</v>
      </c>
      <c r="B63" s="309">
        <f t="shared" ref="B63:H63" si="3">SUM(B51:B62)</f>
        <v>10</v>
      </c>
      <c r="C63" s="309">
        <f t="shared" si="3"/>
        <v>11</v>
      </c>
      <c r="D63" s="309">
        <f t="shared" si="3"/>
        <v>53</v>
      </c>
      <c r="E63" s="309">
        <f t="shared" si="3"/>
        <v>6</v>
      </c>
      <c r="F63" s="309">
        <f t="shared" si="3"/>
        <v>38</v>
      </c>
      <c r="G63" s="328">
        <f>SUM(G51:G62)</f>
        <v>31</v>
      </c>
      <c r="H63" s="293">
        <f t="shared" si="3"/>
        <v>149</v>
      </c>
    </row>
    <row r="64" spans="1:8" ht="15.75" thickBot="1">
      <c r="A64" s="298"/>
      <c r="B64" s="298"/>
      <c r="C64" s="298"/>
      <c r="D64" s="298"/>
      <c r="E64" s="298"/>
      <c r="F64" s="298"/>
      <c r="G64" s="298"/>
      <c r="H64" s="298"/>
    </row>
    <row r="65" spans="1:8" ht="15.75" thickBot="1">
      <c r="A65" s="329" t="s">
        <v>16</v>
      </c>
      <c r="B65" s="299">
        <f>B48+B63</f>
        <v>28</v>
      </c>
      <c r="C65" s="299">
        <f t="shared" ref="C65:H65" si="4">C48+C63</f>
        <v>16</v>
      </c>
      <c r="D65" s="299">
        <f t="shared" si="4"/>
        <v>209</v>
      </c>
      <c r="E65" s="299">
        <f t="shared" si="4"/>
        <v>21</v>
      </c>
      <c r="F65" s="299">
        <f t="shared" si="4"/>
        <v>71</v>
      </c>
      <c r="G65" s="299">
        <f t="shared" si="4"/>
        <v>56</v>
      </c>
      <c r="H65" s="300">
        <f t="shared" si="4"/>
        <v>401</v>
      </c>
    </row>
    <row r="67" spans="1:8">
      <c r="A67" s="131"/>
      <c r="B67" s="131"/>
      <c r="C67" s="131"/>
      <c r="D67" s="131"/>
      <c r="E67" s="131"/>
      <c r="F67" s="131"/>
      <c r="G67" s="131"/>
    </row>
    <row r="68" spans="1:8">
      <c r="A68" s="131"/>
      <c r="B68" s="131"/>
      <c r="C68" s="131"/>
      <c r="D68" s="131"/>
      <c r="E68" s="131"/>
      <c r="F68" s="131"/>
      <c r="G68" s="131"/>
    </row>
    <row r="69" spans="1:8">
      <c r="A69" s="131"/>
      <c r="B69" s="131"/>
      <c r="C69" s="131"/>
      <c r="D69" s="131"/>
      <c r="E69" s="131"/>
      <c r="F69" s="131"/>
      <c r="G69" s="131"/>
    </row>
    <row r="70" spans="1:8">
      <c r="A70" s="131"/>
      <c r="B70" s="131"/>
      <c r="C70" s="131"/>
      <c r="D70" s="131"/>
      <c r="E70" s="131"/>
      <c r="F70" s="131"/>
      <c r="G70" s="131"/>
    </row>
    <row r="71" spans="1:8">
      <c r="A71" s="131"/>
      <c r="B71" s="131"/>
      <c r="C71" s="131"/>
      <c r="D71" s="131"/>
      <c r="E71" s="131"/>
      <c r="F71" s="131"/>
      <c r="G71" s="131"/>
    </row>
    <row r="72" spans="1:8">
      <c r="A72" s="131"/>
      <c r="B72" s="131"/>
      <c r="C72" s="131"/>
      <c r="D72" s="131"/>
      <c r="E72" s="131"/>
      <c r="F72" s="131"/>
      <c r="G72" s="131"/>
    </row>
    <row r="73" spans="1:8">
      <c r="A73" s="131"/>
      <c r="B73" s="131"/>
      <c r="C73" s="131"/>
      <c r="D73" s="131"/>
      <c r="E73" s="131"/>
      <c r="F73" s="131"/>
      <c r="G73" s="131"/>
    </row>
    <row r="74" spans="1:8">
      <c r="A74" s="131"/>
      <c r="B74" s="131"/>
      <c r="C74" s="131"/>
      <c r="D74" s="131"/>
      <c r="E74" s="131"/>
      <c r="F74" s="131"/>
      <c r="G74" s="131"/>
    </row>
    <row r="75" spans="1:8">
      <c r="A75" s="131"/>
      <c r="B75" s="131"/>
      <c r="C75" s="131"/>
      <c r="D75" s="131"/>
      <c r="E75" s="131"/>
      <c r="F75" s="131"/>
      <c r="G75" s="131"/>
    </row>
    <row r="76" spans="1:8">
      <c r="A76" s="131"/>
      <c r="B76" s="131"/>
      <c r="C76" s="131"/>
      <c r="D76" s="131"/>
      <c r="E76" s="131"/>
      <c r="F76" s="131"/>
      <c r="G76" s="131"/>
    </row>
    <row r="77" spans="1:8">
      <c r="A77" s="131"/>
      <c r="B77" s="131"/>
      <c r="C77" s="131"/>
      <c r="D77" s="131"/>
      <c r="E77" s="131"/>
      <c r="F77" s="131"/>
      <c r="G77" s="131"/>
    </row>
    <row r="78" spans="1:8">
      <c r="A78" s="131"/>
      <c r="B78" s="131"/>
      <c r="C78" s="131"/>
      <c r="D78" s="131"/>
      <c r="E78" s="131"/>
      <c r="F78" s="131"/>
      <c r="G78" s="131"/>
    </row>
    <row r="79" spans="1:8">
      <c r="A79" s="131"/>
      <c r="B79" s="131"/>
      <c r="C79" s="131"/>
      <c r="D79" s="131"/>
      <c r="E79" s="131"/>
      <c r="F79" s="131"/>
      <c r="G79" s="131"/>
    </row>
    <row r="80" spans="1:8">
      <c r="A80" s="131"/>
      <c r="B80" s="131"/>
      <c r="C80" s="131"/>
      <c r="D80" s="131"/>
      <c r="E80" s="131"/>
      <c r="F80" s="131"/>
      <c r="G80" s="131"/>
    </row>
    <row r="81" spans="1:7">
      <c r="A81" s="131"/>
      <c r="B81" s="131"/>
      <c r="C81" s="131"/>
      <c r="D81" s="131"/>
      <c r="E81" s="131"/>
      <c r="F81" s="131"/>
      <c r="G81" s="131"/>
    </row>
    <row r="82" spans="1:7">
      <c r="A82" s="131"/>
      <c r="B82" s="131"/>
      <c r="C82" s="131"/>
      <c r="D82" s="131"/>
      <c r="E82" s="131"/>
      <c r="F82" s="131"/>
      <c r="G82" s="131"/>
    </row>
    <row r="83" spans="1:7">
      <c r="A83" s="131"/>
      <c r="B83" s="131"/>
      <c r="C83" s="131"/>
      <c r="D83" s="131"/>
      <c r="E83" s="131"/>
      <c r="F83" s="131"/>
      <c r="G83" s="131"/>
    </row>
    <row r="84" spans="1:7">
      <c r="A84" s="131"/>
      <c r="B84" s="131"/>
      <c r="C84" s="131"/>
      <c r="D84" s="131"/>
      <c r="E84" s="131"/>
      <c r="F84" s="131"/>
      <c r="G84" s="131"/>
    </row>
    <row r="85" spans="1:7">
      <c r="A85" s="131"/>
      <c r="B85" s="131"/>
      <c r="C85" s="131"/>
      <c r="D85" s="131"/>
      <c r="E85" s="131"/>
      <c r="F85" s="131"/>
      <c r="G85" s="131"/>
    </row>
    <row r="86" spans="1:7">
      <c r="A86" s="131"/>
      <c r="B86" s="131"/>
      <c r="C86" s="131"/>
      <c r="D86" s="131"/>
      <c r="E86" s="131"/>
      <c r="F86" s="131"/>
      <c r="G86" s="131"/>
    </row>
    <row r="87" spans="1:7">
      <c r="A87" s="131"/>
      <c r="B87" s="131"/>
      <c r="C87" s="131"/>
      <c r="D87" s="131"/>
      <c r="E87" s="131"/>
      <c r="F87" s="131"/>
      <c r="G87" s="131"/>
    </row>
    <row r="88" spans="1:7">
      <c r="A88" s="131"/>
      <c r="B88" s="131"/>
      <c r="C88" s="131"/>
      <c r="D88" s="131"/>
      <c r="E88" s="131"/>
      <c r="F88" s="131"/>
      <c r="G88" s="131"/>
    </row>
    <row r="89" spans="1:7">
      <c r="A89" s="131"/>
      <c r="B89" s="131"/>
      <c r="C89" s="131"/>
      <c r="D89" s="131"/>
      <c r="E89" s="131"/>
      <c r="F89" s="131"/>
      <c r="G89" s="131"/>
    </row>
    <row r="90" spans="1:7">
      <c r="A90" s="131"/>
      <c r="B90" s="131"/>
      <c r="C90" s="131"/>
      <c r="D90" s="131"/>
      <c r="E90" s="131"/>
      <c r="F90" s="131"/>
      <c r="G90" s="131"/>
    </row>
    <row r="91" spans="1:7">
      <c r="A91" s="131"/>
      <c r="B91" s="131"/>
      <c r="C91" s="131"/>
      <c r="D91" s="131"/>
      <c r="E91" s="131"/>
      <c r="F91" s="131"/>
      <c r="G91" s="131"/>
    </row>
    <row r="92" spans="1:7">
      <c r="A92" s="131"/>
      <c r="B92" s="131"/>
      <c r="C92" s="131"/>
      <c r="D92" s="131"/>
      <c r="E92" s="131"/>
      <c r="F92" s="131"/>
      <c r="G92" s="131"/>
    </row>
    <row r="93" spans="1:7">
      <c r="A93" s="131"/>
      <c r="B93" s="131"/>
      <c r="C93" s="131"/>
      <c r="D93" s="131"/>
      <c r="E93" s="131"/>
      <c r="F93" s="131"/>
      <c r="G93" s="131"/>
    </row>
    <row r="94" spans="1:7">
      <c r="A94" s="131"/>
      <c r="B94" s="131"/>
      <c r="C94" s="131"/>
      <c r="D94" s="131"/>
      <c r="E94" s="131"/>
      <c r="F94" s="131"/>
      <c r="G94" s="131"/>
    </row>
    <row r="95" spans="1:7">
      <c r="A95" s="131"/>
      <c r="B95" s="131"/>
      <c r="C95" s="131"/>
      <c r="D95" s="131"/>
      <c r="E95" s="131"/>
      <c r="F95" s="131"/>
      <c r="G95" s="131"/>
    </row>
    <row r="96" spans="1:7">
      <c r="A96" s="131"/>
      <c r="B96" s="131"/>
      <c r="C96" s="131"/>
      <c r="D96" s="131"/>
      <c r="E96" s="131"/>
      <c r="F96" s="131"/>
      <c r="G96" s="131"/>
    </row>
    <row r="97" spans="1:7">
      <c r="A97" s="131"/>
      <c r="B97" s="131"/>
      <c r="C97" s="131"/>
      <c r="D97" s="131"/>
      <c r="E97" s="131"/>
      <c r="F97" s="131"/>
      <c r="G97" s="131"/>
    </row>
    <row r="98" spans="1:7">
      <c r="A98" s="131"/>
      <c r="B98" s="131"/>
      <c r="C98" s="131"/>
      <c r="D98" s="131"/>
      <c r="E98" s="131"/>
      <c r="F98" s="131"/>
      <c r="G98" s="131"/>
    </row>
    <row r="99" spans="1:7">
      <c r="A99" s="131"/>
      <c r="B99" s="131"/>
      <c r="C99" s="131"/>
      <c r="D99" s="131"/>
      <c r="E99" s="131"/>
      <c r="F99" s="131"/>
      <c r="G99" s="131"/>
    </row>
    <row r="100" spans="1:7">
      <c r="A100" s="131"/>
      <c r="B100" s="131"/>
      <c r="C100" s="131"/>
      <c r="D100" s="131"/>
      <c r="E100" s="131"/>
      <c r="F100" s="131"/>
      <c r="G100" s="131"/>
    </row>
    <row r="101" spans="1:7">
      <c r="A101" s="131"/>
      <c r="B101" s="131"/>
      <c r="C101" s="131"/>
      <c r="D101" s="131"/>
      <c r="E101" s="131"/>
      <c r="F101" s="131"/>
      <c r="G101" s="131"/>
    </row>
    <row r="102" spans="1:7">
      <c r="A102" s="131"/>
      <c r="B102" s="131"/>
      <c r="C102" s="131"/>
      <c r="D102" s="131"/>
      <c r="E102" s="131"/>
      <c r="F102" s="131"/>
      <c r="G102" s="131"/>
    </row>
    <row r="103" spans="1:7">
      <c r="A103" s="131"/>
      <c r="B103" s="131"/>
      <c r="C103" s="131"/>
      <c r="D103" s="131"/>
      <c r="E103" s="131"/>
      <c r="F103" s="131"/>
      <c r="G103" s="131"/>
    </row>
    <row r="104" spans="1:7">
      <c r="A104" s="131"/>
      <c r="B104" s="131"/>
      <c r="C104" s="131"/>
      <c r="D104" s="131"/>
      <c r="E104" s="131"/>
      <c r="F104" s="131"/>
      <c r="G104" s="131"/>
    </row>
    <row r="105" spans="1:7">
      <c r="A105" s="131"/>
      <c r="B105" s="131"/>
      <c r="C105" s="131"/>
      <c r="D105" s="131"/>
      <c r="E105" s="131"/>
      <c r="F105" s="131"/>
      <c r="G105" s="131"/>
    </row>
    <row r="106" spans="1:7">
      <c r="A106" s="131"/>
      <c r="B106" s="131"/>
      <c r="C106" s="131"/>
      <c r="D106" s="131"/>
      <c r="E106" s="131"/>
      <c r="F106" s="131"/>
      <c r="G106" s="131"/>
    </row>
    <row r="107" spans="1:7">
      <c r="A107" s="131"/>
      <c r="B107" s="131"/>
      <c r="C107" s="131"/>
      <c r="D107" s="131"/>
      <c r="E107" s="131"/>
      <c r="F107" s="131"/>
      <c r="G107" s="131"/>
    </row>
    <row r="108" spans="1:7">
      <c r="A108" s="131"/>
      <c r="B108" s="131"/>
      <c r="C108" s="131"/>
      <c r="D108" s="131"/>
      <c r="E108" s="131"/>
      <c r="F108" s="131"/>
      <c r="G108" s="131"/>
    </row>
    <row r="109" spans="1:7">
      <c r="A109" s="131"/>
      <c r="B109" s="131"/>
      <c r="C109" s="131"/>
      <c r="D109" s="131"/>
      <c r="E109" s="131"/>
      <c r="F109" s="131"/>
      <c r="G109" s="131"/>
    </row>
    <row r="110" spans="1:7">
      <c r="A110" s="131"/>
      <c r="B110" s="131"/>
      <c r="C110" s="131"/>
      <c r="D110" s="131"/>
      <c r="E110" s="131"/>
      <c r="F110" s="131"/>
      <c r="G110" s="131"/>
    </row>
    <row r="111" spans="1:7">
      <c r="A111" s="131"/>
      <c r="B111" s="131"/>
      <c r="C111" s="131"/>
      <c r="D111" s="131"/>
      <c r="E111" s="131"/>
      <c r="F111" s="131"/>
      <c r="G111" s="131"/>
    </row>
    <row r="112" spans="1:7">
      <c r="A112" s="131"/>
      <c r="B112" s="131"/>
      <c r="C112" s="131"/>
      <c r="D112" s="131"/>
      <c r="E112" s="131"/>
      <c r="F112" s="131"/>
      <c r="G112" s="131"/>
    </row>
    <row r="113" spans="1:7">
      <c r="A113" s="131"/>
      <c r="B113" s="131"/>
      <c r="C113" s="131"/>
      <c r="D113" s="131"/>
      <c r="E113" s="131"/>
      <c r="F113" s="131"/>
      <c r="G113" s="131"/>
    </row>
    <row r="114" spans="1:7">
      <c r="A114" s="131"/>
      <c r="B114" s="131"/>
      <c r="C114" s="131"/>
      <c r="D114" s="131"/>
      <c r="E114" s="131"/>
      <c r="F114" s="131"/>
      <c r="G114" s="131"/>
    </row>
    <row r="115" spans="1:7">
      <c r="A115" s="131"/>
      <c r="B115" s="131"/>
      <c r="C115" s="131"/>
      <c r="D115" s="131"/>
      <c r="E115" s="131"/>
      <c r="F115" s="131"/>
      <c r="G115" s="131"/>
    </row>
    <row r="116" spans="1:7">
      <c r="A116" s="131"/>
      <c r="B116" s="131"/>
      <c r="C116" s="131"/>
      <c r="D116" s="131"/>
      <c r="E116" s="131"/>
      <c r="F116" s="131"/>
      <c r="G116" s="131"/>
    </row>
    <row r="117" spans="1:7">
      <c r="A117" s="131"/>
      <c r="B117" s="131"/>
      <c r="C117" s="131"/>
      <c r="D117" s="131"/>
      <c r="E117" s="131"/>
      <c r="F117" s="131"/>
      <c r="G117" s="131"/>
    </row>
    <row r="118" spans="1:7">
      <c r="A118" s="131"/>
      <c r="B118" s="131"/>
      <c r="C118" s="131"/>
      <c r="D118" s="131"/>
      <c r="E118" s="131"/>
      <c r="F118" s="131"/>
      <c r="G118" s="131"/>
    </row>
    <row r="119" spans="1:7">
      <c r="A119" s="131"/>
      <c r="B119" s="131"/>
      <c r="C119" s="131"/>
      <c r="D119" s="131"/>
      <c r="E119" s="131"/>
      <c r="F119" s="131"/>
      <c r="G119" s="131"/>
    </row>
    <row r="120" spans="1:7">
      <c r="A120" s="131"/>
      <c r="B120" s="131"/>
      <c r="C120" s="131"/>
      <c r="D120" s="131"/>
      <c r="E120" s="131"/>
      <c r="F120" s="131"/>
      <c r="G120" s="131"/>
    </row>
    <row r="121" spans="1:7">
      <c r="A121" s="131"/>
      <c r="B121" s="131"/>
      <c r="C121" s="131"/>
      <c r="D121" s="131"/>
      <c r="E121" s="131"/>
      <c r="F121" s="131"/>
      <c r="G121" s="131"/>
    </row>
    <row r="122" spans="1:7">
      <c r="A122" s="131"/>
      <c r="B122" s="131"/>
      <c r="C122" s="131"/>
      <c r="D122" s="131"/>
      <c r="E122" s="131"/>
      <c r="F122" s="131"/>
      <c r="G122" s="131"/>
    </row>
    <row r="123" spans="1:7">
      <c r="A123" s="131"/>
      <c r="B123" s="131"/>
      <c r="C123" s="131"/>
      <c r="D123" s="131"/>
      <c r="E123" s="131"/>
      <c r="F123" s="131"/>
      <c r="G123" s="131"/>
    </row>
    <row r="124" spans="1:7">
      <c r="A124" s="131"/>
      <c r="B124" s="131"/>
      <c r="C124" s="131"/>
      <c r="D124" s="131"/>
      <c r="E124" s="131"/>
      <c r="F124" s="131"/>
      <c r="G124" s="131"/>
    </row>
  </sheetData>
  <mergeCells count="2">
    <mergeCell ref="A17:C17"/>
    <mergeCell ref="E17:G17"/>
  </mergeCells>
  <pageMargins left="0.511811024" right="0.511811024" top="0.78740157499999996" bottom="0.78740157499999996" header="0.31496062000000002" footer="0.31496062000000002"/>
  <pageSetup paperSize="9" orientation="portrait" r:id="rId1"/>
  <ignoredErrors>
    <ignoredError sqref="K9:M9 H36:H47 H51:H62" formulaRange="1"/>
    <ignoredError sqref="O9" formula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00"/>
  <sheetViews>
    <sheetView zoomScaleNormal="100" workbookViewId="0"/>
  </sheetViews>
  <sheetFormatPr defaultRowHeight="15"/>
  <cols>
    <col min="1" max="1" width="22.7109375" style="194" customWidth="1"/>
    <col min="2" max="2" width="9.85546875" style="194" customWidth="1"/>
    <col min="3" max="3" width="9" style="463" customWidth="1"/>
    <col min="4" max="4" width="6.85546875" style="463" bestFit="1" customWidth="1"/>
    <col min="5" max="5" width="6.5703125" style="194" bestFit="1" customWidth="1"/>
    <col min="6" max="6" width="7" style="193" bestFit="1" customWidth="1"/>
    <col min="7" max="7" width="6.140625" style="193" bestFit="1" customWidth="1"/>
    <col min="8" max="8" width="6.7109375" style="193" bestFit="1" customWidth="1"/>
    <col min="9" max="9" width="7.140625" style="464" bestFit="1" customWidth="1"/>
    <col min="10" max="10" width="6.7109375" style="193" bestFit="1" customWidth="1"/>
    <col min="11" max="11" width="7.28515625" style="193" bestFit="1" customWidth="1"/>
    <col min="12" max="12" width="6.7109375" style="193" bestFit="1" customWidth="1"/>
    <col min="13" max="13" width="6.5703125" style="460" bestFit="1" customWidth="1"/>
    <col min="14" max="14" width="6.5703125" style="461" bestFit="1" customWidth="1"/>
    <col min="15" max="15" width="5.28515625" style="463" bestFit="1" customWidth="1"/>
    <col min="16" max="16" width="6" style="463" bestFit="1" customWidth="1"/>
    <col min="17" max="17" width="5.42578125" style="463" customWidth="1"/>
    <col min="18" max="18" width="9.7109375" style="194" customWidth="1"/>
    <col min="19" max="19" width="24.140625" style="194" bestFit="1" customWidth="1"/>
    <col min="20" max="20" width="7" style="194" bestFit="1" customWidth="1"/>
    <col min="21" max="21" width="7.28515625" style="194" bestFit="1" customWidth="1"/>
    <col min="22" max="22" width="6.85546875" style="194" bestFit="1" customWidth="1"/>
    <col min="23" max="23" width="6.7109375" style="194" bestFit="1" customWidth="1"/>
    <col min="24" max="24" width="7.140625" style="194" bestFit="1" customWidth="1"/>
    <col min="25" max="25" width="6.140625" style="194" bestFit="1" customWidth="1"/>
    <col min="26" max="26" width="6.7109375" style="194" bestFit="1" customWidth="1"/>
    <col min="27" max="27" width="7.140625" style="194" bestFit="1" customWidth="1"/>
    <col min="28" max="28" width="6.85546875" style="194" bestFit="1" customWidth="1"/>
    <col min="29" max="29" width="7.42578125" style="194" bestFit="1" customWidth="1"/>
    <col min="30" max="30" width="6.7109375" style="194" bestFit="1" customWidth="1"/>
    <col min="31" max="31" width="6.5703125" style="194" bestFit="1" customWidth="1"/>
    <col min="32" max="32" width="5.42578125" style="194" bestFit="1" customWidth="1"/>
    <col min="33" max="33" width="6.7109375" style="194" bestFit="1" customWidth="1"/>
    <col min="34" max="34" width="13" style="194" bestFit="1" customWidth="1"/>
    <col min="35" max="35" width="11.42578125" style="194" bestFit="1" customWidth="1"/>
    <col min="36" max="36" width="10.28515625" style="194" bestFit="1" customWidth="1"/>
    <col min="37" max="38" width="9.28515625" style="194" bestFit="1" customWidth="1"/>
    <col min="39" max="40" width="9.7109375" style="194" bestFit="1" customWidth="1"/>
    <col min="41" max="41" width="10" style="194" bestFit="1" customWidth="1"/>
    <col min="42" max="42" width="9.42578125" style="194" customWidth="1"/>
    <col min="43" max="43" width="31.85546875" style="194" customWidth="1"/>
    <col min="44" max="44" width="7.7109375" style="194" bestFit="1" customWidth="1"/>
    <col min="45" max="45" width="7.85546875" style="194" bestFit="1" customWidth="1"/>
    <col min="46" max="46" width="8.28515625" style="194" bestFit="1" customWidth="1"/>
    <col min="47" max="47" width="7.85546875" style="194" bestFit="1" customWidth="1"/>
    <col min="48" max="48" width="7.7109375" style="194" bestFit="1" customWidth="1"/>
    <col min="49" max="50" width="9.42578125" style="194" bestFit="1" customWidth="1"/>
    <col min="51" max="53" width="9.28515625" style="194" bestFit="1" customWidth="1"/>
    <col min="54" max="54" width="9.28515625" style="195" bestFit="1" customWidth="1"/>
    <col min="55" max="16384" width="9.140625" style="194"/>
  </cols>
  <sheetData>
    <row r="1" spans="1:3">
      <c r="A1" s="459" t="s">
        <v>0</v>
      </c>
    </row>
    <row r="2" spans="1:3">
      <c r="A2" s="5" t="s">
        <v>1</v>
      </c>
    </row>
    <row r="3" spans="1:3" ht="15.75" thickBot="1"/>
    <row r="4" spans="1:3" ht="15.75" thickBot="1">
      <c r="A4" s="1008" t="s">
        <v>210</v>
      </c>
      <c r="B4" s="1009"/>
      <c r="C4" s="1010"/>
    </row>
    <row r="5" spans="1:3" ht="15.75" thickBot="1">
      <c r="A5" s="196" t="s">
        <v>7</v>
      </c>
      <c r="B5" s="469" t="s">
        <v>151</v>
      </c>
      <c r="C5" s="913" t="s">
        <v>152</v>
      </c>
    </row>
    <row r="6" spans="1:3">
      <c r="A6" s="197">
        <v>44927</v>
      </c>
      <c r="B6" s="909">
        <f>M99</f>
        <v>728</v>
      </c>
      <c r="C6" s="198">
        <f>((B6-728)/728)*100</f>
        <v>0</v>
      </c>
    </row>
    <row r="7" spans="1:3">
      <c r="A7" s="199">
        <v>44958</v>
      </c>
      <c r="B7" s="910">
        <v>532</v>
      </c>
      <c r="C7" s="200">
        <f>((B7-B6)/B6)*100</f>
        <v>-26.923076923076923</v>
      </c>
    </row>
    <row r="8" spans="1:3">
      <c r="A8" s="199">
        <v>44986</v>
      </c>
      <c r="B8" s="910">
        <v>728</v>
      </c>
      <c r="C8" s="200">
        <f>((B8-B7)/B7)*100</f>
        <v>36.84210526315789</v>
      </c>
    </row>
    <row r="9" spans="1:3">
      <c r="A9" s="199">
        <v>45017</v>
      </c>
      <c r="B9" s="910"/>
      <c r="C9" s="200"/>
    </row>
    <row r="10" spans="1:3">
      <c r="A10" s="199">
        <v>45047</v>
      </c>
      <c r="B10" s="910"/>
      <c r="C10" s="200"/>
    </row>
    <row r="11" spans="1:3">
      <c r="A11" s="199">
        <v>45078</v>
      </c>
      <c r="B11" s="910"/>
      <c r="C11" s="200"/>
    </row>
    <row r="12" spans="1:3">
      <c r="A12" s="199">
        <v>45108</v>
      </c>
      <c r="B12" s="910"/>
      <c r="C12" s="200"/>
    </row>
    <row r="13" spans="1:3">
      <c r="A13" s="199">
        <v>45139</v>
      </c>
      <c r="B13" s="910"/>
      <c r="C13" s="200"/>
    </row>
    <row r="14" spans="1:3">
      <c r="A14" s="199">
        <v>45170</v>
      </c>
      <c r="B14" s="910"/>
      <c r="C14" s="200"/>
    </row>
    <row r="15" spans="1:3">
      <c r="A15" s="199">
        <v>45200</v>
      </c>
      <c r="B15" s="910"/>
      <c r="C15" s="200"/>
    </row>
    <row r="16" spans="1:3">
      <c r="A16" s="199">
        <v>45231</v>
      </c>
      <c r="B16" s="911"/>
      <c r="C16" s="200"/>
    </row>
    <row r="17" spans="1:54" ht="15.75" thickBot="1">
      <c r="A17" s="201">
        <v>45261</v>
      </c>
      <c r="B17" s="912"/>
      <c r="C17" s="914"/>
    </row>
    <row r="18" spans="1:54" ht="15.75" thickBot="1">
      <c r="A18" s="985" t="s">
        <v>3</v>
      </c>
      <c r="B18" s="769">
        <f>SUM(B6:B17)</f>
        <v>1988</v>
      </c>
      <c r="C18" s="194"/>
    </row>
    <row r="19" spans="1:54" ht="15.75" thickBot="1">
      <c r="A19" s="416" t="s">
        <v>4</v>
      </c>
      <c r="B19" s="769">
        <f>AVERAGE(B6:B17)</f>
        <v>662.66666666666663</v>
      </c>
      <c r="C19" s="194"/>
    </row>
    <row r="20" spans="1:54" ht="15.75" thickBot="1"/>
    <row r="21" spans="1:54" ht="24.95" customHeight="1" thickBot="1">
      <c r="A21" s="852" t="s">
        <v>278</v>
      </c>
      <c r="B21" s="744">
        <v>45261</v>
      </c>
      <c r="C21" s="744">
        <v>45231</v>
      </c>
      <c r="D21" s="744">
        <v>45200</v>
      </c>
      <c r="E21" s="744">
        <v>45170</v>
      </c>
      <c r="F21" s="744">
        <v>45139</v>
      </c>
      <c r="G21" s="744">
        <v>45108</v>
      </c>
      <c r="H21" s="744">
        <v>45078</v>
      </c>
      <c r="I21" s="744">
        <v>45047</v>
      </c>
      <c r="J21" s="744">
        <v>45017</v>
      </c>
      <c r="K21" s="744">
        <v>44986</v>
      </c>
      <c r="L21" s="744">
        <v>44958</v>
      </c>
      <c r="M21" s="829">
        <v>44927</v>
      </c>
      <c r="N21" s="829" t="s">
        <v>3</v>
      </c>
      <c r="O21" s="853" t="s">
        <v>4</v>
      </c>
      <c r="P21" s="466" t="s">
        <v>5</v>
      </c>
      <c r="Q21" s="678"/>
      <c r="S21" s="1004" t="s">
        <v>319</v>
      </c>
      <c r="T21" s="1005"/>
      <c r="U21" s="1005"/>
      <c r="V21" s="1005"/>
      <c r="W21" s="1005"/>
      <c r="X21" s="1005"/>
      <c r="Y21" s="1005"/>
      <c r="Z21" s="1005"/>
      <c r="AA21" s="1005"/>
      <c r="AB21" s="1005"/>
      <c r="AC21" s="1005"/>
      <c r="AD21" s="1005"/>
      <c r="AE21" s="1005"/>
      <c r="AF21" s="1006"/>
      <c r="AG21" s="1007"/>
      <c r="AH21" s="462">
        <v>12</v>
      </c>
      <c r="AI21" s="462">
        <v>7</v>
      </c>
      <c r="AJ21" s="462">
        <v>11</v>
      </c>
      <c r="AK21" s="462">
        <v>7</v>
      </c>
      <c r="AL21" s="462">
        <v>2</v>
      </c>
      <c r="AM21" s="462">
        <v>10</v>
      </c>
      <c r="AN21" s="462">
        <v>7</v>
      </c>
      <c r="AO21" s="195"/>
      <c r="BB21" s="194"/>
    </row>
    <row r="22" spans="1:54" ht="34.5" customHeight="1" thickBot="1">
      <c r="A22" s="868" t="s">
        <v>437</v>
      </c>
      <c r="B22" s="863"/>
      <c r="C22" s="761"/>
      <c r="D22" s="848"/>
      <c r="E22" s="848"/>
      <c r="F22" s="848"/>
      <c r="G22" s="848"/>
      <c r="H22" s="848"/>
      <c r="I22" s="849"/>
      <c r="J22" s="848"/>
      <c r="K22" s="949">
        <v>0</v>
      </c>
      <c r="L22" s="860">
        <v>2</v>
      </c>
      <c r="M22" s="854">
        <v>0</v>
      </c>
      <c r="N22" s="857">
        <f>SUM(B22:M22)</f>
        <v>2</v>
      </c>
      <c r="O22" s="850">
        <f>AVERAGE(B22:M22)</f>
        <v>0.66666666666666663</v>
      </c>
      <c r="P22" s="851">
        <f>(N22/N99)*100</f>
        <v>0.1006036217303823</v>
      </c>
      <c r="Q22" s="677"/>
      <c r="R22" s="114"/>
      <c r="S22" s="598"/>
      <c r="T22" s="599">
        <v>45261</v>
      </c>
      <c r="U22" s="599">
        <v>45231</v>
      </c>
      <c r="V22" s="599">
        <v>45200</v>
      </c>
      <c r="W22" s="599">
        <v>45170</v>
      </c>
      <c r="X22" s="599">
        <v>45139</v>
      </c>
      <c r="Y22" s="599">
        <v>45108</v>
      </c>
      <c r="Z22" s="599">
        <v>45078</v>
      </c>
      <c r="AA22" s="599">
        <v>45047</v>
      </c>
      <c r="AB22" s="599">
        <v>45017</v>
      </c>
      <c r="AC22" s="599">
        <v>44986</v>
      </c>
      <c r="AD22" s="599">
        <v>44958</v>
      </c>
      <c r="AE22" s="600">
        <v>44927</v>
      </c>
      <c r="AF22" s="601" t="s">
        <v>3</v>
      </c>
      <c r="AG22" s="602" t="s">
        <v>4</v>
      </c>
      <c r="AH22" s="462">
        <v>84</v>
      </c>
      <c r="AI22" s="462">
        <v>49</v>
      </c>
      <c r="AJ22" s="462">
        <v>90</v>
      </c>
      <c r="AK22" s="462">
        <v>117</v>
      </c>
      <c r="AL22" s="462">
        <v>58</v>
      </c>
      <c r="AM22" s="462">
        <v>49</v>
      </c>
      <c r="AN22" s="462">
        <v>22</v>
      </c>
      <c r="AO22" s="195"/>
      <c r="BB22" s="194"/>
    </row>
    <row r="23" spans="1:54" ht="24.95" customHeight="1" thickBot="1">
      <c r="A23" s="869" t="s">
        <v>283</v>
      </c>
      <c r="B23" s="863"/>
      <c r="C23" s="761"/>
      <c r="D23" s="848"/>
      <c r="E23" s="848"/>
      <c r="F23" s="848"/>
      <c r="G23" s="848"/>
      <c r="H23" s="848"/>
      <c r="I23" s="849"/>
      <c r="J23" s="848"/>
      <c r="K23" s="946">
        <v>0</v>
      </c>
      <c r="L23" s="861">
        <v>5</v>
      </c>
      <c r="M23" s="854">
        <v>0</v>
      </c>
      <c r="N23" s="857">
        <f t="shared" ref="N23:N86" si="0">SUM(B23:M23)</f>
        <v>5</v>
      </c>
      <c r="O23" s="850">
        <f t="shared" ref="O23:O54" si="1">AVERAGE(B23:M23)</f>
        <v>1.6666666666666667</v>
      </c>
      <c r="P23" s="851">
        <f>(N23/N99)*100</f>
        <v>0.25150905432595572</v>
      </c>
      <c r="Q23" s="677"/>
      <c r="R23" s="114"/>
      <c r="S23" s="1011" t="s">
        <v>320</v>
      </c>
      <c r="T23" s="1012"/>
      <c r="U23" s="1012"/>
      <c r="V23" s="1012"/>
      <c r="W23" s="1012"/>
      <c r="X23" s="1012"/>
      <c r="Y23" s="1012"/>
      <c r="Z23" s="1012"/>
      <c r="AA23" s="1012"/>
      <c r="AB23" s="1012"/>
      <c r="AC23" s="1012"/>
      <c r="AD23" s="1012"/>
      <c r="AE23" s="1013"/>
      <c r="AF23" s="484"/>
      <c r="AG23" s="485"/>
      <c r="AH23" s="195"/>
      <c r="AI23" s="195"/>
      <c r="AJ23" s="195"/>
      <c r="AK23" s="195"/>
      <c r="AL23" s="195"/>
      <c r="AM23" s="195"/>
      <c r="AN23" s="195"/>
      <c r="AO23" s="195"/>
      <c r="BB23" s="194"/>
    </row>
    <row r="24" spans="1:54" ht="24.95" customHeight="1" thickBot="1">
      <c r="A24" s="869" t="s">
        <v>252</v>
      </c>
      <c r="B24" s="864"/>
      <c r="C24" s="762"/>
      <c r="D24" s="705"/>
      <c r="E24" s="482"/>
      <c r="F24" s="482"/>
      <c r="G24" s="482"/>
      <c r="H24" s="482"/>
      <c r="I24" s="483"/>
      <c r="J24" s="482"/>
      <c r="K24" s="947">
        <v>3</v>
      </c>
      <c r="L24" s="861">
        <v>4</v>
      </c>
      <c r="M24" s="855">
        <v>6</v>
      </c>
      <c r="N24" s="858">
        <f t="shared" si="0"/>
        <v>13</v>
      </c>
      <c r="O24" s="622">
        <f t="shared" si="1"/>
        <v>4.333333333333333</v>
      </c>
      <c r="P24" s="467">
        <f t="shared" ref="P24:P63" si="2">(N24/$N$99)*100</f>
        <v>0.65392354124748497</v>
      </c>
      <c r="Q24" s="677"/>
      <c r="R24" s="114"/>
      <c r="S24" s="486" t="s">
        <v>3</v>
      </c>
      <c r="T24" s="487"/>
      <c r="U24" s="487"/>
      <c r="V24" s="487"/>
      <c r="W24" s="487"/>
      <c r="X24" s="487"/>
      <c r="Y24" s="487"/>
      <c r="Z24" s="487"/>
      <c r="AA24" s="487"/>
      <c r="AB24" s="487"/>
      <c r="AC24" s="487">
        <v>728</v>
      </c>
      <c r="AD24" s="487">
        <v>560</v>
      </c>
      <c r="AE24" s="488">
        <v>728</v>
      </c>
      <c r="AF24" s="489">
        <f>SUM(T24:AE24)</f>
        <v>2016</v>
      </c>
      <c r="AG24" s="490">
        <f>AVERAGE(T24:AE24)</f>
        <v>672</v>
      </c>
      <c r="AH24" s="195"/>
      <c r="AI24" s="195"/>
      <c r="AJ24" s="195"/>
      <c r="AK24" s="195"/>
      <c r="AL24" s="195"/>
      <c r="AM24" s="195"/>
      <c r="AN24" s="195"/>
      <c r="AO24" s="195"/>
      <c r="BB24" s="194"/>
    </row>
    <row r="25" spans="1:54" ht="24.95" customHeight="1">
      <c r="A25" s="869" t="s">
        <v>284</v>
      </c>
      <c r="B25" s="864"/>
      <c r="C25" s="762"/>
      <c r="D25" s="705"/>
      <c r="E25" s="482"/>
      <c r="F25" s="482"/>
      <c r="G25" s="482"/>
      <c r="H25" s="482"/>
      <c r="I25" s="483"/>
      <c r="J25" s="482"/>
      <c r="K25" s="947">
        <v>53</v>
      </c>
      <c r="L25" s="861">
        <v>45</v>
      </c>
      <c r="M25" s="855">
        <v>55</v>
      </c>
      <c r="N25" s="858">
        <f t="shared" si="0"/>
        <v>153</v>
      </c>
      <c r="O25" s="622">
        <f t="shared" si="1"/>
        <v>51</v>
      </c>
      <c r="P25" s="467">
        <f t="shared" si="2"/>
        <v>7.6961770623742458</v>
      </c>
      <c r="Q25" s="677"/>
      <c r="R25" s="114"/>
      <c r="S25" s="491"/>
      <c r="T25" s="492"/>
      <c r="U25" s="492"/>
      <c r="V25" s="492"/>
      <c r="W25" s="492"/>
      <c r="X25" s="492"/>
      <c r="Y25" s="493"/>
      <c r="Z25" s="494"/>
      <c r="AA25" s="492"/>
      <c r="AB25" s="492"/>
      <c r="AC25" s="492"/>
      <c r="AD25" s="492"/>
      <c r="AE25" s="493"/>
      <c r="AF25" s="495"/>
      <c r="AG25" s="496"/>
      <c r="AH25" s="465"/>
      <c r="AI25" s="195"/>
      <c r="AJ25" s="195"/>
      <c r="AK25" s="195"/>
      <c r="AL25" s="195"/>
      <c r="AM25" s="195"/>
      <c r="AN25" s="195"/>
      <c r="AO25" s="195"/>
      <c r="BB25" s="194"/>
    </row>
    <row r="26" spans="1:54" ht="24.95" customHeight="1" thickBot="1">
      <c r="A26" s="869" t="s">
        <v>285</v>
      </c>
      <c r="B26" s="864"/>
      <c r="C26" s="762"/>
      <c r="D26" s="705"/>
      <c r="E26" s="482"/>
      <c r="F26" s="482"/>
      <c r="G26" s="482"/>
      <c r="H26" s="482"/>
      <c r="I26" s="483"/>
      <c r="J26" s="482"/>
      <c r="K26" s="947">
        <v>7</v>
      </c>
      <c r="L26" s="861">
        <v>5</v>
      </c>
      <c r="M26" s="855">
        <v>10</v>
      </c>
      <c r="N26" s="858">
        <f t="shared" si="0"/>
        <v>22</v>
      </c>
      <c r="O26" s="622">
        <f t="shared" si="1"/>
        <v>7.333333333333333</v>
      </c>
      <c r="P26" s="467">
        <f t="shared" si="2"/>
        <v>1.1066398390342052</v>
      </c>
      <c r="Q26" s="677"/>
      <c r="R26" s="114"/>
      <c r="S26" s="1014" t="s">
        <v>321</v>
      </c>
      <c r="T26" s="1015"/>
      <c r="U26" s="1015"/>
      <c r="V26" s="1015"/>
      <c r="W26" s="1015"/>
      <c r="X26" s="1015"/>
      <c r="Y26" s="1015"/>
      <c r="Z26" s="1015"/>
      <c r="AA26" s="1015"/>
      <c r="AB26" s="1015"/>
      <c r="AC26" s="1015"/>
      <c r="AD26" s="1015"/>
      <c r="AE26" s="1016"/>
      <c r="AF26" s="497"/>
      <c r="AG26" s="498"/>
      <c r="AH26" s="465"/>
      <c r="AI26" s="195"/>
      <c r="AJ26" s="195"/>
      <c r="AK26" s="195"/>
      <c r="AL26" s="195"/>
      <c r="AM26" s="195"/>
      <c r="AN26" s="195"/>
      <c r="AO26" s="195"/>
      <c r="BB26" s="194"/>
    </row>
    <row r="27" spans="1:54" ht="24.95" customHeight="1" thickTop="1" thickBot="1">
      <c r="A27" s="869" t="s">
        <v>286</v>
      </c>
      <c r="B27" s="864"/>
      <c r="C27" s="762"/>
      <c r="D27" s="705"/>
      <c r="E27" s="482"/>
      <c r="F27" s="482"/>
      <c r="G27" s="482"/>
      <c r="H27" s="482"/>
      <c r="I27" s="483"/>
      <c r="J27" s="482"/>
      <c r="K27" s="947">
        <v>18</v>
      </c>
      <c r="L27" s="861">
        <v>13</v>
      </c>
      <c r="M27" s="855">
        <v>12</v>
      </c>
      <c r="N27" s="858">
        <f t="shared" si="0"/>
        <v>43</v>
      </c>
      <c r="O27" s="622">
        <f t="shared" si="1"/>
        <v>14.333333333333334</v>
      </c>
      <c r="P27" s="467">
        <f t="shared" si="2"/>
        <v>2.1629778672032192</v>
      </c>
      <c r="Q27" s="677"/>
      <c r="R27" s="114"/>
      <c r="S27" s="499" t="s">
        <v>322</v>
      </c>
      <c r="T27" s="500">
        <f t="shared" ref="T27:AD27" si="3">SUM(T28:T29)</f>
        <v>0</v>
      </c>
      <c r="U27" s="501">
        <f t="shared" si="3"/>
        <v>0</v>
      </c>
      <c r="V27" s="501">
        <f t="shared" si="3"/>
        <v>0</v>
      </c>
      <c r="W27" s="501">
        <f t="shared" si="3"/>
        <v>0</v>
      </c>
      <c r="X27" s="501">
        <f t="shared" si="3"/>
        <v>0</v>
      </c>
      <c r="Y27" s="501">
        <f t="shared" si="3"/>
        <v>0</v>
      </c>
      <c r="Z27" s="501">
        <f t="shared" si="3"/>
        <v>0</v>
      </c>
      <c r="AA27" s="501">
        <f t="shared" si="3"/>
        <v>0</v>
      </c>
      <c r="AB27" s="501">
        <f t="shared" si="3"/>
        <v>0</v>
      </c>
      <c r="AC27" s="501">
        <v>648</v>
      </c>
      <c r="AD27" s="501">
        <f t="shared" si="3"/>
        <v>560</v>
      </c>
      <c r="AE27" s="501">
        <f>SUM(AE28:AE29)</f>
        <v>580</v>
      </c>
      <c r="AF27" s="502">
        <f t="shared" ref="AF27:AF49" si="4">SUM(T27:AE27)</f>
        <v>1788</v>
      </c>
      <c r="AG27" s="490">
        <f>SUM(AG28:AG29)</f>
        <v>596</v>
      </c>
      <c r="AH27" s="465"/>
      <c r="AI27" s="195"/>
      <c r="AJ27" s="195"/>
      <c r="AK27" s="195"/>
      <c r="AL27" s="195"/>
      <c r="AM27" s="195"/>
      <c r="AN27" s="195"/>
      <c r="AO27" s="195"/>
      <c r="BB27" s="194"/>
    </row>
    <row r="28" spans="1:54" ht="24.95" customHeight="1" thickBot="1">
      <c r="A28" s="869" t="s">
        <v>317</v>
      </c>
      <c r="B28" s="864"/>
      <c r="C28" s="762"/>
      <c r="D28" s="705"/>
      <c r="E28" s="482"/>
      <c r="F28" s="482"/>
      <c r="G28" s="482"/>
      <c r="H28" s="482"/>
      <c r="I28" s="483"/>
      <c r="J28" s="482"/>
      <c r="K28" s="947">
        <v>1</v>
      </c>
      <c r="L28" s="861">
        <v>1</v>
      </c>
      <c r="M28" s="855">
        <v>1</v>
      </c>
      <c r="N28" s="858">
        <f t="shared" si="0"/>
        <v>3</v>
      </c>
      <c r="O28" s="622">
        <f t="shared" si="1"/>
        <v>1</v>
      </c>
      <c r="P28" s="467">
        <f t="shared" si="2"/>
        <v>0.15090543259557343</v>
      </c>
      <c r="Q28" s="677"/>
      <c r="R28" s="114"/>
      <c r="S28" s="503" t="s">
        <v>323</v>
      </c>
      <c r="T28" s="504"/>
      <c r="U28" s="505"/>
      <c r="V28" s="505"/>
      <c r="W28" s="505"/>
      <c r="X28" s="505"/>
      <c r="Y28" s="505"/>
      <c r="Z28" s="505"/>
      <c r="AA28" s="505"/>
      <c r="AB28" s="505"/>
      <c r="AC28" s="506">
        <v>527</v>
      </c>
      <c r="AD28" s="506">
        <v>435</v>
      </c>
      <c r="AE28" s="507">
        <v>471</v>
      </c>
      <c r="AF28" s="508">
        <f t="shared" si="4"/>
        <v>1433</v>
      </c>
      <c r="AG28" s="509">
        <f t="shared" ref="AG28:AG49" si="5">AVERAGE(T28:AE28)</f>
        <v>477.66666666666669</v>
      </c>
      <c r="AH28" s="465"/>
      <c r="AI28" s="195"/>
      <c r="AJ28" s="195"/>
      <c r="AK28" s="195"/>
      <c r="AL28" s="195"/>
      <c r="AM28" s="195"/>
      <c r="AN28" s="195"/>
      <c r="AO28" s="195"/>
      <c r="BB28" s="194"/>
    </row>
    <row r="29" spans="1:54" ht="24.95" customHeight="1" thickBot="1">
      <c r="A29" s="869" t="s">
        <v>342</v>
      </c>
      <c r="B29" s="864"/>
      <c r="C29" s="762"/>
      <c r="D29" s="705"/>
      <c r="E29" s="482"/>
      <c r="F29" s="482"/>
      <c r="G29" s="482"/>
      <c r="H29" s="482"/>
      <c r="I29" s="483"/>
      <c r="J29" s="482"/>
      <c r="K29" s="947">
        <v>0</v>
      </c>
      <c r="L29" s="861">
        <v>1</v>
      </c>
      <c r="M29" s="855">
        <v>1</v>
      </c>
      <c r="N29" s="858">
        <f t="shared" si="0"/>
        <v>2</v>
      </c>
      <c r="O29" s="622">
        <f t="shared" si="1"/>
        <v>0.66666666666666663</v>
      </c>
      <c r="P29" s="467">
        <f t="shared" si="2"/>
        <v>0.1006036217303823</v>
      </c>
      <c r="Q29" s="677"/>
      <c r="R29" s="114"/>
      <c r="S29" s="510" t="s">
        <v>324</v>
      </c>
      <c r="T29" s="511"/>
      <c r="U29" s="512"/>
      <c r="V29" s="512"/>
      <c r="W29" s="512"/>
      <c r="X29" s="512"/>
      <c r="Y29" s="512"/>
      <c r="Z29" s="512"/>
      <c r="AA29" s="512"/>
      <c r="AB29" s="512"/>
      <c r="AC29" s="513">
        <v>121</v>
      </c>
      <c r="AD29" s="513">
        <v>125</v>
      </c>
      <c r="AE29" s="514">
        <v>109</v>
      </c>
      <c r="AF29" s="515">
        <f t="shared" si="4"/>
        <v>355</v>
      </c>
      <c r="AG29" s="516">
        <f t="shared" si="5"/>
        <v>118.33333333333333</v>
      </c>
      <c r="AH29" s="465"/>
      <c r="AI29" s="195"/>
      <c r="AJ29" s="195"/>
      <c r="AK29" s="195"/>
      <c r="AL29" s="195"/>
      <c r="AM29" s="195"/>
      <c r="AN29" s="195"/>
      <c r="AO29" s="195"/>
      <c r="BB29" s="194"/>
    </row>
    <row r="30" spans="1:54" ht="24.95" customHeight="1" thickBot="1">
      <c r="A30" s="870" t="s">
        <v>287</v>
      </c>
      <c r="B30" s="865"/>
      <c r="C30" s="762"/>
      <c r="D30" s="742"/>
      <c r="E30" s="607"/>
      <c r="F30" s="607"/>
      <c r="G30" s="607"/>
      <c r="H30" s="607"/>
      <c r="I30" s="607"/>
      <c r="J30" s="607"/>
      <c r="K30" s="947">
        <v>3</v>
      </c>
      <c r="L30" s="861">
        <v>2</v>
      </c>
      <c r="M30" s="855">
        <v>1</v>
      </c>
      <c r="N30" s="858">
        <f t="shared" si="0"/>
        <v>6</v>
      </c>
      <c r="O30" s="622">
        <f t="shared" si="1"/>
        <v>2</v>
      </c>
      <c r="P30" s="467">
        <f t="shared" si="2"/>
        <v>0.30181086519114686</v>
      </c>
      <c r="Q30" s="677"/>
      <c r="R30" s="114"/>
      <c r="S30" s="517"/>
      <c r="T30" s="518"/>
      <c r="U30" s="518"/>
      <c r="V30" s="518"/>
      <c r="W30" s="518"/>
      <c r="X30" s="518"/>
      <c r="Y30" s="518"/>
      <c r="Z30" s="518"/>
      <c r="AA30" s="518"/>
      <c r="AB30" s="518"/>
      <c r="AC30" s="518"/>
      <c r="AD30" s="518"/>
      <c r="AE30" s="519"/>
      <c r="AF30" s="495"/>
      <c r="AG30" s="496"/>
      <c r="AH30" s="195"/>
      <c r="AI30" s="195"/>
      <c r="AJ30" s="195"/>
      <c r="AK30" s="195"/>
      <c r="AL30" s="195"/>
      <c r="AM30" s="195"/>
      <c r="AN30" s="195"/>
      <c r="AO30" s="195"/>
      <c r="BB30" s="194"/>
    </row>
    <row r="31" spans="1:54" ht="36.75" customHeight="1" thickBot="1">
      <c r="A31" s="869" t="s">
        <v>288</v>
      </c>
      <c r="B31" s="864"/>
      <c r="C31" s="762"/>
      <c r="D31" s="705"/>
      <c r="E31" s="482"/>
      <c r="F31" s="482"/>
      <c r="G31" s="482"/>
      <c r="H31" s="482"/>
      <c r="I31" s="483"/>
      <c r="J31" s="482"/>
      <c r="K31" s="947">
        <v>4</v>
      </c>
      <c r="L31" s="861">
        <v>3</v>
      </c>
      <c r="M31" s="855">
        <v>5</v>
      </c>
      <c r="N31" s="858">
        <f t="shared" si="0"/>
        <v>12</v>
      </c>
      <c r="O31" s="622">
        <f t="shared" si="1"/>
        <v>4</v>
      </c>
      <c r="P31" s="467">
        <f t="shared" si="2"/>
        <v>0.60362173038229372</v>
      </c>
      <c r="Q31" s="677"/>
      <c r="R31" s="114"/>
      <c r="S31" s="1017" t="s">
        <v>325</v>
      </c>
      <c r="T31" s="1018"/>
      <c r="U31" s="1018"/>
      <c r="V31" s="1018"/>
      <c r="W31" s="1018"/>
      <c r="X31" s="1018"/>
      <c r="Y31" s="1018"/>
      <c r="Z31" s="1018"/>
      <c r="AA31" s="1018"/>
      <c r="AB31" s="1018"/>
      <c r="AC31" s="1018"/>
      <c r="AD31" s="1018"/>
      <c r="AE31" s="1019"/>
      <c r="AF31" s="497"/>
      <c r="AG31" s="498"/>
      <c r="AH31" s="195"/>
      <c r="AI31" s="195"/>
      <c r="AJ31" s="195"/>
      <c r="AK31" s="195"/>
      <c r="AL31" s="195"/>
      <c r="AM31" s="195"/>
      <c r="AN31" s="195"/>
      <c r="AO31" s="195"/>
      <c r="BB31" s="194"/>
    </row>
    <row r="32" spans="1:54" ht="27.75" customHeight="1" thickBot="1">
      <c r="A32" s="869" t="s">
        <v>289</v>
      </c>
      <c r="B32" s="864"/>
      <c r="C32" s="762"/>
      <c r="D32" s="705"/>
      <c r="E32" s="482"/>
      <c r="F32" s="482"/>
      <c r="G32" s="482"/>
      <c r="H32" s="482"/>
      <c r="I32" s="483"/>
      <c r="J32" s="482"/>
      <c r="K32" s="947">
        <v>9</v>
      </c>
      <c r="L32" s="861">
        <v>12</v>
      </c>
      <c r="M32" s="855">
        <v>7</v>
      </c>
      <c r="N32" s="858">
        <f t="shared" si="0"/>
        <v>28</v>
      </c>
      <c r="O32" s="622">
        <f t="shared" si="1"/>
        <v>9.3333333333333339</v>
      </c>
      <c r="P32" s="467">
        <f t="shared" si="2"/>
        <v>1.4084507042253522</v>
      </c>
      <c r="Q32" s="677"/>
      <c r="R32" s="114"/>
      <c r="S32" s="520" t="s">
        <v>326</v>
      </c>
      <c r="T32" s="521"/>
      <c r="U32" s="522"/>
      <c r="V32" s="522"/>
      <c r="W32" s="522"/>
      <c r="X32" s="522"/>
      <c r="Y32" s="522"/>
      <c r="Z32" s="522"/>
      <c r="AA32" s="522"/>
      <c r="AB32" s="523"/>
      <c r="AC32" s="523">
        <v>80</v>
      </c>
      <c r="AD32" s="523">
        <v>51</v>
      </c>
      <c r="AE32" s="524">
        <v>80</v>
      </c>
      <c r="AF32" s="502">
        <f t="shared" si="4"/>
        <v>211</v>
      </c>
      <c r="AG32" s="490">
        <f t="shared" si="5"/>
        <v>70.333333333333329</v>
      </c>
      <c r="AM32" s="195"/>
      <c r="BB32" s="194"/>
    </row>
    <row r="33" spans="1:54" ht="34.5" thickBot="1">
      <c r="A33" s="871" t="s">
        <v>290</v>
      </c>
      <c r="B33" s="864"/>
      <c r="C33" s="762"/>
      <c r="D33" s="705"/>
      <c r="E33" s="482"/>
      <c r="F33" s="482"/>
      <c r="G33" s="482"/>
      <c r="H33" s="482"/>
      <c r="I33" s="483"/>
      <c r="J33" s="482"/>
      <c r="K33" s="947">
        <v>6</v>
      </c>
      <c r="L33" s="861">
        <v>1</v>
      </c>
      <c r="M33" s="855">
        <v>8</v>
      </c>
      <c r="N33" s="858">
        <f t="shared" si="0"/>
        <v>15</v>
      </c>
      <c r="O33" s="622">
        <f t="shared" si="1"/>
        <v>5</v>
      </c>
      <c r="P33" s="467">
        <f t="shared" si="2"/>
        <v>0.75452716297786715</v>
      </c>
      <c r="Q33" s="677"/>
      <c r="R33" s="114"/>
      <c r="S33" s="525" t="s">
        <v>327</v>
      </c>
      <c r="T33" s="526">
        <f t="shared" ref="T33:AD33" si="6">SUM(T34:T35)</f>
        <v>0</v>
      </c>
      <c r="U33" s="526">
        <f t="shared" si="6"/>
        <v>0</v>
      </c>
      <c r="V33" s="526">
        <f t="shared" si="6"/>
        <v>0</v>
      </c>
      <c r="W33" s="526">
        <f t="shared" si="6"/>
        <v>0</v>
      </c>
      <c r="X33" s="526">
        <f t="shared" si="6"/>
        <v>0</v>
      </c>
      <c r="Y33" s="526">
        <f t="shared" si="6"/>
        <v>0</v>
      </c>
      <c r="Z33" s="526">
        <f t="shared" si="6"/>
        <v>0</v>
      </c>
      <c r="AA33" s="526">
        <f t="shared" si="6"/>
        <v>0</v>
      </c>
      <c r="AB33" s="526">
        <f t="shared" si="6"/>
        <v>0</v>
      </c>
      <c r="AC33" s="526">
        <v>50</v>
      </c>
      <c r="AD33" s="526">
        <f t="shared" si="6"/>
        <v>46</v>
      </c>
      <c r="AE33" s="526">
        <f>SUM(AE34:AE35)</f>
        <v>63</v>
      </c>
      <c r="AF33" s="502">
        <f t="shared" si="4"/>
        <v>159</v>
      </c>
      <c r="AG33" s="490">
        <f>SUM(AG34:AG35)</f>
        <v>53</v>
      </c>
      <c r="AM33" s="195"/>
      <c r="BB33" s="194"/>
    </row>
    <row r="34" spans="1:54" ht="24" thickBot="1">
      <c r="A34" s="869" t="s">
        <v>310</v>
      </c>
      <c r="B34" s="864"/>
      <c r="C34" s="762"/>
      <c r="D34" s="705"/>
      <c r="E34" s="482"/>
      <c r="F34" s="482"/>
      <c r="G34" s="482"/>
      <c r="H34" s="482"/>
      <c r="I34" s="483"/>
      <c r="J34" s="482"/>
      <c r="K34" s="947">
        <v>34</v>
      </c>
      <c r="L34" s="861">
        <v>52</v>
      </c>
      <c r="M34" s="855">
        <v>52</v>
      </c>
      <c r="N34" s="858">
        <f t="shared" si="0"/>
        <v>138</v>
      </c>
      <c r="O34" s="622">
        <f t="shared" si="1"/>
        <v>46</v>
      </c>
      <c r="P34" s="467">
        <f t="shared" si="2"/>
        <v>6.9416498993963778</v>
      </c>
      <c r="Q34" s="677"/>
      <c r="R34" s="114"/>
      <c r="S34" s="527" t="s">
        <v>328</v>
      </c>
      <c r="T34" s="528"/>
      <c r="U34" s="529"/>
      <c r="V34" s="530"/>
      <c r="W34" s="531"/>
      <c r="X34" s="529"/>
      <c r="Y34" s="529"/>
      <c r="Z34" s="531"/>
      <c r="AA34" s="529"/>
      <c r="AB34" s="529"/>
      <c r="AC34" s="529">
        <v>30</v>
      </c>
      <c r="AD34" s="529">
        <v>24</v>
      </c>
      <c r="AE34" s="532">
        <v>47</v>
      </c>
      <c r="AF34" s="533">
        <f t="shared" si="4"/>
        <v>101</v>
      </c>
      <c r="AG34" s="534">
        <f t="shared" si="5"/>
        <v>33.666666666666664</v>
      </c>
      <c r="AM34" s="195"/>
      <c r="AN34" s="195"/>
      <c r="BB34" s="194"/>
    </row>
    <row r="35" spans="1:54" ht="24" thickBot="1">
      <c r="A35" s="869" t="s">
        <v>291</v>
      </c>
      <c r="B35" s="864"/>
      <c r="C35" s="762"/>
      <c r="D35" s="705"/>
      <c r="E35" s="482"/>
      <c r="F35" s="482"/>
      <c r="G35" s="482"/>
      <c r="H35" s="482"/>
      <c r="I35" s="483"/>
      <c r="J35" s="482"/>
      <c r="K35" s="947">
        <v>1</v>
      </c>
      <c r="L35" s="861">
        <v>2</v>
      </c>
      <c r="M35" s="855">
        <v>5</v>
      </c>
      <c r="N35" s="858">
        <f t="shared" si="0"/>
        <v>8</v>
      </c>
      <c r="O35" s="622">
        <f t="shared" si="1"/>
        <v>2.6666666666666665</v>
      </c>
      <c r="P35" s="467">
        <f t="shared" si="2"/>
        <v>0.4024144869215292</v>
      </c>
      <c r="Q35" s="677"/>
      <c r="R35" s="114"/>
      <c r="S35" s="535" t="s">
        <v>324</v>
      </c>
      <c r="T35" s="536"/>
      <c r="U35" s="537"/>
      <c r="V35" s="537"/>
      <c r="W35" s="538"/>
      <c r="X35" s="537"/>
      <c r="Y35" s="537"/>
      <c r="Z35" s="538"/>
      <c r="AA35" s="537"/>
      <c r="AB35" s="537"/>
      <c r="AC35" s="537">
        <v>20</v>
      </c>
      <c r="AD35" s="537">
        <v>22</v>
      </c>
      <c r="AE35" s="539">
        <v>16</v>
      </c>
      <c r="AF35" s="540">
        <f t="shared" si="4"/>
        <v>58</v>
      </c>
      <c r="AG35" s="541">
        <f t="shared" si="5"/>
        <v>19.333333333333332</v>
      </c>
      <c r="AM35" s="195"/>
      <c r="AN35" s="195"/>
      <c r="BB35" s="194"/>
    </row>
    <row r="36" spans="1:54" ht="24" thickBot="1">
      <c r="A36" s="869" t="s">
        <v>292</v>
      </c>
      <c r="B36" s="864"/>
      <c r="C36" s="762"/>
      <c r="D36" s="705"/>
      <c r="E36" s="482"/>
      <c r="F36" s="482"/>
      <c r="G36" s="482"/>
      <c r="H36" s="482"/>
      <c r="I36" s="483"/>
      <c r="J36" s="482"/>
      <c r="K36" s="947">
        <v>23</v>
      </c>
      <c r="L36" s="861">
        <v>17</v>
      </c>
      <c r="M36" s="855">
        <v>12</v>
      </c>
      <c r="N36" s="858">
        <f t="shared" si="0"/>
        <v>52</v>
      </c>
      <c r="O36" s="622">
        <f t="shared" si="1"/>
        <v>17.333333333333332</v>
      </c>
      <c r="P36" s="467">
        <f t="shared" si="2"/>
        <v>2.6156941649899399</v>
      </c>
      <c r="Q36" s="6"/>
      <c r="R36" s="114"/>
      <c r="S36" s="517"/>
      <c r="T36" s="518"/>
      <c r="U36" s="518"/>
      <c r="V36" s="518"/>
      <c r="W36" s="518"/>
      <c r="X36" s="518"/>
      <c r="Y36" s="518"/>
      <c r="Z36" s="518"/>
      <c r="AA36" s="518"/>
      <c r="AB36" s="518"/>
      <c r="AC36" s="518"/>
      <c r="AD36" s="518"/>
      <c r="AE36" s="519"/>
      <c r="AF36" s="484"/>
      <c r="AG36" s="496"/>
      <c r="AM36" s="195"/>
      <c r="AN36" s="195"/>
      <c r="BB36" s="194"/>
    </row>
    <row r="37" spans="1:54" ht="24" thickBot="1">
      <c r="A37" s="869" t="s">
        <v>293</v>
      </c>
      <c r="B37" s="864"/>
      <c r="C37" s="762"/>
      <c r="D37" s="705"/>
      <c r="E37" s="482"/>
      <c r="F37" s="482"/>
      <c r="G37" s="482"/>
      <c r="H37" s="482"/>
      <c r="I37" s="483"/>
      <c r="J37" s="482"/>
      <c r="K37" s="947">
        <v>17</v>
      </c>
      <c r="L37" s="861">
        <v>8</v>
      </c>
      <c r="M37" s="855">
        <v>14</v>
      </c>
      <c r="N37" s="858">
        <f t="shared" si="0"/>
        <v>39</v>
      </c>
      <c r="O37" s="622">
        <f t="shared" si="1"/>
        <v>13</v>
      </c>
      <c r="P37" s="467">
        <f t="shared" si="2"/>
        <v>1.9617706237424548</v>
      </c>
      <c r="Q37" s="6"/>
      <c r="R37" s="114"/>
      <c r="S37" s="1020" t="s">
        <v>329</v>
      </c>
      <c r="T37" s="1021"/>
      <c r="U37" s="1021"/>
      <c r="V37" s="1021"/>
      <c r="W37" s="1021"/>
      <c r="X37" s="1021"/>
      <c r="Y37" s="1021"/>
      <c r="Z37" s="1021"/>
      <c r="AA37" s="1021"/>
      <c r="AB37" s="1021"/>
      <c r="AC37" s="1021"/>
      <c r="AD37" s="1021"/>
      <c r="AE37" s="1022"/>
      <c r="AF37" s="497"/>
      <c r="AG37" s="498"/>
      <c r="AM37" s="195"/>
      <c r="AN37" s="195"/>
      <c r="BB37" s="194"/>
    </row>
    <row r="38" spans="1:54" ht="24" thickBot="1">
      <c r="A38" s="869" t="s">
        <v>294</v>
      </c>
      <c r="B38" s="864"/>
      <c r="C38" s="762"/>
      <c r="D38" s="705"/>
      <c r="E38" s="482"/>
      <c r="F38" s="482"/>
      <c r="G38" s="482"/>
      <c r="H38" s="482"/>
      <c r="I38" s="483"/>
      <c r="J38" s="482"/>
      <c r="K38" s="947">
        <v>5</v>
      </c>
      <c r="L38" s="861">
        <v>2</v>
      </c>
      <c r="M38" s="855">
        <v>4</v>
      </c>
      <c r="N38" s="858">
        <f t="shared" si="0"/>
        <v>11</v>
      </c>
      <c r="O38" s="622">
        <f t="shared" si="1"/>
        <v>3.6666666666666665</v>
      </c>
      <c r="P38" s="467">
        <f t="shared" si="2"/>
        <v>0.55331991951710258</v>
      </c>
      <c r="Q38" s="6"/>
      <c r="R38" s="114"/>
      <c r="S38" s="542" t="s">
        <v>326</v>
      </c>
      <c r="T38" s="543"/>
      <c r="U38" s="544"/>
      <c r="V38" s="544"/>
      <c r="W38" s="544"/>
      <c r="X38" s="544"/>
      <c r="Y38" s="544"/>
      <c r="Z38" s="544"/>
      <c r="AA38" s="544"/>
      <c r="AB38" s="544"/>
      <c r="AC38" s="544">
        <v>65</v>
      </c>
      <c r="AD38" s="544">
        <v>48</v>
      </c>
      <c r="AE38" s="545">
        <v>37</v>
      </c>
      <c r="AF38" s="546">
        <f t="shared" si="4"/>
        <v>150</v>
      </c>
      <c r="AG38" s="490">
        <f t="shared" si="5"/>
        <v>50</v>
      </c>
      <c r="AM38" s="195"/>
      <c r="AN38" s="195"/>
      <c r="BB38" s="194"/>
    </row>
    <row r="39" spans="1:54" ht="29.25" thickBot="1">
      <c r="A39" s="869" t="s">
        <v>352</v>
      </c>
      <c r="B39" s="864"/>
      <c r="C39" s="762"/>
      <c r="D39" s="705"/>
      <c r="E39" s="482"/>
      <c r="F39" s="482"/>
      <c r="G39" s="482"/>
      <c r="H39" s="482"/>
      <c r="I39" s="483"/>
      <c r="J39" s="482"/>
      <c r="K39" s="947">
        <v>0</v>
      </c>
      <c r="L39" s="861">
        <v>0</v>
      </c>
      <c r="M39" s="855">
        <v>2</v>
      </c>
      <c r="N39" s="858">
        <f t="shared" si="0"/>
        <v>2</v>
      </c>
      <c r="O39" s="622">
        <f t="shared" si="1"/>
        <v>0.66666666666666663</v>
      </c>
      <c r="P39" s="467">
        <f t="shared" si="2"/>
        <v>0.1006036217303823</v>
      </c>
      <c r="Q39" s="6"/>
      <c r="R39" s="114"/>
      <c r="S39" s="547" t="s">
        <v>330</v>
      </c>
      <c r="T39" s="548">
        <f t="shared" ref="T39:AD39" si="7">SUM(T40:T41)</f>
        <v>0</v>
      </c>
      <c r="U39" s="548">
        <f t="shared" si="7"/>
        <v>0</v>
      </c>
      <c r="V39" s="548">
        <f t="shared" si="7"/>
        <v>0</v>
      </c>
      <c r="W39" s="548">
        <f t="shared" si="7"/>
        <v>0</v>
      </c>
      <c r="X39" s="548">
        <f t="shared" si="7"/>
        <v>0</v>
      </c>
      <c r="Y39" s="548">
        <f t="shared" si="7"/>
        <v>0</v>
      </c>
      <c r="Z39" s="548">
        <f t="shared" si="7"/>
        <v>0</v>
      </c>
      <c r="AA39" s="548">
        <f t="shared" si="7"/>
        <v>0</v>
      </c>
      <c r="AB39" s="548">
        <f t="shared" si="7"/>
        <v>0</v>
      </c>
      <c r="AC39" s="548">
        <v>59</v>
      </c>
      <c r="AD39" s="548">
        <f t="shared" si="7"/>
        <v>33</v>
      </c>
      <c r="AE39" s="549">
        <f>SUM(AE40:AE41)</f>
        <v>53</v>
      </c>
      <c r="AF39" s="550">
        <f t="shared" si="4"/>
        <v>145</v>
      </c>
      <c r="AG39" s="551">
        <f>SUM(AG40:AG41)</f>
        <v>48.333333333333336</v>
      </c>
      <c r="AM39" s="195"/>
      <c r="AN39" s="195"/>
      <c r="BB39" s="194"/>
    </row>
    <row r="40" spans="1:54" ht="24" thickBot="1">
      <c r="A40" s="869" t="s">
        <v>295</v>
      </c>
      <c r="B40" s="864"/>
      <c r="C40" s="762"/>
      <c r="D40" s="705"/>
      <c r="E40" s="482"/>
      <c r="F40" s="482"/>
      <c r="G40" s="482"/>
      <c r="H40" s="482"/>
      <c r="I40" s="483"/>
      <c r="J40" s="482"/>
      <c r="K40" s="947">
        <v>66</v>
      </c>
      <c r="L40" s="861">
        <v>40</v>
      </c>
      <c r="M40" s="855">
        <v>46</v>
      </c>
      <c r="N40" s="858">
        <f t="shared" si="0"/>
        <v>152</v>
      </c>
      <c r="O40" s="622">
        <f t="shared" si="1"/>
        <v>50.666666666666664</v>
      </c>
      <c r="P40" s="467">
        <f t="shared" si="2"/>
        <v>7.6458752515090547</v>
      </c>
      <c r="Q40" s="677"/>
      <c r="R40" s="114"/>
      <c r="S40" s="552" t="s">
        <v>328</v>
      </c>
      <c r="T40" s="553"/>
      <c r="U40" s="554"/>
      <c r="V40" s="555"/>
      <c r="W40" s="554"/>
      <c r="X40" s="555"/>
      <c r="Y40" s="555"/>
      <c r="Z40" s="554"/>
      <c r="AA40" s="554"/>
      <c r="AB40" s="554"/>
      <c r="AC40" s="554">
        <v>36</v>
      </c>
      <c r="AD40" s="554">
        <v>11</v>
      </c>
      <c r="AE40" s="556">
        <v>27</v>
      </c>
      <c r="AF40" s="557">
        <f t="shared" si="4"/>
        <v>74</v>
      </c>
      <c r="AG40" s="558">
        <f t="shared" si="5"/>
        <v>24.666666666666668</v>
      </c>
      <c r="AM40" s="195"/>
      <c r="AN40" s="195"/>
      <c r="BB40" s="194"/>
    </row>
    <row r="41" spans="1:54" ht="15.75" thickBot="1">
      <c r="A41" s="869" t="s">
        <v>296</v>
      </c>
      <c r="B41" s="864"/>
      <c r="C41" s="762"/>
      <c r="D41" s="705"/>
      <c r="E41" s="482"/>
      <c r="F41" s="482"/>
      <c r="G41" s="482"/>
      <c r="H41" s="482"/>
      <c r="I41" s="483"/>
      <c r="J41" s="482"/>
      <c r="K41" s="947">
        <v>3</v>
      </c>
      <c r="L41" s="861">
        <v>3</v>
      </c>
      <c r="M41" s="855">
        <v>2</v>
      </c>
      <c r="N41" s="858">
        <f t="shared" si="0"/>
        <v>8</v>
      </c>
      <c r="O41" s="622">
        <f t="shared" si="1"/>
        <v>2.6666666666666665</v>
      </c>
      <c r="P41" s="467">
        <f t="shared" si="2"/>
        <v>0.4024144869215292</v>
      </c>
      <c r="Q41" s="6"/>
      <c r="R41" s="114"/>
      <c r="S41" s="559" t="s">
        <v>324</v>
      </c>
      <c r="T41" s="560"/>
      <c r="U41" s="555"/>
      <c r="V41" s="561"/>
      <c r="W41" s="555"/>
      <c r="X41" s="561"/>
      <c r="Y41" s="561"/>
      <c r="Z41" s="555"/>
      <c r="AA41" s="555"/>
      <c r="AB41" s="555"/>
      <c r="AC41" s="555">
        <v>23</v>
      </c>
      <c r="AD41" s="555">
        <v>22</v>
      </c>
      <c r="AE41" s="562">
        <v>26</v>
      </c>
      <c r="AF41" s="563">
        <f t="shared" si="4"/>
        <v>71</v>
      </c>
      <c r="AG41" s="564">
        <f t="shared" si="5"/>
        <v>23.666666666666668</v>
      </c>
      <c r="AM41" s="195"/>
      <c r="AN41" s="195"/>
      <c r="BB41" s="194"/>
    </row>
    <row r="42" spans="1:54" ht="24" thickBot="1">
      <c r="A42" s="869" t="s">
        <v>297</v>
      </c>
      <c r="B42" s="864"/>
      <c r="C42" s="762"/>
      <c r="D42" s="705"/>
      <c r="E42" s="482"/>
      <c r="F42" s="482"/>
      <c r="G42" s="482"/>
      <c r="H42" s="482"/>
      <c r="I42" s="483"/>
      <c r="J42" s="482"/>
      <c r="K42" s="947">
        <v>4</v>
      </c>
      <c r="L42" s="861">
        <v>3</v>
      </c>
      <c r="M42" s="855">
        <v>9</v>
      </c>
      <c r="N42" s="858">
        <f t="shared" si="0"/>
        <v>16</v>
      </c>
      <c r="O42" s="622">
        <f t="shared" si="1"/>
        <v>5.333333333333333</v>
      </c>
      <c r="P42" s="467">
        <f t="shared" si="2"/>
        <v>0.8048289738430584</v>
      </c>
      <c r="Q42" s="6"/>
      <c r="R42" s="114"/>
      <c r="S42" s="565" t="s">
        <v>279</v>
      </c>
      <c r="T42" s="543"/>
      <c r="U42" s="544"/>
      <c r="V42" s="544"/>
      <c r="W42" s="544"/>
      <c r="X42" s="544"/>
      <c r="Y42" s="544"/>
      <c r="Z42" s="544"/>
      <c r="AA42" s="544"/>
      <c r="AB42" s="544"/>
      <c r="AC42" s="544">
        <v>57</v>
      </c>
      <c r="AD42" s="544">
        <v>35</v>
      </c>
      <c r="AE42" s="545">
        <v>15</v>
      </c>
      <c r="AF42" s="566">
        <f t="shared" si="4"/>
        <v>107</v>
      </c>
      <c r="AG42" s="567">
        <f t="shared" si="5"/>
        <v>35.666666666666664</v>
      </c>
      <c r="AM42" s="195"/>
      <c r="AN42" s="195"/>
      <c r="BB42" s="194"/>
    </row>
    <row r="43" spans="1:54" ht="26.25" thickBot="1">
      <c r="A43" s="869" t="s">
        <v>298</v>
      </c>
      <c r="B43" s="864"/>
      <c r="C43" s="762"/>
      <c r="D43" s="705"/>
      <c r="E43" s="482"/>
      <c r="F43" s="482"/>
      <c r="G43" s="482"/>
      <c r="H43" s="482"/>
      <c r="I43" s="483"/>
      <c r="J43" s="482"/>
      <c r="K43" s="947">
        <v>17</v>
      </c>
      <c r="L43" s="861">
        <v>9</v>
      </c>
      <c r="M43" s="855">
        <v>8</v>
      </c>
      <c r="N43" s="858">
        <f t="shared" si="0"/>
        <v>34</v>
      </c>
      <c r="O43" s="622">
        <f t="shared" si="1"/>
        <v>11.333333333333334</v>
      </c>
      <c r="P43" s="467">
        <f t="shared" si="2"/>
        <v>1.7102615694164991</v>
      </c>
      <c r="Q43" s="6"/>
      <c r="R43" s="114"/>
      <c r="S43" s="605" t="s">
        <v>331</v>
      </c>
      <c r="T43" s="778"/>
      <c r="U43" s="569"/>
      <c r="V43" s="568"/>
      <c r="W43" s="568"/>
      <c r="X43" s="569"/>
      <c r="Y43" s="568"/>
      <c r="Z43" s="569"/>
      <c r="AA43" s="569"/>
      <c r="AB43" s="569"/>
      <c r="AC43" s="569">
        <v>27</v>
      </c>
      <c r="AD43" s="569">
        <v>10</v>
      </c>
      <c r="AE43" s="570">
        <v>3</v>
      </c>
      <c r="AF43" s="571">
        <f t="shared" si="4"/>
        <v>40</v>
      </c>
      <c r="AG43" s="551">
        <f t="shared" si="5"/>
        <v>13.333333333333334</v>
      </c>
      <c r="AM43" s="195"/>
      <c r="AN43" s="195"/>
      <c r="BB43" s="194"/>
    </row>
    <row r="44" spans="1:54" ht="34.5" thickBot="1">
      <c r="A44" s="871" t="s">
        <v>299</v>
      </c>
      <c r="B44" s="864"/>
      <c r="C44" s="762"/>
      <c r="D44" s="705"/>
      <c r="E44" s="482"/>
      <c r="F44" s="482"/>
      <c r="G44" s="482"/>
      <c r="H44" s="482"/>
      <c r="I44" s="483"/>
      <c r="J44" s="482"/>
      <c r="K44" s="947">
        <v>14</v>
      </c>
      <c r="L44" s="861">
        <v>10</v>
      </c>
      <c r="M44" s="855">
        <v>9</v>
      </c>
      <c r="N44" s="858">
        <f t="shared" si="0"/>
        <v>33</v>
      </c>
      <c r="O44" s="622">
        <f t="shared" si="1"/>
        <v>11</v>
      </c>
      <c r="P44" s="467">
        <f t="shared" si="2"/>
        <v>1.659959758551308</v>
      </c>
      <c r="Q44" s="6"/>
      <c r="R44" s="114"/>
      <c r="S44" s="572"/>
      <c r="T44" s="573"/>
      <c r="U44" s="573"/>
      <c r="V44" s="573"/>
      <c r="W44" s="573"/>
      <c r="X44" s="573"/>
      <c r="Y44" s="573"/>
      <c r="Z44" s="573"/>
      <c r="AA44" s="573"/>
      <c r="AB44" s="573"/>
      <c r="AC44" s="573"/>
      <c r="AD44" s="573"/>
      <c r="AE44" s="574"/>
      <c r="AF44" s="575"/>
      <c r="AG44" s="576"/>
      <c r="AM44" s="195"/>
      <c r="AN44" s="195"/>
      <c r="BB44" s="194"/>
    </row>
    <row r="45" spans="1:54" ht="24" thickBot="1">
      <c r="A45" s="869" t="s">
        <v>300</v>
      </c>
      <c r="B45" s="864"/>
      <c r="C45" s="762"/>
      <c r="D45" s="705"/>
      <c r="E45" s="482"/>
      <c r="F45" s="482"/>
      <c r="G45" s="482"/>
      <c r="H45" s="482"/>
      <c r="I45" s="483"/>
      <c r="J45" s="482"/>
      <c r="K45" s="947">
        <v>14</v>
      </c>
      <c r="L45" s="861">
        <v>15</v>
      </c>
      <c r="M45" s="855">
        <v>15</v>
      </c>
      <c r="N45" s="858">
        <f t="shared" si="0"/>
        <v>44</v>
      </c>
      <c r="O45" s="622">
        <f t="shared" si="1"/>
        <v>14.666666666666666</v>
      </c>
      <c r="P45" s="467">
        <f t="shared" si="2"/>
        <v>2.2132796780684103</v>
      </c>
      <c r="Q45" s="6"/>
      <c r="R45" s="114"/>
      <c r="S45" s="1001" t="s">
        <v>332</v>
      </c>
      <c r="T45" s="1002"/>
      <c r="U45" s="1002"/>
      <c r="V45" s="1002"/>
      <c r="W45" s="1002"/>
      <c r="X45" s="1002"/>
      <c r="Y45" s="1002"/>
      <c r="Z45" s="1002"/>
      <c r="AA45" s="1002"/>
      <c r="AB45" s="1002"/>
      <c r="AC45" s="1002"/>
      <c r="AD45" s="1002"/>
      <c r="AE45" s="1003"/>
      <c r="AF45" s="577"/>
      <c r="AG45" s="578"/>
      <c r="AM45" s="195"/>
      <c r="AN45" s="195"/>
      <c r="BB45" s="194"/>
    </row>
    <row r="46" spans="1:54" ht="35.25" thickBot="1">
      <c r="A46" s="869" t="s">
        <v>280</v>
      </c>
      <c r="B46" s="864"/>
      <c r="C46" s="762"/>
      <c r="D46" s="705"/>
      <c r="E46" s="482"/>
      <c r="F46" s="482"/>
      <c r="G46" s="482"/>
      <c r="H46" s="482"/>
      <c r="I46" s="483"/>
      <c r="J46" s="482"/>
      <c r="K46" s="947">
        <v>1</v>
      </c>
      <c r="L46" s="861">
        <v>5</v>
      </c>
      <c r="M46" s="855">
        <v>4</v>
      </c>
      <c r="N46" s="858">
        <f t="shared" si="0"/>
        <v>10</v>
      </c>
      <c r="O46" s="622">
        <f t="shared" si="1"/>
        <v>3.3333333333333335</v>
      </c>
      <c r="P46" s="467">
        <f t="shared" si="2"/>
        <v>0.50301810865191143</v>
      </c>
      <c r="Q46" s="6"/>
      <c r="R46" s="114"/>
      <c r="S46" s="579" t="s">
        <v>326</v>
      </c>
      <c r="T46" s="580"/>
      <c r="U46" s="581"/>
      <c r="V46" s="581"/>
      <c r="W46" s="581"/>
      <c r="X46" s="581"/>
      <c r="Y46" s="581"/>
      <c r="Z46" s="581"/>
      <c r="AA46" s="581"/>
      <c r="AB46" s="581"/>
      <c r="AC46" s="581">
        <v>9</v>
      </c>
      <c r="AD46" s="581">
        <v>11</v>
      </c>
      <c r="AE46" s="582">
        <v>8</v>
      </c>
      <c r="AF46" s="583">
        <f t="shared" si="4"/>
        <v>28</v>
      </c>
      <c r="AG46" s="567">
        <f t="shared" si="5"/>
        <v>9.3333333333333339</v>
      </c>
      <c r="AM46" s="195"/>
      <c r="AN46" s="195"/>
      <c r="BB46" s="194"/>
    </row>
    <row r="47" spans="1:54" ht="35.25" thickBot="1">
      <c r="A47" s="869" t="s">
        <v>301</v>
      </c>
      <c r="B47" s="864"/>
      <c r="C47" s="762"/>
      <c r="D47" s="705"/>
      <c r="E47" s="482"/>
      <c r="F47" s="482"/>
      <c r="G47" s="482"/>
      <c r="H47" s="482"/>
      <c r="I47" s="483"/>
      <c r="J47" s="482"/>
      <c r="K47" s="947">
        <v>6</v>
      </c>
      <c r="L47" s="861">
        <v>5</v>
      </c>
      <c r="M47" s="855">
        <v>2</v>
      </c>
      <c r="N47" s="858">
        <f t="shared" si="0"/>
        <v>13</v>
      </c>
      <c r="O47" s="622">
        <f t="shared" si="1"/>
        <v>4.333333333333333</v>
      </c>
      <c r="P47" s="467">
        <f t="shared" si="2"/>
        <v>0.65392354124748497</v>
      </c>
      <c r="Q47" s="6"/>
      <c r="R47" s="114"/>
      <c r="S47" s="584" t="s">
        <v>333</v>
      </c>
      <c r="T47" s="585">
        <f t="shared" ref="T47:AD47" si="8">SUM(T48:T49)</f>
        <v>0</v>
      </c>
      <c r="U47" s="585">
        <f t="shared" si="8"/>
        <v>0</v>
      </c>
      <c r="V47" s="585">
        <f t="shared" si="8"/>
        <v>0</v>
      </c>
      <c r="W47" s="585">
        <f t="shared" si="8"/>
        <v>0</v>
      </c>
      <c r="X47" s="585">
        <f t="shared" si="8"/>
        <v>0</v>
      </c>
      <c r="Y47" s="585">
        <f t="shared" si="8"/>
        <v>0</v>
      </c>
      <c r="Z47" s="585">
        <f t="shared" si="8"/>
        <v>0</v>
      </c>
      <c r="AA47" s="585">
        <f t="shared" si="8"/>
        <v>0</v>
      </c>
      <c r="AB47" s="585">
        <f t="shared" si="8"/>
        <v>0</v>
      </c>
      <c r="AC47" s="586">
        <v>21</v>
      </c>
      <c r="AD47" s="585">
        <f t="shared" si="8"/>
        <v>3</v>
      </c>
      <c r="AE47" s="587">
        <f>SUM(AE48:AE49)</f>
        <v>35</v>
      </c>
      <c r="AF47" s="550">
        <f t="shared" si="4"/>
        <v>59</v>
      </c>
      <c r="AG47" s="551">
        <f>SUM(AG48:AG49)</f>
        <v>19.666666666666664</v>
      </c>
      <c r="AM47" s="195"/>
      <c r="AN47" s="195"/>
      <c r="BB47" s="194"/>
    </row>
    <row r="48" spans="1:54" ht="24" thickBot="1">
      <c r="A48" s="869" t="s">
        <v>302</v>
      </c>
      <c r="B48" s="864"/>
      <c r="C48" s="762"/>
      <c r="D48" s="705"/>
      <c r="E48" s="482"/>
      <c r="F48" s="482"/>
      <c r="G48" s="482"/>
      <c r="H48" s="482"/>
      <c r="I48" s="483"/>
      <c r="J48" s="482"/>
      <c r="K48" s="947">
        <v>79</v>
      </c>
      <c r="L48" s="861">
        <v>56</v>
      </c>
      <c r="M48" s="855">
        <v>38</v>
      </c>
      <c r="N48" s="858">
        <f t="shared" si="0"/>
        <v>173</v>
      </c>
      <c r="O48" s="622">
        <f t="shared" si="1"/>
        <v>57.666666666666664</v>
      </c>
      <c r="P48" s="467">
        <f t="shared" si="2"/>
        <v>8.7022132796780678</v>
      </c>
      <c r="Q48" s="6"/>
      <c r="R48" s="114"/>
      <c r="S48" s="588" t="s">
        <v>328</v>
      </c>
      <c r="T48" s="589"/>
      <c r="U48" s="590"/>
      <c r="V48" s="590"/>
      <c r="W48" s="590"/>
      <c r="X48" s="590"/>
      <c r="Y48" s="591"/>
      <c r="Z48" s="590"/>
      <c r="AA48" s="590"/>
      <c r="AB48" s="590"/>
      <c r="AC48" s="590">
        <v>1</v>
      </c>
      <c r="AD48" s="590">
        <v>3</v>
      </c>
      <c r="AE48" s="592">
        <v>3</v>
      </c>
      <c r="AF48" s="557">
        <f t="shared" si="4"/>
        <v>7</v>
      </c>
      <c r="AG48" s="558">
        <f t="shared" si="5"/>
        <v>2.3333333333333335</v>
      </c>
      <c r="AM48" s="195"/>
      <c r="AN48" s="195"/>
      <c r="BB48" s="194"/>
    </row>
    <row r="49" spans="1:55" ht="24" thickBot="1">
      <c r="A49" s="869" t="s">
        <v>303</v>
      </c>
      <c r="B49" s="864"/>
      <c r="C49" s="762"/>
      <c r="D49" s="705"/>
      <c r="E49" s="482"/>
      <c r="F49" s="482"/>
      <c r="G49" s="482"/>
      <c r="H49" s="482"/>
      <c r="I49" s="483"/>
      <c r="J49" s="482"/>
      <c r="K49" s="947">
        <v>7</v>
      </c>
      <c r="L49" s="861">
        <v>5</v>
      </c>
      <c r="M49" s="855">
        <v>7</v>
      </c>
      <c r="N49" s="858">
        <f t="shared" si="0"/>
        <v>19</v>
      </c>
      <c r="O49" s="622">
        <f t="shared" si="1"/>
        <v>6.333333333333333</v>
      </c>
      <c r="P49" s="467">
        <f t="shared" si="2"/>
        <v>0.95573440643863183</v>
      </c>
      <c r="Q49" s="6"/>
      <c r="R49" s="114"/>
      <c r="S49" s="593" t="s">
        <v>324</v>
      </c>
      <c r="T49" s="594"/>
      <c r="U49" s="595"/>
      <c r="V49" s="595"/>
      <c r="W49" s="595"/>
      <c r="X49" s="595"/>
      <c r="Y49" s="596"/>
      <c r="Z49" s="595"/>
      <c r="AA49" s="595"/>
      <c r="AB49" s="595"/>
      <c r="AC49" s="595">
        <v>20</v>
      </c>
      <c r="AD49" s="595">
        <v>0</v>
      </c>
      <c r="AE49" s="597">
        <v>32</v>
      </c>
      <c r="AF49" s="563">
        <f t="shared" si="4"/>
        <v>52</v>
      </c>
      <c r="AG49" s="564">
        <f t="shared" si="5"/>
        <v>17.333333333333332</v>
      </c>
      <c r="AM49" s="195"/>
      <c r="AN49" s="195"/>
      <c r="BB49" s="194"/>
    </row>
    <row r="50" spans="1:55" ht="23.25">
      <c r="A50" s="869" t="s">
        <v>318</v>
      </c>
      <c r="B50" s="864"/>
      <c r="C50" s="762"/>
      <c r="D50" s="705"/>
      <c r="E50" s="482"/>
      <c r="F50" s="482"/>
      <c r="G50" s="482"/>
      <c r="H50" s="482"/>
      <c r="I50" s="483"/>
      <c r="J50" s="482"/>
      <c r="K50" s="947">
        <v>0</v>
      </c>
      <c r="L50" s="861">
        <v>1</v>
      </c>
      <c r="M50" s="855">
        <v>1</v>
      </c>
      <c r="N50" s="858">
        <f t="shared" si="0"/>
        <v>2</v>
      </c>
      <c r="O50" s="622">
        <f t="shared" si="1"/>
        <v>0.66666666666666663</v>
      </c>
      <c r="P50" s="467">
        <f t="shared" si="2"/>
        <v>0.1006036217303823</v>
      </c>
      <c r="Q50" s="6"/>
      <c r="R50" s="114"/>
      <c r="BC50" s="195"/>
    </row>
    <row r="51" spans="1:55" ht="23.25">
      <c r="A51" s="869" t="s">
        <v>340</v>
      </c>
      <c r="B51" s="864"/>
      <c r="C51" s="762"/>
      <c r="D51" s="705"/>
      <c r="E51" s="482"/>
      <c r="F51" s="482"/>
      <c r="G51" s="482"/>
      <c r="H51" s="482"/>
      <c r="I51" s="483"/>
      <c r="J51" s="482"/>
      <c r="K51" s="947">
        <v>3</v>
      </c>
      <c r="L51" s="861">
        <v>0</v>
      </c>
      <c r="M51" s="855">
        <v>4</v>
      </c>
      <c r="N51" s="858">
        <f t="shared" si="0"/>
        <v>7</v>
      </c>
      <c r="O51" s="622">
        <f t="shared" si="1"/>
        <v>2.3333333333333335</v>
      </c>
      <c r="P51" s="467">
        <f t="shared" si="2"/>
        <v>0.35211267605633806</v>
      </c>
      <c r="Q51" s="6"/>
      <c r="R51" s="114"/>
      <c r="BC51" s="195"/>
    </row>
    <row r="52" spans="1:55" ht="22.5">
      <c r="A52" s="870" t="s">
        <v>354</v>
      </c>
      <c r="B52" s="865"/>
      <c r="C52" s="762"/>
      <c r="D52" s="706"/>
      <c r="E52" s="606"/>
      <c r="F52" s="606"/>
      <c r="G52" s="606"/>
      <c r="H52" s="606"/>
      <c r="I52" s="606"/>
      <c r="J52" s="606"/>
      <c r="K52" s="947">
        <v>1</v>
      </c>
      <c r="L52" s="861">
        <v>0</v>
      </c>
      <c r="M52" s="855">
        <v>1</v>
      </c>
      <c r="N52" s="858">
        <f t="shared" si="0"/>
        <v>2</v>
      </c>
      <c r="O52" s="622">
        <f t="shared" si="1"/>
        <v>0.66666666666666663</v>
      </c>
      <c r="P52" s="467">
        <f t="shared" si="2"/>
        <v>0.1006036217303823</v>
      </c>
      <c r="Q52" s="677"/>
      <c r="R52" s="114"/>
      <c r="S52" s="624"/>
      <c r="AH52" s="463"/>
    </row>
    <row r="53" spans="1:55" ht="23.25">
      <c r="A53" s="869" t="s">
        <v>304</v>
      </c>
      <c r="B53" s="864"/>
      <c r="C53" s="762"/>
      <c r="D53" s="705"/>
      <c r="E53" s="482"/>
      <c r="F53" s="482"/>
      <c r="G53" s="482"/>
      <c r="H53" s="482"/>
      <c r="I53" s="483"/>
      <c r="J53" s="482"/>
      <c r="K53" s="947">
        <v>89</v>
      </c>
      <c r="L53" s="861">
        <v>65</v>
      </c>
      <c r="M53" s="855">
        <v>154</v>
      </c>
      <c r="N53" s="858">
        <f t="shared" si="0"/>
        <v>308</v>
      </c>
      <c r="O53" s="622">
        <f t="shared" si="1"/>
        <v>102.66666666666667</v>
      </c>
      <c r="P53" s="467">
        <f t="shared" si="2"/>
        <v>15.492957746478872</v>
      </c>
      <c r="Q53" s="6"/>
      <c r="R53" s="114"/>
      <c r="S53" s="624"/>
    </row>
    <row r="54" spans="1:55" ht="23.25">
      <c r="A54" s="869" t="s">
        <v>305</v>
      </c>
      <c r="B54" s="864"/>
      <c r="C54" s="762"/>
      <c r="D54" s="705"/>
      <c r="E54" s="482"/>
      <c r="F54" s="482"/>
      <c r="G54" s="482"/>
      <c r="H54" s="482"/>
      <c r="I54" s="483"/>
      <c r="J54" s="482"/>
      <c r="K54" s="947">
        <v>15</v>
      </c>
      <c r="L54" s="861">
        <v>7</v>
      </c>
      <c r="M54" s="855">
        <v>7</v>
      </c>
      <c r="N54" s="858">
        <f t="shared" si="0"/>
        <v>29</v>
      </c>
      <c r="O54" s="622">
        <f t="shared" si="1"/>
        <v>9.6666666666666661</v>
      </c>
      <c r="P54" s="467">
        <f t="shared" si="2"/>
        <v>1.4587525150905434</v>
      </c>
      <c r="Q54" s="6"/>
      <c r="R54" s="114"/>
      <c r="S54" s="624"/>
    </row>
    <row r="55" spans="1:55" ht="23.25">
      <c r="A55" s="869" t="s">
        <v>306</v>
      </c>
      <c r="B55" s="864"/>
      <c r="C55" s="762"/>
      <c r="D55" s="705"/>
      <c r="E55" s="482"/>
      <c r="F55" s="482"/>
      <c r="G55" s="482"/>
      <c r="H55" s="482"/>
      <c r="I55" s="483"/>
      <c r="J55" s="482"/>
      <c r="K55" s="947">
        <v>32</v>
      </c>
      <c r="L55" s="861">
        <v>24</v>
      </c>
      <c r="M55" s="855">
        <v>30</v>
      </c>
      <c r="N55" s="858">
        <f t="shared" si="0"/>
        <v>86</v>
      </c>
      <c r="O55" s="622">
        <f t="shared" ref="O55:O88" si="9">AVERAGE(B55:M55)</f>
        <v>28.666666666666668</v>
      </c>
      <c r="P55" s="467">
        <f t="shared" si="2"/>
        <v>4.3259557344064383</v>
      </c>
      <c r="Q55" s="6"/>
      <c r="R55" s="114"/>
      <c r="S55" s="624"/>
    </row>
    <row r="56" spans="1:55" ht="23.25">
      <c r="A56" s="869" t="s">
        <v>307</v>
      </c>
      <c r="B56" s="864"/>
      <c r="C56" s="762"/>
      <c r="D56" s="705"/>
      <c r="E56" s="482"/>
      <c r="F56" s="482"/>
      <c r="G56" s="482"/>
      <c r="H56" s="482"/>
      <c r="I56" s="483"/>
      <c r="J56" s="482"/>
      <c r="K56" s="947">
        <v>22</v>
      </c>
      <c r="L56" s="861">
        <v>17</v>
      </c>
      <c r="M56" s="855">
        <v>20</v>
      </c>
      <c r="N56" s="858">
        <f t="shared" si="0"/>
        <v>59</v>
      </c>
      <c r="O56" s="622">
        <f t="shared" si="9"/>
        <v>19.666666666666668</v>
      </c>
      <c r="P56" s="467">
        <f t="shared" si="2"/>
        <v>2.9678068410462775</v>
      </c>
      <c r="Q56" s="677"/>
      <c r="R56" s="114"/>
      <c r="S56" s="624"/>
    </row>
    <row r="57" spans="1:55" ht="23.25">
      <c r="A57" s="872" t="s">
        <v>383</v>
      </c>
      <c r="B57" s="864"/>
      <c r="C57" s="762"/>
      <c r="D57" s="705"/>
      <c r="E57" s="482"/>
      <c r="F57" s="482"/>
      <c r="G57" s="482"/>
      <c r="H57" s="482"/>
      <c r="I57" s="483"/>
      <c r="J57" s="482"/>
      <c r="K57" s="947">
        <v>1</v>
      </c>
      <c r="L57" s="861">
        <v>0</v>
      </c>
      <c r="M57" s="855">
        <v>1</v>
      </c>
      <c r="N57" s="858">
        <f t="shared" si="0"/>
        <v>2</v>
      </c>
      <c r="O57" s="622">
        <f t="shared" si="9"/>
        <v>0.66666666666666663</v>
      </c>
      <c r="P57" s="467">
        <f t="shared" si="2"/>
        <v>0.1006036217303823</v>
      </c>
      <c r="Q57" s="677"/>
      <c r="R57" s="114"/>
      <c r="S57" s="624"/>
    </row>
    <row r="58" spans="1:55" ht="23.25">
      <c r="A58" s="869" t="s">
        <v>308</v>
      </c>
      <c r="B58" s="864"/>
      <c r="C58" s="762"/>
      <c r="D58" s="705"/>
      <c r="E58" s="482"/>
      <c r="F58" s="482"/>
      <c r="G58" s="482"/>
      <c r="H58" s="482"/>
      <c r="I58" s="483"/>
      <c r="J58" s="482"/>
      <c r="K58" s="948">
        <v>23</v>
      </c>
      <c r="L58" s="861">
        <v>14</v>
      </c>
      <c r="M58" s="855">
        <v>20</v>
      </c>
      <c r="N58" s="858">
        <f t="shared" si="0"/>
        <v>57</v>
      </c>
      <c r="O58" s="622">
        <f t="shared" si="9"/>
        <v>19</v>
      </c>
      <c r="P58" s="467">
        <f t="shared" si="2"/>
        <v>2.8672032193158956</v>
      </c>
      <c r="Q58" s="677"/>
      <c r="R58" s="114"/>
      <c r="S58" s="624"/>
    </row>
    <row r="59" spans="1:55">
      <c r="A59" s="869" t="s">
        <v>309</v>
      </c>
      <c r="B59" s="864"/>
      <c r="C59" s="762"/>
      <c r="D59" s="705"/>
      <c r="E59" s="482"/>
      <c r="F59" s="482"/>
      <c r="G59" s="482"/>
      <c r="H59" s="482"/>
      <c r="I59" s="483"/>
      <c r="J59" s="482"/>
      <c r="K59" s="947">
        <v>10</v>
      </c>
      <c r="L59" s="861">
        <v>5</v>
      </c>
      <c r="M59" s="855">
        <v>6</v>
      </c>
      <c r="N59" s="858">
        <f t="shared" si="0"/>
        <v>21</v>
      </c>
      <c r="O59" s="622">
        <f t="shared" si="9"/>
        <v>7</v>
      </c>
      <c r="P59" s="467">
        <f t="shared" si="2"/>
        <v>1.056338028169014</v>
      </c>
      <c r="Q59" s="677"/>
      <c r="R59" s="114"/>
      <c r="S59" s="624"/>
    </row>
    <row r="60" spans="1:55">
      <c r="A60" s="873" t="s">
        <v>341</v>
      </c>
      <c r="B60" s="864"/>
      <c r="C60" s="762"/>
      <c r="D60" s="705"/>
      <c r="E60" s="482"/>
      <c r="F60" s="482"/>
      <c r="G60" s="482"/>
      <c r="H60" s="482"/>
      <c r="I60" s="483"/>
      <c r="J60" s="482"/>
      <c r="K60" s="947">
        <v>0</v>
      </c>
      <c r="L60" s="861">
        <v>0</v>
      </c>
      <c r="M60" s="855">
        <v>1</v>
      </c>
      <c r="N60" s="858">
        <f t="shared" si="0"/>
        <v>1</v>
      </c>
      <c r="O60" s="622">
        <f t="shared" si="9"/>
        <v>0.33333333333333331</v>
      </c>
      <c r="P60" s="467">
        <f t="shared" si="2"/>
        <v>5.030181086519115E-2</v>
      </c>
      <c r="Q60" s="6"/>
      <c r="R60" s="114"/>
      <c r="S60" s="624"/>
      <c r="AL60" s="203"/>
    </row>
    <row r="61" spans="1:55" ht="34.5">
      <c r="A61" s="874" t="s">
        <v>350</v>
      </c>
      <c r="B61" s="864"/>
      <c r="C61" s="762"/>
      <c r="D61" s="705"/>
      <c r="E61" s="482"/>
      <c r="F61" s="482"/>
      <c r="G61" s="482"/>
      <c r="H61" s="482"/>
      <c r="I61" s="483"/>
      <c r="J61" s="482"/>
      <c r="K61" s="947">
        <v>9</v>
      </c>
      <c r="L61" s="861">
        <v>9</v>
      </c>
      <c r="M61" s="855">
        <v>3</v>
      </c>
      <c r="N61" s="858">
        <f t="shared" si="0"/>
        <v>21</v>
      </c>
      <c r="O61" s="622">
        <f t="shared" si="9"/>
        <v>7</v>
      </c>
      <c r="P61" s="467">
        <f t="shared" si="2"/>
        <v>1.056338028169014</v>
      </c>
      <c r="Q61" s="6"/>
      <c r="R61" s="114"/>
      <c r="S61" s="624"/>
    </row>
    <row r="62" spans="1:55" ht="23.25">
      <c r="A62" s="874" t="s">
        <v>353</v>
      </c>
      <c r="B62" s="864"/>
      <c r="C62" s="762"/>
      <c r="D62" s="705"/>
      <c r="E62" s="482"/>
      <c r="F62" s="482"/>
      <c r="G62" s="482"/>
      <c r="H62" s="482"/>
      <c r="I62" s="483"/>
      <c r="J62" s="482"/>
      <c r="K62" s="947">
        <v>1</v>
      </c>
      <c r="L62" s="861">
        <v>0</v>
      </c>
      <c r="M62" s="855">
        <v>3</v>
      </c>
      <c r="N62" s="858">
        <f t="shared" si="0"/>
        <v>4</v>
      </c>
      <c r="O62" s="622">
        <f t="shared" si="9"/>
        <v>1.3333333333333333</v>
      </c>
      <c r="P62" s="467">
        <f t="shared" si="2"/>
        <v>0.2012072434607646</v>
      </c>
      <c r="Q62" s="677"/>
      <c r="R62" s="114"/>
      <c r="S62" s="624"/>
    </row>
    <row r="63" spans="1:55" ht="34.5">
      <c r="A63" s="872" t="s">
        <v>384</v>
      </c>
      <c r="B63" s="864"/>
      <c r="C63" s="762"/>
      <c r="D63" s="705"/>
      <c r="E63" s="482"/>
      <c r="F63" s="482"/>
      <c r="G63" s="482"/>
      <c r="H63" s="482"/>
      <c r="I63" s="483"/>
      <c r="J63" s="482"/>
      <c r="K63" s="947">
        <v>1</v>
      </c>
      <c r="L63" s="861">
        <v>1</v>
      </c>
      <c r="M63" s="855">
        <v>0</v>
      </c>
      <c r="N63" s="858">
        <f t="shared" si="0"/>
        <v>2</v>
      </c>
      <c r="O63" s="622">
        <f t="shared" si="9"/>
        <v>0.66666666666666663</v>
      </c>
      <c r="P63" s="467">
        <f t="shared" si="2"/>
        <v>0.1006036217303823</v>
      </c>
      <c r="Q63" s="677"/>
      <c r="R63" s="114"/>
      <c r="S63" s="624"/>
    </row>
    <row r="64" spans="1:55" ht="24.95" customHeight="1">
      <c r="A64" s="870" t="s">
        <v>343</v>
      </c>
      <c r="B64" s="865"/>
      <c r="C64" s="762"/>
      <c r="D64" s="706"/>
      <c r="E64" s="606"/>
      <c r="F64" s="606"/>
      <c r="G64" s="606"/>
      <c r="H64" s="606"/>
      <c r="I64" s="606"/>
      <c r="J64" s="606"/>
      <c r="K64" s="946">
        <v>0</v>
      </c>
      <c r="L64" s="861">
        <v>0</v>
      </c>
      <c r="M64" s="855">
        <v>0</v>
      </c>
      <c r="N64" s="858">
        <f t="shared" si="0"/>
        <v>0</v>
      </c>
      <c r="O64" s="622">
        <f t="shared" si="9"/>
        <v>0</v>
      </c>
      <c r="P64" s="467">
        <f t="shared" ref="P64:P89" si="10">(N64/$N$99)*100</f>
        <v>0</v>
      </c>
      <c r="Q64" s="677"/>
      <c r="R64" s="114"/>
      <c r="S64" s="114"/>
    </row>
    <row r="65" spans="1:38" ht="24.95" customHeight="1">
      <c r="A65" s="869" t="s">
        <v>311</v>
      </c>
      <c r="B65" s="864"/>
      <c r="C65" s="762"/>
      <c r="D65" s="705"/>
      <c r="E65" s="482"/>
      <c r="F65" s="482"/>
      <c r="G65" s="482"/>
      <c r="H65" s="482"/>
      <c r="I65" s="483"/>
      <c r="J65" s="482"/>
      <c r="K65" s="947">
        <v>2</v>
      </c>
      <c r="L65" s="861">
        <v>1</v>
      </c>
      <c r="M65" s="855">
        <v>2</v>
      </c>
      <c r="N65" s="858">
        <f t="shared" si="0"/>
        <v>5</v>
      </c>
      <c r="O65" s="622">
        <f t="shared" si="9"/>
        <v>1.6666666666666667</v>
      </c>
      <c r="P65" s="467">
        <f t="shared" si="10"/>
        <v>0.25150905432595572</v>
      </c>
      <c r="Q65" s="677"/>
      <c r="R65" s="114"/>
      <c r="S65" s="114"/>
    </row>
    <row r="66" spans="1:38" ht="24.95" customHeight="1">
      <c r="A66" s="869" t="s">
        <v>312</v>
      </c>
      <c r="B66" s="864"/>
      <c r="C66" s="762"/>
      <c r="D66" s="705"/>
      <c r="E66" s="482"/>
      <c r="F66" s="482"/>
      <c r="G66" s="482"/>
      <c r="H66" s="482"/>
      <c r="I66" s="483"/>
      <c r="J66" s="482"/>
      <c r="K66" s="947">
        <v>1</v>
      </c>
      <c r="L66" s="861">
        <v>1</v>
      </c>
      <c r="M66" s="855">
        <v>3</v>
      </c>
      <c r="N66" s="858">
        <f t="shared" si="0"/>
        <v>5</v>
      </c>
      <c r="O66" s="622">
        <f t="shared" si="9"/>
        <v>1.6666666666666667</v>
      </c>
      <c r="P66" s="467">
        <f t="shared" si="10"/>
        <v>0.25150905432595572</v>
      </c>
      <c r="Q66" s="6"/>
      <c r="R66" s="114"/>
      <c r="S66" s="114"/>
      <c r="AL66" s="204"/>
    </row>
    <row r="67" spans="1:38" ht="24.95" customHeight="1">
      <c r="A67" s="869" t="s">
        <v>169</v>
      </c>
      <c r="B67" s="864"/>
      <c r="C67" s="762"/>
      <c r="D67" s="705"/>
      <c r="E67" s="482"/>
      <c r="F67" s="482"/>
      <c r="G67" s="482"/>
      <c r="H67" s="482"/>
      <c r="I67" s="483"/>
      <c r="J67" s="482"/>
      <c r="K67" s="947">
        <v>8</v>
      </c>
      <c r="L67" s="861">
        <v>6</v>
      </c>
      <c r="M67" s="855">
        <v>5</v>
      </c>
      <c r="N67" s="858">
        <f t="shared" si="0"/>
        <v>19</v>
      </c>
      <c r="O67" s="622">
        <f t="shared" si="9"/>
        <v>6.333333333333333</v>
      </c>
      <c r="P67" s="467">
        <f t="shared" si="10"/>
        <v>0.95573440643863183</v>
      </c>
      <c r="Q67" s="6"/>
      <c r="R67" s="114"/>
      <c r="S67" s="114"/>
      <c r="AL67" s="204"/>
    </row>
    <row r="68" spans="1:38" ht="24.95" customHeight="1">
      <c r="A68" s="869" t="s">
        <v>170</v>
      </c>
      <c r="B68" s="864"/>
      <c r="C68" s="762"/>
      <c r="D68" s="705"/>
      <c r="E68" s="482"/>
      <c r="F68" s="482"/>
      <c r="G68" s="482"/>
      <c r="H68" s="482"/>
      <c r="I68" s="483"/>
      <c r="J68" s="482"/>
      <c r="K68" s="947">
        <v>1</v>
      </c>
      <c r="L68" s="861">
        <v>0</v>
      </c>
      <c r="M68" s="855">
        <v>4</v>
      </c>
      <c r="N68" s="858">
        <f t="shared" si="0"/>
        <v>5</v>
      </c>
      <c r="O68" s="622">
        <f t="shared" si="9"/>
        <v>1.6666666666666667</v>
      </c>
      <c r="P68" s="467">
        <f t="shared" si="10"/>
        <v>0.25150905432595572</v>
      </c>
      <c r="Q68" s="6"/>
      <c r="R68" s="114"/>
      <c r="S68" s="114"/>
      <c r="AL68" s="204"/>
    </row>
    <row r="69" spans="1:38" ht="24.95" customHeight="1">
      <c r="A69" s="869" t="s">
        <v>171</v>
      </c>
      <c r="B69" s="864"/>
      <c r="C69" s="762"/>
      <c r="D69" s="705"/>
      <c r="E69" s="482"/>
      <c r="F69" s="482"/>
      <c r="G69" s="482"/>
      <c r="H69" s="482"/>
      <c r="I69" s="483"/>
      <c r="J69" s="482"/>
      <c r="K69" s="947">
        <v>2</v>
      </c>
      <c r="L69" s="861">
        <v>1</v>
      </c>
      <c r="M69" s="855">
        <v>3</v>
      </c>
      <c r="N69" s="858">
        <f t="shared" si="0"/>
        <v>6</v>
      </c>
      <c r="O69" s="622">
        <f t="shared" si="9"/>
        <v>2</v>
      </c>
      <c r="P69" s="467">
        <f t="shared" si="10"/>
        <v>0.30181086519114686</v>
      </c>
      <c r="Q69" s="6"/>
      <c r="R69" s="114"/>
      <c r="S69" s="114"/>
      <c r="AL69" s="204"/>
    </row>
    <row r="70" spans="1:38" ht="24.95" customHeight="1">
      <c r="A70" s="869" t="s">
        <v>313</v>
      </c>
      <c r="B70" s="864"/>
      <c r="C70" s="762"/>
      <c r="D70" s="705"/>
      <c r="E70" s="482"/>
      <c r="F70" s="482"/>
      <c r="G70" s="482"/>
      <c r="H70" s="482"/>
      <c r="I70" s="483"/>
      <c r="J70" s="482"/>
      <c r="K70" s="947">
        <v>4</v>
      </c>
      <c r="L70" s="861">
        <v>0</v>
      </c>
      <c r="M70" s="855">
        <v>3</v>
      </c>
      <c r="N70" s="858">
        <f t="shared" si="0"/>
        <v>7</v>
      </c>
      <c r="O70" s="622">
        <f t="shared" si="9"/>
        <v>2.3333333333333335</v>
      </c>
      <c r="P70" s="467">
        <f t="shared" si="10"/>
        <v>0.35211267605633806</v>
      </c>
      <c r="Q70" s="6"/>
      <c r="R70" s="114"/>
      <c r="S70" s="114"/>
      <c r="AL70" s="204"/>
    </row>
    <row r="71" spans="1:38" ht="24.95" customHeight="1">
      <c r="A71" s="869" t="s">
        <v>173</v>
      </c>
      <c r="B71" s="864"/>
      <c r="C71" s="762"/>
      <c r="D71" s="705"/>
      <c r="E71" s="482"/>
      <c r="F71" s="482"/>
      <c r="G71" s="482"/>
      <c r="H71" s="482"/>
      <c r="I71" s="483"/>
      <c r="J71" s="482"/>
      <c r="K71" s="947">
        <v>1</v>
      </c>
      <c r="L71" s="861">
        <v>1</v>
      </c>
      <c r="M71" s="855">
        <v>4</v>
      </c>
      <c r="N71" s="858">
        <f t="shared" si="0"/>
        <v>6</v>
      </c>
      <c r="O71" s="622">
        <f t="shared" si="9"/>
        <v>2</v>
      </c>
      <c r="P71" s="467">
        <f t="shared" si="10"/>
        <v>0.30181086519114686</v>
      </c>
      <c r="Q71" s="6"/>
      <c r="R71" s="114"/>
      <c r="S71" s="114"/>
    </row>
    <row r="72" spans="1:38" ht="24.95" customHeight="1">
      <c r="A72" s="869" t="s">
        <v>174</v>
      </c>
      <c r="B72" s="864"/>
      <c r="C72" s="762"/>
      <c r="D72" s="705"/>
      <c r="E72" s="482"/>
      <c r="F72" s="482"/>
      <c r="G72" s="482"/>
      <c r="H72" s="482"/>
      <c r="I72" s="483"/>
      <c r="J72" s="482"/>
      <c r="K72" s="947">
        <v>3</v>
      </c>
      <c r="L72" s="861">
        <v>0</v>
      </c>
      <c r="M72" s="855">
        <v>3</v>
      </c>
      <c r="N72" s="858">
        <f t="shared" si="0"/>
        <v>6</v>
      </c>
      <c r="O72" s="622">
        <f t="shared" si="9"/>
        <v>2</v>
      </c>
      <c r="P72" s="467">
        <f t="shared" si="10"/>
        <v>0.30181086519114686</v>
      </c>
      <c r="Q72" s="6"/>
      <c r="R72" s="114"/>
      <c r="S72" s="114"/>
    </row>
    <row r="73" spans="1:38" ht="24.95" customHeight="1">
      <c r="A73" s="869" t="s">
        <v>175</v>
      </c>
      <c r="B73" s="864"/>
      <c r="C73" s="762"/>
      <c r="D73" s="705"/>
      <c r="E73" s="482"/>
      <c r="F73" s="482"/>
      <c r="G73" s="482"/>
      <c r="H73" s="482"/>
      <c r="I73" s="483"/>
      <c r="J73" s="482"/>
      <c r="K73" s="947">
        <v>1</v>
      </c>
      <c r="L73" s="861">
        <v>0</v>
      </c>
      <c r="M73" s="855">
        <v>4</v>
      </c>
      <c r="N73" s="858">
        <f t="shared" si="0"/>
        <v>5</v>
      </c>
      <c r="O73" s="622">
        <f t="shared" si="9"/>
        <v>1.6666666666666667</v>
      </c>
      <c r="P73" s="467">
        <f t="shared" si="10"/>
        <v>0.25150905432595572</v>
      </c>
      <c r="Q73" s="6"/>
      <c r="R73" s="114"/>
      <c r="S73" s="114"/>
    </row>
    <row r="74" spans="1:38" ht="24.95" customHeight="1">
      <c r="A74" s="869" t="s">
        <v>314</v>
      </c>
      <c r="B74" s="864"/>
      <c r="C74" s="762"/>
      <c r="D74" s="705"/>
      <c r="E74" s="482"/>
      <c r="F74" s="482"/>
      <c r="G74" s="482"/>
      <c r="H74" s="482"/>
      <c r="I74" s="483"/>
      <c r="J74" s="482"/>
      <c r="K74" s="947">
        <v>1</v>
      </c>
      <c r="L74" s="861">
        <v>0</v>
      </c>
      <c r="M74" s="855">
        <v>3</v>
      </c>
      <c r="N74" s="858">
        <f t="shared" si="0"/>
        <v>4</v>
      </c>
      <c r="O74" s="622">
        <f t="shared" si="9"/>
        <v>1.3333333333333333</v>
      </c>
      <c r="P74" s="467">
        <f t="shared" si="10"/>
        <v>0.2012072434607646</v>
      </c>
      <c r="Q74" s="6"/>
      <c r="R74" s="114"/>
      <c r="S74" s="114"/>
    </row>
    <row r="75" spans="1:38" ht="24.95" customHeight="1">
      <c r="A75" s="869" t="s">
        <v>177</v>
      </c>
      <c r="B75" s="864"/>
      <c r="C75" s="762"/>
      <c r="D75" s="705"/>
      <c r="E75" s="482"/>
      <c r="F75" s="482"/>
      <c r="G75" s="482"/>
      <c r="H75" s="482"/>
      <c r="I75" s="483"/>
      <c r="J75" s="482"/>
      <c r="K75" s="947">
        <v>2</v>
      </c>
      <c r="L75" s="861">
        <v>0</v>
      </c>
      <c r="M75" s="855">
        <v>3</v>
      </c>
      <c r="N75" s="858">
        <f t="shared" si="0"/>
        <v>5</v>
      </c>
      <c r="O75" s="622">
        <f t="shared" si="9"/>
        <v>1.6666666666666667</v>
      </c>
      <c r="P75" s="467">
        <f t="shared" si="10"/>
        <v>0.25150905432595572</v>
      </c>
      <c r="Q75" s="6"/>
      <c r="R75" s="114"/>
      <c r="S75" s="114"/>
    </row>
    <row r="76" spans="1:38" ht="24.95" customHeight="1">
      <c r="A76" s="869" t="s">
        <v>178</v>
      </c>
      <c r="B76" s="864"/>
      <c r="C76" s="762"/>
      <c r="D76" s="705"/>
      <c r="E76" s="482"/>
      <c r="F76" s="482"/>
      <c r="G76" s="482"/>
      <c r="H76" s="482"/>
      <c r="I76" s="483"/>
      <c r="J76" s="482"/>
      <c r="K76" s="947">
        <v>7</v>
      </c>
      <c r="L76" s="861">
        <v>3</v>
      </c>
      <c r="M76" s="855">
        <v>4</v>
      </c>
      <c r="N76" s="858">
        <f t="shared" si="0"/>
        <v>14</v>
      </c>
      <c r="O76" s="622">
        <f t="shared" si="9"/>
        <v>4.666666666666667</v>
      </c>
      <c r="P76" s="467">
        <f t="shared" si="10"/>
        <v>0.70422535211267612</v>
      </c>
      <c r="Q76" s="6"/>
      <c r="R76" s="114"/>
      <c r="S76" s="114"/>
    </row>
    <row r="77" spans="1:38" ht="24.95" customHeight="1">
      <c r="A77" s="869" t="s">
        <v>179</v>
      </c>
      <c r="B77" s="864"/>
      <c r="C77" s="762"/>
      <c r="D77" s="705"/>
      <c r="E77" s="482"/>
      <c r="F77" s="482"/>
      <c r="G77" s="482"/>
      <c r="H77" s="482"/>
      <c r="I77" s="483"/>
      <c r="J77" s="482"/>
      <c r="K77" s="947">
        <v>0</v>
      </c>
      <c r="L77" s="861">
        <v>3</v>
      </c>
      <c r="M77" s="855">
        <v>4</v>
      </c>
      <c r="N77" s="858">
        <f t="shared" si="0"/>
        <v>7</v>
      </c>
      <c r="O77" s="622">
        <f t="shared" si="9"/>
        <v>2.3333333333333335</v>
      </c>
      <c r="P77" s="467">
        <f t="shared" si="10"/>
        <v>0.35211267605633806</v>
      </c>
      <c r="Q77" s="6"/>
      <c r="R77" s="114"/>
      <c r="S77" s="114"/>
    </row>
    <row r="78" spans="1:38" ht="24.95" customHeight="1">
      <c r="A78" s="869" t="s">
        <v>180</v>
      </c>
      <c r="B78" s="864"/>
      <c r="C78" s="762"/>
      <c r="D78" s="705"/>
      <c r="E78" s="482"/>
      <c r="F78" s="482"/>
      <c r="G78" s="482"/>
      <c r="H78" s="482"/>
      <c r="I78" s="483"/>
      <c r="J78" s="482"/>
      <c r="K78" s="947">
        <v>2</v>
      </c>
      <c r="L78" s="861">
        <v>2</v>
      </c>
      <c r="M78" s="855">
        <v>7</v>
      </c>
      <c r="N78" s="858">
        <f t="shared" si="0"/>
        <v>11</v>
      </c>
      <c r="O78" s="622">
        <f t="shared" si="9"/>
        <v>3.6666666666666665</v>
      </c>
      <c r="P78" s="467">
        <f t="shared" si="10"/>
        <v>0.55331991951710258</v>
      </c>
      <c r="Q78" s="6"/>
      <c r="R78" s="114"/>
      <c r="S78" s="114"/>
    </row>
    <row r="79" spans="1:38" ht="24.95" customHeight="1">
      <c r="A79" s="869" t="s">
        <v>181</v>
      </c>
      <c r="B79" s="864"/>
      <c r="C79" s="762"/>
      <c r="D79" s="705"/>
      <c r="E79" s="482"/>
      <c r="F79" s="482"/>
      <c r="G79" s="482"/>
      <c r="H79" s="482"/>
      <c r="I79" s="483"/>
      <c r="J79" s="482"/>
      <c r="K79" s="947">
        <v>1</v>
      </c>
      <c r="L79" s="861">
        <v>2</v>
      </c>
      <c r="M79" s="855">
        <v>4</v>
      </c>
      <c r="N79" s="858">
        <f t="shared" si="0"/>
        <v>7</v>
      </c>
      <c r="O79" s="622">
        <f t="shared" si="9"/>
        <v>2.3333333333333335</v>
      </c>
      <c r="P79" s="467">
        <f t="shared" si="10"/>
        <v>0.35211267605633806</v>
      </c>
      <c r="Q79" s="6"/>
      <c r="R79" s="114"/>
      <c r="S79" s="114"/>
    </row>
    <row r="80" spans="1:38" ht="24.95" customHeight="1">
      <c r="A80" s="869" t="s">
        <v>182</v>
      </c>
      <c r="B80" s="864"/>
      <c r="C80" s="762"/>
      <c r="D80" s="705"/>
      <c r="E80" s="482"/>
      <c r="F80" s="482"/>
      <c r="G80" s="482"/>
      <c r="H80" s="482"/>
      <c r="I80" s="483"/>
      <c r="J80" s="482"/>
      <c r="K80" s="947">
        <v>4</v>
      </c>
      <c r="L80" s="861">
        <v>1</v>
      </c>
      <c r="M80" s="855">
        <v>3</v>
      </c>
      <c r="N80" s="858">
        <f t="shared" si="0"/>
        <v>8</v>
      </c>
      <c r="O80" s="622">
        <f t="shared" si="9"/>
        <v>2.6666666666666665</v>
      </c>
      <c r="P80" s="467">
        <f t="shared" si="10"/>
        <v>0.4024144869215292</v>
      </c>
      <c r="Q80" s="6"/>
      <c r="R80" s="114"/>
      <c r="S80" s="114"/>
    </row>
    <row r="81" spans="1:19" ht="24.95" customHeight="1">
      <c r="A81" s="869" t="s">
        <v>183</v>
      </c>
      <c r="B81" s="864"/>
      <c r="C81" s="762"/>
      <c r="D81" s="705"/>
      <c r="E81" s="482"/>
      <c r="F81" s="482"/>
      <c r="G81" s="482"/>
      <c r="H81" s="482"/>
      <c r="I81" s="483"/>
      <c r="J81" s="482"/>
      <c r="K81" s="947">
        <v>6</v>
      </c>
      <c r="L81" s="861">
        <v>4</v>
      </c>
      <c r="M81" s="855">
        <v>4</v>
      </c>
      <c r="N81" s="858">
        <f t="shared" si="0"/>
        <v>14</v>
      </c>
      <c r="O81" s="622">
        <f t="shared" si="9"/>
        <v>4.666666666666667</v>
      </c>
      <c r="P81" s="467">
        <f t="shared" si="10"/>
        <v>0.70422535211267612</v>
      </c>
      <c r="Q81" s="6"/>
      <c r="R81" s="114"/>
      <c r="S81" s="114"/>
    </row>
    <row r="82" spans="1:19" ht="24.95" customHeight="1">
      <c r="A82" s="875" t="s">
        <v>351</v>
      </c>
      <c r="B82" s="864"/>
      <c r="C82" s="762"/>
      <c r="D82" s="705"/>
      <c r="E82" s="482"/>
      <c r="F82" s="482"/>
      <c r="G82" s="482"/>
      <c r="H82" s="482"/>
      <c r="I82" s="483"/>
      <c r="J82" s="482"/>
      <c r="K82" s="947">
        <v>1</v>
      </c>
      <c r="L82" s="861">
        <v>4</v>
      </c>
      <c r="M82" s="855">
        <v>3</v>
      </c>
      <c r="N82" s="858">
        <f t="shared" si="0"/>
        <v>8</v>
      </c>
      <c r="O82" s="622">
        <f t="shared" si="9"/>
        <v>2.6666666666666665</v>
      </c>
      <c r="P82" s="467">
        <f t="shared" si="10"/>
        <v>0.4024144869215292</v>
      </c>
      <c r="Q82" s="6"/>
      <c r="R82" s="114"/>
      <c r="S82" s="114"/>
    </row>
    <row r="83" spans="1:19" ht="24.95" customHeight="1">
      <c r="A83" s="869" t="s">
        <v>185</v>
      </c>
      <c r="B83" s="864"/>
      <c r="C83" s="762"/>
      <c r="D83" s="705"/>
      <c r="E83" s="482"/>
      <c r="F83" s="482"/>
      <c r="G83" s="482"/>
      <c r="H83" s="482"/>
      <c r="I83" s="483"/>
      <c r="J83" s="482"/>
      <c r="K83" s="947">
        <v>5</v>
      </c>
      <c r="L83" s="861">
        <v>4</v>
      </c>
      <c r="M83" s="855">
        <v>3</v>
      </c>
      <c r="N83" s="858">
        <f t="shared" si="0"/>
        <v>12</v>
      </c>
      <c r="O83" s="622">
        <f t="shared" si="9"/>
        <v>4</v>
      </c>
      <c r="P83" s="467">
        <f t="shared" si="10"/>
        <v>0.60362173038229372</v>
      </c>
      <c r="Q83" s="6"/>
      <c r="R83" s="114"/>
      <c r="S83" s="114"/>
    </row>
    <row r="84" spans="1:19" ht="24.95" customHeight="1">
      <c r="A84" s="869" t="s">
        <v>186</v>
      </c>
      <c r="B84" s="864"/>
      <c r="C84" s="762"/>
      <c r="D84" s="705"/>
      <c r="E84" s="482"/>
      <c r="F84" s="482"/>
      <c r="G84" s="482"/>
      <c r="H84" s="482"/>
      <c r="I84" s="483"/>
      <c r="J84" s="482"/>
      <c r="K84" s="947">
        <v>2</v>
      </c>
      <c r="L84" s="861">
        <v>0</v>
      </c>
      <c r="M84" s="855">
        <v>3</v>
      </c>
      <c r="N84" s="858">
        <f t="shared" si="0"/>
        <v>5</v>
      </c>
      <c r="O84" s="622">
        <f t="shared" si="9"/>
        <v>1.6666666666666667</v>
      </c>
      <c r="P84" s="467">
        <f t="shared" si="10"/>
        <v>0.25150905432595572</v>
      </c>
      <c r="Q84" s="6"/>
      <c r="R84" s="114"/>
      <c r="S84" s="114"/>
    </row>
    <row r="85" spans="1:19" ht="24.95" customHeight="1">
      <c r="A85" s="869" t="s">
        <v>187</v>
      </c>
      <c r="B85" s="864"/>
      <c r="C85" s="762"/>
      <c r="D85" s="705"/>
      <c r="E85" s="482"/>
      <c r="F85" s="482"/>
      <c r="G85" s="482"/>
      <c r="H85" s="482"/>
      <c r="I85" s="483"/>
      <c r="J85" s="482"/>
      <c r="K85" s="947">
        <v>3</v>
      </c>
      <c r="L85" s="861">
        <v>0</v>
      </c>
      <c r="M85" s="855">
        <v>4</v>
      </c>
      <c r="N85" s="858">
        <f t="shared" si="0"/>
        <v>7</v>
      </c>
      <c r="O85" s="622">
        <f t="shared" si="9"/>
        <v>2.3333333333333335</v>
      </c>
      <c r="P85" s="467">
        <f t="shared" si="10"/>
        <v>0.35211267605633806</v>
      </c>
      <c r="Q85" s="6"/>
      <c r="R85" s="114"/>
      <c r="S85" s="114"/>
    </row>
    <row r="86" spans="1:19" ht="24.95" customHeight="1">
      <c r="A86" s="869" t="s">
        <v>188</v>
      </c>
      <c r="B86" s="864"/>
      <c r="C86" s="762"/>
      <c r="D86" s="705"/>
      <c r="E86" s="482"/>
      <c r="F86" s="482"/>
      <c r="G86" s="482"/>
      <c r="H86" s="482"/>
      <c r="I86" s="483"/>
      <c r="J86" s="482"/>
      <c r="K86" s="947">
        <v>3</v>
      </c>
      <c r="L86" s="861">
        <v>0</v>
      </c>
      <c r="M86" s="855">
        <v>5</v>
      </c>
      <c r="N86" s="858">
        <f t="shared" si="0"/>
        <v>8</v>
      </c>
      <c r="O86" s="622">
        <f t="shared" si="9"/>
        <v>2.6666666666666665</v>
      </c>
      <c r="P86" s="467">
        <f t="shared" si="10"/>
        <v>0.4024144869215292</v>
      </c>
      <c r="Q86" s="6"/>
      <c r="R86" s="114"/>
      <c r="S86" s="114"/>
    </row>
    <row r="87" spans="1:19" ht="24.95" customHeight="1">
      <c r="A87" s="869" t="s">
        <v>189</v>
      </c>
      <c r="B87" s="864"/>
      <c r="C87" s="762"/>
      <c r="D87" s="705"/>
      <c r="E87" s="482"/>
      <c r="F87" s="482"/>
      <c r="G87" s="482"/>
      <c r="H87" s="482"/>
      <c r="I87" s="483"/>
      <c r="J87" s="482"/>
      <c r="K87" s="947">
        <v>5</v>
      </c>
      <c r="L87" s="861">
        <v>7</v>
      </c>
      <c r="M87" s="855">
        <v>5</v>
      </c>
      <c r="N87" s="858">
        <f t="shared" ref="N87:N98" si="11">SUM(B87:M87)</f>
        <v>17</v>
      </c>
      <c r="O87" s="622">
        <f t="shared" si="9"/>
        <v>5.666666666666667</v>
      </c>
      <c r="P87" s="467">
        <f t="shared" si="10"/>
        <v>0.85513078470824955</v>
      </c>
      <c r="Q87" s="6"/>
      <c r="R87" s="114"/>
      <c r="S87" s="114"/>
    </row>
    <row r="88" spans="1:19" ht="24.95" customHeight="1">
      <c r="A88" s="869" t="s">
        <v>190</v>
      </c>
      <c r="B88" s="864"/>
      <c r="C88" s="762"/>
      <c r="D88" s="705"/>
      <c r="E88" s="482"/>
      <c r="F88" s="482"/>
      <c r="G88" s="482"/>
      <c r="H88" s="482"/>
      <c r="I88" s="483"/>
      <c r="J88" s="482"/>
      <c r="K88" s="947">
        <v>4</v>
      </c>
      <c r="L88" s="861">
        <v>2</v>
      </c>
      <c r="M88" s="855">
        <v>4</v>
      </c>
      <c r="N88" s="858">
        <f t="shared" si="11"/>
        <v>10</v>
      </c>
      <c r="O88" s="622">
        <f t="shared" si="9"/>
        <v>3.3333333333333335</v>
      </c>
      <c r="P88" s="467">
        <f t="shared" si="10"/>
        <v>0.50301810865191143</v>
      </c>
      <c r="Q88" s="6"/>
      <c r="R88" s="114"/>
      <c r="S88" s="114"/>
    </row>
    <row r="89" spans="1:19" ht="24.95" customHeight="1">
      <c r="A89" s="869" t="s">
        <v>191</v>
      </c>
      <c r="B89" s="864"/>
      <c r="C89" s="762"/>
      <c r="D89" s="705"/>
      <c r="E89" s="482"/>
      <c r="F89" s="482"/>
      <c r="G89" s="482"/>
      <c r="H89" s="482"/>
      <c r="I89" s="483"/>
      <c r="J89" s="482"/>
      <c r="K89" s="947">
        <v>4</v>
      </c>
      <c r="L89" s="861">
        <v>1</v>
      </c>
      <c r="M89" s="855">
        <v>4</v>
      </c>
      <c r="N89" s="858">
        <f t="shared" si="11"/>
        <v>9</v>
      </c>
      <c r="O89" s="622">
        <f t="shared" ref="O89:O98" si="12">AVERAGE(B89:M89)</f>
        <v>3</v>
      </c>
      <c r="P89" s="467">
        <f t="shared" si="10"/>
        <v>0.45271629778672035</v>
      </c>
      <c r="Q89" s="6"/>
      <c r="R89" s="114"/>
      <c r="S89" s="114"/>
    </row>
    <row r="90" spans="1:19" ht="24.95" customHeight="1">
      <c r="A90" s="869" t="s">
        <v>192</v>
      </c>
      <c r="B90" s="864"/>
      <c r="C90" s="762"/>
      <c r="D90" s="705"/>
      <c r="E90" s="482"/>
      <c r="F90" s="482"/>
      <c r="G90" s="482"/>
      <c r="H90" s="482"/>
      <c r="I90" s="483"/>
      <c r="J90" s="482"/>
      <c r="K90" s="947">
        <v>2</v>
      </c>
      <c r="L90" s="861">
        <v>1</v>
      </c>
      <c r="M90" s="855">
        <v>4</v>
      </c>
      <c r="N90" s="858">
        <f t="shared" si="11"/>
        <v>7</v>
      </c>
      <c r="O90" s="622">
        <f t="shared" si="12"/>
        <v>2.3333333333333335</v>
      </c>
      <c r="P90" s="467">
        <f t="shared" ref="P90:P98" si="13">(N90/$N$99)*100</f>
        <v>0.35211267605633806</v>
      </c>
      <c r="Q90" s="6"/>
      <c r="R90" s="114"/>
      <c r="S90" s="114"/>
    </row>
    <row r="91" spans="1:19" ht="24.95" customHeight="1">
      <c r="A91" s="869" t="s">
        <v>193</v>
      </c>
      <c r="B91" s="864"/>
      <c r="C91" s="762"/>
      <c r="D91" s="705"/>
      <c r="E91" s="482"/>
      <c r="F91" s="482"/>
      <c r="G91" s="482"/>
      <c r="H91" s="482"/>
      <c r="I91" s="483"/>
      <c r="J91" s="482"/>
      <c r="K91" s="947">
        <v>6</v>
      </c>
      <c r="L91" s="861">
        <v>3</v>
      </c>
      <c r="M91" s="855">
        <v>6</v>
      </c>
      <c r="N91" s="858">
        <f t="shared" si="11"/>
        <v>15</v>
      </c>
      <c r="O91" s="622">
        <f t="shared" si="12"/>
        <v>5</v>
      </c>
      <c r="P91" s="467">
        <f t="shared" si="13"/>
        <v>0.75452716297786715</v>
      </c>
      <c r="Q91" s="6"/>
      <c r="R91" s="114"/>
      <c r="S91" s="114"/>
    </row>
    <row r="92" spans="1:19" ht="24.95" customHeight="1">
      <c r="A92" s="869" t="s">
        <v>194</v>
      </c>
      <c r="B92" s="864"/>
      <c r="C92" s="762"/>
      <c r="D92" s="705"/>
      <c r="E92" s="482"/>
      <c r="F92" s="482"/>
      <c r="G92" s="482"/>
      <c r="H92" s="482"/>
      <c r="I92" s="483"/>
      <c r="J92" s="482"/>
      <c r="K92" s="947">
        <v>2</v>
      </c>
      <c r="L92" s="861">
        <v>2</v>
      </c>
      <c r="M92" s="855">
        <v>5</v>
      </c>
      <c r="N92" s="858">
        <f t="shared" si="11"/>
        <v>9</v>
      </c>
      <c r="O92" s="622">
        <f t="shared" si="12"/>
        <v>3</v>
      </c>
      <c r="P92" s="467">
        <f t="shared" si="13"/>
        <v>0.45271629778672035</v>
      </c>
      <c r="Q92" s="6"/>
      <c r="R92" s="114"/>
      <c r="S92" s="114"/>
    </row>
    <row r="93" spans="1:19" ht="24.95" customHeight="1">
      <c r="A93" s="869" t="s">
        <v>195</v>
      </c>
      <c r="B93" s="864"/>
      <c r="C93" s="762"/>
      <c r="D93" s="705"/>
      <c r="E93" s="482"/>
      <c r="F93" s="482"/>
      <c r="G93" s="482"/>
      <c r="H93" s="482"/>
      <c r="I93" s="483"/>
      <c r="J93" s="482"/>
      <c r="K93" s="947">
        <v>1</v>
      </c>
      <c r="L93" s="861">
        <v>0</v>
      </c>
      <c r="M93" s="855">
        <v>3</v>
      </c>
      <c r="N93" s="858">
        <f t="shared" si="11"/>
        <v>4</v>
      </c>
      <c r="O93" s="622">
        <f t="shared" si="12"/>
        <v>1.3333333333333333</v>
      </c>
      <c r="P93" s="467">
        <f t="shared" si="13"/>
        <v>0.2012072434607646</v>
      </c>
      <c r="Q93" s="6"/>
      <c r="R93" s="114"/>
      <c r="S93" s="114"/>
    </row>
    <row r="94" spans="1:19" ht="24.95" customHeight="1">
      <c r="A94" s="869" t="s">
        <v>196</v>
      </c>
      <c r="B94" s="864"/>
      <c r="C94" s="762"/>
      <c r="D94" s="705"/>
      <c r="E94" s="482"/>
      <c r="F94" s="482"/>
      <c r="G94" s="482"/>
      <c r="H94" s="482"/>
      <c r="I94" s="483"/>
      <c r="J94" s="482"/>
      <c r="K94" s="947">
        <v>5</v>
      </c>
      <c r="L94" s="861">
        <v>2</v>
      </c>
      <c r="M94" s="855">
        <v>8</v>
      </c>
      <c r="N94" s="858">
        <f t="shared" si="11"/>
        <v>15</v>
      </c>
      <c r="O94" s="622">
        <f t="shared" si="12"/>
        <v>5</v>
      </c>
      <c r="P94" s="467">
        <f t="shared" si="13"/>
        <v>0.75452716297786715</v>
      </c>
      <c r="Q94" s="6"/>
      <c r="R94" s="114"/>
      <c r="S94" s="114"/>
    </row>
    <row r="95" spans="1:19" ht="24.95" customHeight="1">
      <c r="A95" s="869" t="s">
        <v>197</v>
      </c>
      <c r="B95" s="864"/>
      <c r="C95" s="762"/>
      <c r="D95" s="705"/>
      <c r="E95" s="482"/>
      <c r="F95" s="482"/>
      <c r="G95" s="482"/>
      <c r="H95" s="482"/>
      <c r="I95" s="483"/>
      <c r="J95" s="482"/>
      <c r="K95" s="947">
        <v>3</v>
      </c>
      <c r="L95" s="861">
        <v>1</v>
      </c>
      <c r="M95" s="855">
        <v>4</v>
      </c>
      <c r="N95" s="858">
        <f t="shared" si="11"/>
        <v>8</v>
      </c>
      <c r="O95" s="622">
        <f t="shared" si="12"/>
        <v>2.6666666666666665</v>
      </c>
      <c r="P95" s="467">
        <f t="shared" si="13"/>
        <v>0.4024144869215292</v>
      </c>
      <c r="Q95" s="6"/>
      <c r="R95" s="114"/>
      <c r="S95" s="114"/>
    </row>
    <row r="96" spans="1:19" ht="24.95" customHeight="1">
      <c r="A96" s="869" t="s">
        <v>198</v>
      </c>
      <c r="B96" s="864"/>
      <c r="C96" s="762"/>
      <c r="D96" s="705"/>
      <c r="E96" s="482"/>
      <c r="F96" s="482"/>
      <c r="G96" s="482"/>
      <c r="H96" s="482"/>
      <c r="I96" s="483"/>
      <c r="J96" s="482"/>
      <c r="K96" s="947">
        <v>6</v>
      </c>
      <c r="L96" s="861">
        <v>0</v>
      </c>
      <c r="M96" s="855">
        <v>5</v>
      </c>
      <c r="N96" s="858">
        <f t="shared" si="11"/>
        <v>11</v>
      </c>
      <c r="O96" s="622">
        <f t="shared" si="12"/>
        <v>3.6666666666666665</v>
      </c>
      <c r="P96" s="467">
        <f t="shared" si="13"/>
        <v>0.55331991951710258</v>
      </c>
      <c r="Q96" s="6"/>
      <c r="R96" s="114"/>
      <c r="S96" s="114"/>
    </row>
    <row r="97" spans="1:34" ht="24.95" customHeight="1">
      <c r="A97" s="876" t="s">
        <v>199</v>
      </c>
      <c r="B97" s="866"/>
      <c r="C97" s="762"/>
      <c r="D97" s="707"/>
      <c r="E97" s="659"/>
      <c r="F97" s="632"/>
      <c r="G97" s="632"/>
      <c r="H97" s="632"/>
      <c r="I97" s="632"/>
      <c r="J97" s="632"/>
      <c r="K97" s="947">
        <v>2</v>
      </c>
      <c r="L97" s="861">
        <v>0</v>
      </c>
      <c r="M97" s="855">
        <v>4</v>
      </c>
      <c r="N97" s="858">
        <f t="shared" si="11"/>
        <v>6</v>
      </c>
      <c r="O97" s="630">
        <f t="shared" si="12"/>
        <v>2</v>
      </c>
      <c r="P97" s="631">
        <f t="shared" si="13"/>
        <v>0.30181086519114686</v>
      </c>
      <c r="Q97" s="677"/>
      <c r="R97" s="114"/>
      <c r="S97" s="114"/>
      <c r="T97" s="620"/>
    </row>
    <row r="98" spans="1:34" ht="24.95" customHeight="1" thickBot="1">
      <c r="A98" s="877" t="s">
        <v>315</v>
      </c>
      <c r="B98" s="867"/>
      <c r="C98" s="763"/>
      <c r="D98" s="708"/>
      <c r="E98" s="608"/>
      <c r="F98" s="608"/>
      <c r="G98" s="608"/>
      <c r="H98" s="608"/>
      <c r="I98" s="609"/>
      <c r="J98" s="609"/>
      <c r="K98" s="950">
        <v>26</v>
      </c>
      <c r="L98" s="862">
        <v>11</v>
      </c>
      <c r="M98" s="856">
        <v>9</v>
      </c>
      <c r="N98" s="859">
        <f t="shared" si="11"/>
        <v>46</v>
      </c>
      <c r="O98" s="623">
        <f t="shared" si="12"/>
        <v>15.333333333333334</v>
      </c>
      <c r="P98" s="610">
        <f t="shared" si="13"/>
        <v>2.3138832997987926</v>
      </c>
      <c r="Q98" s="625"/>
      <c r="R98" s="114"/>
      <c r="S98" s="611"/>
      <c r="T98" s="621"/>
      <c r="U98" s="195"/>
      <c r="V98" s="195"/>
      <c r="W98" s="195"/>
      <c r="X98" s="195"/>
      <c r="Y98" s="195"/>
      <c r="Z98" s="195"/>
      <c r="AA98" s="195"/>
      <c r="AB98" s="195"/>
      <c r="AC98" s="195"/>
      <c r="AD98" s="195"/>
      <c r="AE98" s="195"/>
    </row>
    <row r="99" spans="1:34" ht="24.95" customHeight="1" thickBot="1">
      <c r="A99" s="470" t="s">
        <v>203</v>
      </c>
      <c r="B99" s="481"/>
      <c r="C99" s="743"/>
      <c r="D99" s="481"/>
      <c r="E99" s="481"/>
      <c r="F99" s="481"/>
      <c r="G99" s="481"/>
      <c r="H99" s="481"/>
      <c r="I99" s="481"/>
      <c r="J99" s="481"/>
      <c r="K99" s="743">
        <f>SUM(K22:K98)</f>
        <v>728</v>
      </c>
      <c r="L99" s="743">
        <f>SUM(L22:L98)</f>
        <v>532</v>
      </c>
      <c r="M99" s="743">
        <f>SUM(M22:M98)</f>
        <v>728</v>
      </c>
      <c r="N99" s="481">
        <f>SUM(N22:N98)</f>
        <v>1988</v>
      </c>
      <c r="O99" s="915">
        <f>AVERAGE(B99:M99)</f>
        <v>662.66666666666663</v>
      </c>
      <c r="P99" s="468">
        <f>SUM(P22:P98)</f>
        <v>100</v>
      </c>
      <c r="Q99" s="780"/>
      <c r="R99" s="779"/>
      <c r="S99" s="680"/>
      <c r="T99" s="681"/>
      <c r="U99" s="478"/>
      <c r="V99" s="478"/>
      <c r="W99" s="679"/>
      <c r="X99" s="679"/>
      <c r="Y99" s="679"/>
      <c r="Z99" s="679"/>
      <c r="AA99" s="679"/>
      <c r="AB99" s="478"/>
      <c r="AC99" s="478"/>
      <c r="AD99" s="392"/>
      <c r="AE99" s="392"/>
      <c r="AF99" s="202"/>
      <c r="AG99" s="202"/>
      <c r="AH99" s="460"/>
    </row>
    <row r="100" spans="1:34" s="781" customFormat="1" ht="24.95" customHeight="1">
      <c r="A100" s="194"/>
      <c r="B100" s="194"/>
      <c r="C100" s="463"/>
      <c r="D100" s="463"/>
      <c r="E100" s="194"/>
      <c r="F100" s="193"/>
      <c r="G100" s="193"/>
      <c r="H100" s="193"/>
      <c r="I100" s="464"/>
      <c r="J100" s="193"/>
      <c r="K100" s="193"/>
      <c r="L100" s="193"/>
      <c r="M100" s="460"/>
      <c r="N100" s="461"/>
      <c r="O100" s="463"/>
      <c r="P100" s="463"/>
      <c r="Q100" s="625"/>
      <c r="R100" s="951"/>
      <c r="S100" s="951"/>
      <c r="T100" s="878"/>
      <c r="U100" s="879"/>
      <c r="V100" s="879"/>
      <c r="W100" s="880"/>
      <c r="X100" s="880"/>
      <c r="Y100" s="880"/>
      <c r="Z100" s="880"/>
      <c r="AA100" s="880"/>
      <c r="AB100" s="879"/>
      <c r="AC100" s="879"/>
      <c r="AD100" s="879"/>
      <c r="AE100" s="879"/>
      <c r="AF100" s="879"/>
      <c r="AG100" s="879"/>
      <c r="AH100" s="881"/>
    </row>
    <row r="101" spans="1:34" s="194" customFormat="1">
      <c r="A101" s="900"/>
      <c r="B101" s="901"/>
      <c r="C101" s="901"/>
      <c r="D101" s="901"/>
      <c r="E101" s="901"/>
      <c r="F101" s="901"/>
      <c r="G101" s="901"/>
      <c r="H101" s="901"/>
      <c r="I101" s="901"/>
      <c r="J101" s="901"/>
      <c r="K101" s="901"/>
      <c r="L101" s="901"/>
      <c r="M101" s="901"/>
      <c r="N101" s="901"/>
      <c r="O101" s="902"/>
      <c r="P101" s="625"/>
      <c r="Q101" s="882"/>
      <c r="R101" s="903"/>
      <c r="S101" s="202"/>
      <c r="T101" s="904"/>
      <c r="U101" s="193"/>
      <c r="V101" s="202"/>
      <c r="W101" s="202"/>
      <c r="X101" s="202"/>
      <c r="Y101" s="202"/>
      <c r="Z101" s="202"/>
      <c r="AA101" s="202"/>
      <c r="AB101" s="202"/>
      <c r="AC101" s="202"/>
      <c r="AD101" s="202"/>
      <c r="AE101" s="202"/>
      <c r="AF101" s="460"/>
    </row>
    <row r="102" spans="1:34" s="194" customFormat="1">
      <c r="A102" s="954"/>
      <c r="B102" s="955"/>
      <c r="C102" s="955"/>
      <c r="D102" s="955"/>
      <c r="E102" s="956"/>
      <c r="F102" s="956"/>
      <c r="G102" s="956"/>
      <c r="H102" s="956"/>
      <c r="I102" s="956"/>
      <c r="J102" s="956"/>
      <c r="K102" s="976"/>
      <c r="L102" s="956"/>
      <c r="M102" s="956"/>
      <c r="N102" s="957"/>
      <c r="O102" s="906"/>
      <c r="P102" s="882"/>
      <c r="Q102" s="905"/>
      <c r="T102" s="907"/>
      <c r="U102" s="202"/>
      <c r="V102" s="202"/>
      <c r="W102" s="193"/>
      <c r="X102" s="193"/>
      <c r="Y102" s="193"/>
      <c r="Z102" s="193"/>
      <c r="AA102" s="193"/>
      <c r="AB102" s="202"/>
      <c r="AC102" s="202"/>
      <c r="AD102" s="202"/>
      <c r="AE102" s="202"/>
      <c r="AF102" s="202"/>
      <c r="AG102" s="202"/>
      <c r="AH102" s="460"/>
    </row>
    <row r="103" spans="1:34" s="194" customFormat="1">
      <c r="A103" s="883" t="s">
        <v>278</v>
      </c>
      <c r="B103" s="884">
        <v>45261</v>
      </c>
      <c r="C103" s="884">
        <v>45231</v>
      </c>
      <c r="D103" s="885">
        <v>45200</v>
      </c>
      <c r="E103" s="885">
        <v>45170</v>
      </c>
      <c r="F103" s="885">
        <v>45139</v>
      </c>
      <c r="G103" s="885">
        <v>45108</v>
      </c>
      <c r="H103" s="885">
        <v>45078</v>
      </c>
      <c r="I103" s="886">
        <v>45047</v>
      </c>
      <c r="J103" s="885">
        <v>45017</v>
      </c>
      <c r="K103" s="977">
        <v>44986</v>
      </c>
      <c r="L103" s="887">
        <v>44958</v>
      </c>
      <c r="M103" s="885">
        <v>44927</v>
      </c>
      <c r="N103" s="885" t="s">
        <v>3</v>
      </c>
      <c r="O103" s="952"/>
      <c r="P103" s="908"/>
      <c r="Q103" s="905"/>
      <c r="T103" s="907"/>
      <c r="U103" s="202"/>
      <c r="V103" s="202"/>
      <c r="W103" s="193"/>
      <c r="X103" s="193"/>
      <c r="Y103" s="193"/>
      <c r="Z103" s="193"/>
      <c r="AA103" s="193"/>
      <c r="AB103" s="202"/>
      <c r="AC103" s="202"/>
      <c r="AD103" s="202"/>
      <c r="AE103" s="202"/>
      <c r="AF103" s="202"/>
      <c r="AG103" s="202"/>
      <c r="AH103" s="460"/>
    </row>
    <row r="104" spans="1:34" s="194" customFormat="1">
      <c r="A104" s="958" t="s">
        <v>282</v>
      </c>
      <c r="B104" s="959"/>
      <c r="C104" s="959"/>
      <c r="D104" s="960"/>
      <c r="E104" s="959"/>
      <c r="F104" s="959"/>
      <c r="G104" s="959"/>
      <c r="H104" s="959"/>
      <c r="I104" s="961"/>
      <c r="J104" s="959"/>
      <c r="K104" s="962">
        <v>89</v>
      </c>
      <c r="L104" s="962">
        <v>65</v>
      </c>
      <c r="M104" s="963">
        <v>154</v>
      </c>
      <c r="N104" s="893">
        <f t="shared" ref="N104:N113" si="14">SUM(B104:M104)</f>
        <v>308</v>
      </c>
      <c r="O104" s="952"/>
      <c r="P104" s="908"/>
      <c r="Q104" s="905"/>
      <c r="T104" s="907"/>
      <c r="U104" s="202"/>
      <c r="V104" s="202"/>
      <c r="W104" s="193"/>
      <c r="X104" s="193"/>
      <c r="Y104" s="193"/>
      <c r="Z104" s="193"/>
      <c r="AA104" s="193"/>
      <c r="AB104" s="202"/>
      <c r="AC104" s="202"/>
      <c r="AD104" s="202"/>
      <c r="AE104" s="202"/>
      <c r="AF104" s="202"/>
      <c r="AG104" s="202"/>
      <c r="AH104" s="460"/>
    </row>
    <row r="105" spans="1:34" s="194" customFormat="1">
      <c r="A105" s="958" t="s">
        <v>281</v>
      </c>
      <c r="B105" s="959"/>
      <c r="C105" s="959"/>
      <c r="D105" s="960"/>
      <c r="E105" s="959"/>
      <c r="F105" s="959"/>
      <c r="G105" s="959"/>
      <c r="H105" s="959"/>
      <c r="I105" s="961"/>
      <c r="J105" s="959"/>
      <c r="K105" s="962">
        <v>79</v>
      </c>
      <c r="L105" s="962">
        <v>56</v>
      </c>
      <c r="M105" s="963">
        <v>38</v>
      </c>
      <c r="N105" s="893">
        <f t="shared" si="14"/>
        <v>173</v>
      </c>
      <c r="O105" s="952"/>
      <c r="P105" s="908"/>
      <c r="Q105" s="905"/>
      <c r="T105" s="907"/>
      <c r="U105" s="202"/>
      <c r="V105" s="202"/>
      <c r="W105" s="193"/>
      <c r="X105" s="193"/>
      <c r="Y105" s="193"/>
      <c r="Z105" s="193"/>
      <c r="AA105" s="193"/>
      <c r="AB105" s="202"/>
      <c r="AC105" s="202"/>
      <c r="AD105" s="202"/>
      <c r="AE105" s="202"/>
      <c r="AF105" s="202"/>
      <c r="AG105" s="202"/>
      <c r="AH105" s="460"/>
    </row>
    <row r="106" spans="1:34" s="194" customFormat="1">
      <c r="A106" s="958" t="s">
        <v>430</v>
      </c>
      <c r="B106" s="959"/>
      <c r="C106" s="959"/>
      <c r="D106" s="960"/>
      <c r="E106" s="959"/>
      <c r="F106" s="959"/>
      <c r="G106" s="959"/>
      <c r="H106" s="959"/>
      <c r="I106" s="961"/>
      <c r="J106" s="959"/>
      <c r="K106" s="962">
        <v>53</v>
      </c>
      <c r="L106" s="962">
        <v>45</v>
      </c>
      <c r="M106" s="963">
        <v>55</v>
      </c>
      <c r="N106" s="893">
        <f t="shared" si="14"/>
        <v>153</v>
      </c>
      <c r="O106" s="952"/>
      <c r="P106" s="908"/>
      <c r="Q106" s="905"/>
      <c r="T106" s="907"/>
      <c r="U106" s="202"/>
      <c r="V106" s="202"/>
      <c r="W106" s="193"/>
      <c r="X106" s="193"/>
      <c r="Y106" s="193"/>
      <c r="Z106" s="193"/>
      <c r="AA106" s="193"/>
      <c r="AB106" s="202"/>
      <c r="AC106" s="202"/>
      <c r="AD106" s="202"/>
      <c r="AE106" s="202"/>
      <c r="AF106" s="202"/>
      <c r="AG106" s="202"/>
      <c r="AH106" s="460"/>
    </row>
    <row r="107" spans="1:34" s="194" customFormat="1">
      <c r="A107" s="958" t="s">
        <v>385</v>
      </c>
      <c r="B107" s="959"/>
      <c r="C107" s="959"/>
      <c r="D107" s="960"/>
      <c r="E107" s="959"/>
      <c r="F107" s="959"/>
      <c r="G107" s="959"/>
      <c r="H107" s="959"/>
      <c r="I107" s="961"/>
      <c r="J107" s="959"/>
      <c r="K107" s="962">
        <v>66</v>
      </c>
      <c r="L107" s="962">
        <v>40</v>
      </c>
      <c r="M107" s="963">
        <v>46</v>
      </c>
      <c r="N107" s="893">
        <f t="shared" si="14"/>
        <v>152</v>
      </c>
      <c r="O107" s="952"/>
      <c r="P107" s="908"/>
      <c r="Q107" s="905"/>
      <c r="T107" s="620"/>
    </row>
    <row r="108" spans="1:34" s="194" customFormat="1">
      <c r="A108" s="958" t="s">
        <v>431</v>
      </c>
      <c r="B108" s="959"/>
      <c r="C108" s="959"/>
      <c r="D108" s="960"/>
      <c r="E108" s="959"/>
      <c r="F108" s="959"/>
      <c r="G108" s="959"/>
      <c r="H108" s="959"/>
      <c r="I108" s="961"/>
      <c r="J108" s="959"/>
      <c r="K108" s="962">
        <v>34</v>
      </c>
      <c r="L108" s="962">
        <v>52</v>
      </c>
      <c r="M108" s="963">
        <v>52</v>
      </c>
      <c r="N108" s="893">
        <f t="shared" si="14"/>
        <v>138</v>
      </c>
      <c r="O108" s="952"/>
      <c r="P108" s="908"/>
      <c r="Q108" s="905"/>
      <c r="T108" s="620"/>
    </row>
    <row r="109" spans="1:34" s="194" customFormat="1">
      <c r="A109" s="958" t="s">
        <v>344</v>
      </c>
      <c r="B109" s="959"/>
      <c r="C109" s="959"/>
      <c r="D109" s="960"/>
      <c r="E109" s="959"/>
      <c r="F109" s="959"/>
      <c r="G109" s="959"/>
      <c r="H109" s="959"/>
      <c r="I109" s="961"/>
      <c r="J109" s="959"/>
      <c r="K109" s="962">
        <v>32</v>
      </c>
      <c r="L109" s="962">
        <v>24</v>
      </c>
      <c r="M109" s="963">
        <v>30</v>
      </c>
      <c r="N109" s="893">
        <f t="shared" si="14"/>
        <v>86</v>
      </c>
      <c r="O109" s="952"/>
      <c r="P109" s="908"/>
      <c r="Q109" s="905"/>
      <c r="T109" s="620"/>
    </row>
    <row r="110" spans="1:34" s="194" customFormat="1">
      <c r="A110" s="958" t="s">
        <v>316</v>
      </c>
      <c r="B110" s="959"/>
      <c r="C110" s="959"/>
      <c r="D110" s="960"/>
      <c r="E110" s="959"/>
      <c r="F110" s="959"/>
      <c r="G110" s="959"/>
      <c r="H110" s="959"/>
      <c r="I110" s="961"/>
      <c r="J110" s="959"/>
      <c r="K110" s="962">
        <v>22</v>
      </c>
      <c r="L110" s="962">
        <v>17</v>
      </c>
      <c r="M110" s="963">
        <v>20</v>
      </c>
      <c r="N110" s="893">
        <f t="shared" si="14"/>
        <v>59</v>
      </c>
      <c r="O110" s="952"/>
      <c r="P110" s="908"/>
      <c r="Q110" s="905"/>
      <c r="T110" s="620"/>
    </row>
    <row r="111" spans="1:34" s="194" customFormat="1">
      <c r="A111" s="958" t="s">
        <v>345</v>
      </c>
      <c r="B111" s="959"/>
      <c r="C111" s="959"/>
      <c r="D111" s="960"/>
      <c r="E111" s="959"/>
      <c r="F111" s="959"/>
      <c r="G111" s="959"/>
      <c r="H111" s="959"/>
      <c r="I111" s="961"/>
      <c r="J111" s="959"/>
      <c r="K111" s="962">
        <v>23</v>
      </c>
      <c r="L111" s="962">
        <v>14</v>
      </c>
      <c r="M111" s="963">
        <v>20</v>
      </c>
      <c r="N111" s="893">
        <f t="shared" si="14"/>
        <v>57</v>
      </c>
      <c r="O111" s="952"/>
      <c r="P111" s="908"/>
      <c r="Q111" s="905"/>
      <c r="T111" s="620"/>
    </row>
    <row r="112" spans="1:34" s="194" customFormat="1">
      <c r="A112" s="958" t="s">
        <v>438</v>
      </c>
      <c r="B112" s="959"/>
      <c r="C112" s="959"/>
      <c r="D112" s="960"/>
      <c r="E112" s="959"/>
      <c r="F112" s="959"/>
      <c r="G112" s="959"/>
      <c r="H112" s="959"/>
      <c r="I112" s="961"/>
      <c r="J112" s="959"/>
      <c r="K112" s="962">
        <v>23</v>
      </c>
      <c r="L112" s="962">
        <v>17</v>
      </c>
      <c r="M112" s="963">
        <v>12</v>
      </c>
      <c r="N112" s="893">
        <f t="shared" si="14"/>
        <v>52</v>
      </c>
      <c r="O112" s="952"/>
      <c r="P112" s="908"/>
      <c r="Q112" s="905"/>
      <c r="T112" s="620"/>
    </row>
    <row r="113" spans="1:54">
      <c r="A113" s="962" t="s">
        <v>446</v>
      </c>
      <c r="B113" s="964"/>
      <c r="C113" s="959"/>
      <c r="D113" s="965"/>
      <c r="E113" s="964"/>
      <c r="F113" s="964"/>
      <c r="G113" s="964"/>
      <c r="H113" s="964"/>
      <c r="I113" s="966"/>
      <c r="J113" s="966"/>
      <c r="K113" s="962">
        <v>26</v>
      </c>
      <c r="L113" s="962">
        <v>11</v>
      </c>
      <c r="M113" s="963">
        <v>9</v>
      </c>
      <c r="N113" s="893">
        <f t="shared" si="14"/>
        <v>46</v>
      </c>
      <c r="O113" s="952"/>
      <c r="P113" s="908"/>
      <c r="Q113" s="882"/>
      <c r="T113" s="620"/>
      <c r="BB113" s="194"/>
    </row>
    <row r="114" spans="1:54">
      <c r="A114" s="898"/>
      <c r="B114" s="890"/>
      <c r="C114" s="891"/>
      <c r="D114" s="892"/>
      <c r="E114" s="890"/>
      <c r="F114" s="893"/>
      <c r="G114" s="893"/>
      <c r="H114" s="893"/>
      <c r="I114" s="894"/>
      <c r="J114" s="893"/>
      <c r="K114" s="978"/>
      <c r="L114" s="895"/>
      <c r="M114" s="896"/>
      <c r="N114" s="897"/>
      <c r="O114" s="952"/>
      <c r="P114" s="888"/>
      <c r="Q114" s="745"/>
    </row>
    <row r="115" spans="1:54">
      <c r="A115" s="895"/>
      <c r="B115" s="890"/>
      <c r="C115" s="891"/>
      <c r="D115" s="892"/>
      <c r="E115" s="890"/>
      <c r="F115" s="893"/>
      <c r="G115" s="893"/>
      <c r="H115" s="893"/>
      <c r="I115" s="894"/>
      <c r="J115" s="893"/>
      <c r="K115" s="978"/>
      <c r="L115" s="895"/>
      <c r="M115" s="896"/>
      <c r="N115" s="897"/>
      <c r="O115" s="952"/>
      <c r="P115" s="888"/>
      <c r="Q115" s="745"/>
    </row>
    <row r="116" spans="1:54">
      <c r="A116" s="889"/>
      <c r="B116" s="890"/>
      <c r="C116" s="891"/>
      <c r="D116" s="892"/>
      <c r="E116" s="890"/>
      <c r="F116" s="893"/>
      <c r="G116" s="893"/>
      <c r="H116" s="893"/>
      <c r="I116" s="894"/>
      <c r="J116" s="893"/>
      <c r="K116" s="978"/>
      <c r="L116" s="895"/>
      <c r="M116" s="896"/>
      <c r="N116" s="897"/>
      <c r="O116" s="952"/>
      <c r="P116" s="888"/>
      <c r="Q116" s="745"/>
    </row>
    <row r="117" spans="1:54">
      <c r="A117" s="958" t="s">
        <v>282</v>
      </c>
      <c r="B117" s="959"/>
      <c r="C117" s="959"/>
      <c r="D117" s="960"/>
      <c r="E117" s="959"/>
      <c r="F117" s="959"/>
      <c r="G117" s="959"/>
      <c r="H117" s="959"/>
      <c r="I117" s="961"/>
      <c r="J117" s="959"/>
      <c r="K117" s="962">
        <v>89</v>
      </c>
      <c r="L117" s="962">
        <v>65</v>
      </c>
      <c r="M117" s="963">
        <v>154</v>
      </c>
      <c r="N117" s="893">
        <f t="shared" ref="N117:N148" si="15">SUM(B117:M117)</f>
        <v>308</v>
      </c>
      <c r="O117" s="953"/>
      <c r="P117" s="899"/>
      <c r="Q117" s="745"/>
    </row>
    <row r="118" spans="1:54">
      <c r="A118" s="958" t="s">
        <v>281</v>
      </c>
      <c r="B118" s="959"/>
      <c r="C118" s="959"/>
      <c r="D118" s="960"/>
      <c r="E118" s="959"/>
      <c r="F118" s="959"/>
      <c r="G118" s="959"/>
      <c r="H118" s="959"/>
      <c r="I118" s="961"/>
      <c r="J118" s="959"/>
      <c r="K118" s="962">
        <v>79</v>
      </c>
      <c r="L118" s="962">
        <v>56</v>
      </c>
      <c r="M118" s="963">
        <v>38</v>
      </c>
      <c r="N118" s="893">
        <f t="shared" si="15"/>
        <v>173</v>
      </c>
    </row>
    <row r="119" spans="1:54">
      <c r="A119" s="958" t="s">
        <v>430</v>
      </c>
      <c r="B119" s="959"/>
      <c r="C119" s="959"/>
      <c r="D119" s="960"/>
      <c r="E119" s="959"/>
      <c r="F119" s="959"/>
      <c r="G119" s="959"/>
      <c r="H119" s="959"/>
      <c r="I119" s="961"/>
      <c r="J119" s="959"/>
      <c r="K119" s="962">
        <v>53</v>
      </c>
      <c r="L119" s="962">
        <v>45</v>
      </c>
      <c r="M119" s="963">
        <v>55</v>
      </c>
      <c r="N119" s="893">
        <f t="shared" si="15"/>
        <v>153</v>
      </c>
    </row>
    <row r="120" spans="1:54">
      <c r="A120" s="958" t="s">
        <v>385</v>
      </c>
      <c r="B120" s="959"/>
      <c r="C120" s="959"/>
      <c r="D120" s="960"/>
      <c r="E120" s="959"/>
      <c r="F120" s="959"/>
      <c r="G120" s="959"/>
      <c r="H120" s="959"/>
      <c r="I120" s="961"/>
      <c r="J120" s="959"/>
      <c r="K120" s="962">
        <v>66</v>
      </c>
      <c r="L120" s="962">
        <v>40</v>
      </c>
      <c r="M120" s="963">
        <v>46</v>
      </c>
      <c r="N120" s="893">
        <f t="shared" si="15"/>
        <v>152</v>
      </c>
    </row>
    <row r="121" spans="1:54">
      <c r="A121" s="958" t="s">
        <v>431</v>
      </c>
      <c r="B121" s="959"/>
      <c r="C121" s="959"/>
      <c r="D121" s="960"/>
      <c r="E121" s="959"/>
      <c r="F121" s="959"/>
      <c r="G121" s="959"/>
      <c r="H121" s="959"/>
      <c r="I121" s="961"/>
      <c r="J121" s="959"/>
      <c r="K121" s="962">
        <v>34</v>
      </c>
      <c r="L121" s="962">
        <v>52</v>
      </c>
      <c r="M121" s="963">
        <v>52</v>
      </c>
      <c r="N121" s="893">
        <f t="shared" si="15"/>
        <v>138</v>
      </c>
    </row>
    <row r="122" spans="1:54">
      <c r="A122" s="958" t="s">
        <v>344</v>
      </c>
      <c r="B122" s="959"/>
      <c r="C122" s="959"/>
      <c r="D122" s="960"/>
      <c r="E122" s="959"/>
      <c r="F122" s="959"/>
      <c r="G122" s="959"/>
      <c r="H122" s="959"/>
      <c r="I122" s="961"/>
      <c r="J122" s="959"/>
      <c r="K122" s="962">
        <v>32</v>
      </c>
      <c r="L122" s="962">
        <v>24</v>
      </c>
      <c r="M122" s="963">
        <v>30</v>
      </c>
      <c r="N122" s="893">
        <f t="shared" si="15"/>
        <v>86</v>
      </c>
    </row>
    <row r="123" spans="1:54">
      <c r="A123" s="958" t="s">
        <v>316</v>
      </c>
      <c r="B123" s="959"/>
      <c r="C123" s="959"/>
      <c r="D123" s="960"/>
      <c r="E123" s="959"/>
      <c r="F123" s="959"/>
      <c r="G123" s="959"/>
      <c r="H123" s="959"/>
      <c r="I123" s="961"/>
      <c r="J123" s="959"/>
      <c r="K123" s="962">
        <v>22</v>
      </c>
      <c r="L123" s="962">
        <v>17</v>
      </c>
      <c r="M123" s="963">
        <v>20</v>
      </c>
      <c r="N123" s="893">
        <f t="shared" si="15"/>
        <v>59</v>
      </c>
    </row>
    <row r="124" spans="1:54">
      <c r="A124" s="958" t="s">
        <v>345</v>
      </c>
      <c r="B124" s="959"/>
      <c r="C124" s="959"/>
      <c r="D124" s="960"/>
      <c r="E124" s="959"/>
      <c r="F124" s="959"/>
      <c r="G124" s="959"/>
      <c r="H124" s="959"/>
      <c r="I124" s="961"/>
      <c r="J124" s="959"/>
      <c r="K124" s="962">
        <v>23</v>
      </c>
      <c r="L124" s="962">
        <v>14</v>
      </c>
      <c r="M124" s="963">
        <v>20</v>
      </c>
      <c r="N124" s="893">
        <f t="shared" si="15"/>
        <v>57</v>
      </c>
    </row>
    <row r="125" spans="1:54">
      <c r="A125" s="958" t="s">
        <v>438</v>
      </c>
      <c r="B125" s="959"/>
      <c r="C125" s="959"/>
      <c r="D125" s="960"/>
      <c r="E125" s="959"/>
      <c r="F125" s="959"/>
      <c r="G125" s="959"/>
      <c r="H125" s="959"/>
      <c r="I125" s="961"/>
      <c r="J125" s="959"/>
      <c r="K125" s="962">
        <v>23</v>
      </c>
      <c r="L125" s="962">
        <v>17</v>
      </c>
      <c r="M125" s="963">
        <v>12</v>
      </c>
      <c r="N125" s="893">
        <f t="shared" si="15"/>
        <v>52</v>
      </c>
    </row>
    <row r="126" spans="1:54">
      <c r="A126" s="962" t="s">
        <v>446</v>
      </c>
      <c r="B126" s="964"/>
      <c r="C126" s="959"/>
      <c r="D126" s="965"/>
      <c r="E126" s="964"/>
      <c r="F126" s="964"/>
      <c r="G126" s="964"/>
      <c r="H126" s="964"/>
      <c r="I126" s="966"/>
      <c r="J126" s="966"/>
      <c r="K126" s="962">
        <v>26</v>
      </c>
      <c r="L126" s="962">
        <v>11</v>
      </c>
      <c r="M126" s="963">
        <v>9</v>
      </c>
      <c r="N126" s="893">
        <f t="shared" si="15"/>
        <v>46</v>
      </c>
    </row>
    <row r="127" spans="1:54" ht="23.25">
      <c r="A127" s="958" t="s">
        <v>300</v>
      </c>
      <c r="B127" s="959"/>
      <c r="C127" s="959"/>
      <c r="D127" s="960"/>
      <c r="E127" s="959"/>
      <c r="F127" s="959"/>
      <c r="G127" s="959"/>
      <c r="H127" s="959"/>
      <c r="I127" s="961"/>
      <c r="J127" s="959"/>
      <c r="K127" s="962">
        <v>14</v>
      </c>
      <c r="L127" s="962">
        <v>15</v>
      </c>
      <c r="M127" s="963">
        <v>15</v>
      </c>
      <c r="N127" s="893">
        <f t="shared" si="15"/>
        <v>44</v>
      </c>
    </row>
    <row r="128" spans="1:54" ht="23.25">
      <c r="A128" s="958" t="s">
        <v>286</v>
      </c>
      <c r="B128" s="959"/>
      <c r="C128" s="959"/>
      <c r="D128" s="960"/>
      <c r="E128" s="959"/>
      <c r="F128" s="959"/>
      <c r="G128" s="959"/>
      <c r="H128" s="959"/>
      <c r="I128" s="961"/>
      <c r="J128" s="959"/>
      <c r="K128" s="962">
        <v>18</v>
      </c>
      <c r="L128" s="962">
        <v>13</v>
      </c>
      <c r="M128" s="963">
        <v>12</v>
      </c>
      <c r="N128" s="893">
        <f t="shared" si="15"/>
        <v>43</v>
      </c>
    </row>
    <row r="129" spans="1:14" ht="23.25">
      <c r="A129" s="958" t="s">
        <v>293</v>
      </c>
      <c r="B129" s="959"/>
      <c r="C129" s="959"/>
      <c r="D129" s="960"/>
      <c r="E129" s="959"/>
      <c r="F129" s="959"/>
      <c r="G129" s="959"/>
      <c r="H129" s="959"/>
      <c r="I129" s="961"/>
      <c r="J129" s="959"/>
      <c r="K129" s="962">
        <v>17</v>
      </c>
      <c r="L129" s="962">
        <v>8</v>
      </c>
      <c r="M129" s="963">
        <v>14</v>
      </c>
      <c r="N129" s="893">
        <f t="shared" si="15"/>
        <v>39</v>
      </c>
    </row>
    <row r="130" spans="1:14" ht="23.25">
      <c r="A130" s="958" t="s">
        <v>298</v>
      </c>
      <c r="B130" s="959"/>
      <c r="C130" s="959"/>
      <c r="D130" s="960"/>
      <c r="E130" s="959"/>
      <c r="F130" s="959"/>
      <c r="G130" s="959"/>
      <c r="H130" s="959"/>
      <c r="I130" s="961"/>
      <c r="J130" s="959"/>
      <c r="K130" s="962">
        <v>17</v>
      </c>
      <c r="L130" s="962">
        <v>9</v>
      </c>
      <c r="M130" s="963">
        <v>8</v>
      </c>
      <c r="N130" s="893">
        <f t="shared" si="15"/>
        <v>34</v>
      </c>
    </row>
    <row r="131" spans="1:14" ht="33.75">
      <c r="A131" s="967" t="s">
        <v>299</v>
      </c>
      <c r="B131" s="959"/>
      <c r="C131" s="959"/>
      <c r="D131" s="960"/>
      <c r="E131" s="959"/>
      <c r="F131" s="959"/>
      <c r="G131" s="959"/>
      <c r="H131" s="959"/>
      <c r="I131" s="961"/>
      <c r="J131" s="959"/>
      <c r="K131" s="962">
        <v>14</v>
      </c>
      <c r="L131" s="962">
        <v>10</v>
      </c>
      <c r="M131" s="963">
        <v>9</v>
      </c>
      <c r="N131" s="893">
        <f t="shared" si="15"/>
        <v>33</v>
      </c>
    </row>
    <row r="132" spans="1:14" ht="23.25">
      <c r="A132" s="958" t="s">
        <v>305</v>
      </c>
      <c r="B132" s="959"/>
      <c r="C132" s="959"/>
      <c r="D132" s="960"/>
      <c r="E132" s="959"/>
      <c r="F132" s="959"/>
      <c r="G132" s="959"/>
      <c r="H132" s="959"/>
      <c r="I132" s="961"/>
      <c r="J132" s="959"/>
      <c r="K132" s="962">
        <v>15</v>
      </c>
      <c r="L132" s="962">
        <v>7</v>
      </c>
      <c r="M132" s="963">
        <v>7</v>
      </c>
      <c r="N132" s="893">
        <f t="shared" si="15"/>
        <v>29</v>
      </c>
    </row>
    <row r="133" spans="1:14" ht="23.25">
      <c r="A133" s="958" t="s">
        <v>289</v>
      </c>
      <c r="B133" s="959"/>
      <c r="C133" s="959"/>
      <c r="D133" s="960"/>
      <c r="E133" s="959"/>
      <c r="F133" s="959"/>
      <c r="G133" s="959"/>
      <c r="H133" s="959"/>
      <c r="I133" s="961"/>
      <c r="J133" s="959"/>
      <c r="K133" s="962">
        <v>9</v>
      </c>
      <c r="L133" s="962">
        <v>12</v>
      </c>
      <c r="M133" s="963">
        <v>7</v>
      </c>
      <c r="N133" s="893">
        <f t="shared" si="15"/>
        <v>28</v>
      </c>
    </row>
    <row r="134" spans="1:14" ht="23.25">
      <c r="A134" s="958" t="s">
        <v>285</v>
      </c>
      <c r="B134" s="959"/>
      <c r="C134" s="959"/>
      <c r="D134" s="960"/>
      <c r="E134" s="959"/>
      <c r="F134" s="959"/>
      <c r="G134" s="959"/>
      <c r="H134" s="959"/>
      <c r="I134" s="961"/>
      <c r="J134" s="959"/>
      <c r="K134" s="962">
        <v>7</v>
      </c>
      <c r="L134" s="962">
        <v>5</v>
      </c>
      <c r="M134" s="963">
        <v>10</v>
      </c>
      <c r="N134" s="893">
        <f t="shared" si="15"/>
        <v>22</v>
      </c>
    </row>
    <row r="135" spans="1:14">
      <c r="A135" s="958" t="s">
        <v>309</v>
      </c>
      <c r="B135" s="959"/>
      <c r="C135" s="959"/>
      <c r="D135" s="960"/>
      <c r="E135" s="959"/>
      <c r="F135" s="959"/>
      <c r="G135" s="959"/>
      <c r="H135" s="959"/>
      <c r="I135" s="961"/>
      <c r="J135" s="959"/>
      <c r="K135" s="962">
        <v>10</v>
      </c>
      <c r="L135" s="962">
        <v>5</v>
      </c>
      <c r="M135" s="963">
        <v>6</v>
      </c>
      <c r="N135" s="893">
        <f t="shared" si="15"/>
        <v>21</v>
      </c>
    </row>
    <row r="136" spans="1:14" ht="34.5">
      <c r="A136" s="968" t="s">
        <v>350</v>
      </c>
      <c r="B136" s="959"/>
      <c r="C136" s="959"/>
      <c r="D136" s="960"/>
      <c r="E136" s="959"/>
      <c r="F136" s="959"/>
      <c r="G136" s="959"/>
      <c r="H136" s="959"/>
      <c r="I136" s="961"/>
      <c r="J136" s="959"/>
      <c r="K136" s="962">
        <v>9</v>
      </c>
      <c r="L136" s="962">
        <v>9</v>
      </c>
      <c r="M136" s="963">
        <v>3</v>
      </c>
      <c r="N136" s="893">
        <f t="shared" si="15"/>
        <v>21</v>
      </c>
    </row>
    <row r="137" spans="1:14" ht="23.25">
      <c r="A137" s="958" t="s">
        <v>303</v>
      </c>
      <c r="B137" s="959"/>
      <c r="C137" s="959"/>
      <c r="D137" s="960"/>
      <c r="E137" s="959"/>
      <c r="F137" s="959"/>
      <c r="G137" s="959"/>
      <c r="H137" s="959"/>
      <c r="I137" s="961"/>
      <c r="J137" s="959"/>
      <c r="K137" s="962">
        <v>7</v>
      </c>
      <c r="L137" s="962">
        <v>5</v>
      </c>
      <c r="M137" s="963">
        <v>7</v>
      </c>
      <c r="N137" s="893">
        <f t="shared" si="15"/>
        <v>19</v>
      </c>
    </row>
    <row r="138" spans="1:14">
      <c r="A138" s="958" t="s">
        <v>169</v>
      </c>
      <c r="B138" s="959"/>
      <c r="C138" s="959"/>
      <c r="D138" s="960"/>
      <c r="E138" s="959"/>
      <c r="F138" s="959"/>
      <c r="G138" s="959"/>
      <c r="H138" s="959"/>
      <c r="I138" s="961"/>
      <c r="J138" s="959"/>
      <c r="K138" s="962">
        <v>8</v>
      </c>
      <c r="L138" s="962">
        <v>6</v>
      </c>
      <c r="M138" s="963">
        <v>5</v>
      </c>
      <c r="N138" s="893">
        <f t="shared" si="15"/>
        <v>19</v>
      </c>
    </row>
    <row r="139" spans="1:14">
      <c r="A139" s="958" t="s">
        <v>189</v>
      </c>
      <c r="B139" s="959"/>
      <c r="C139" s="959"/>
      <c r="D139" s="960"/>
      <c r="E139" s="959"/>
      <c r="F139" s="959"/>
      <c r="G139" s="959"/>
      <c r="H139" s="959"/>
      <c r="I139" s="961"/>
      <c r="J139" s="959"/>
      <c r="K139" s="962">
        <v>5</v>
      </c>
      <c r="L139" s="962">
        <v>7</v>
      </c>
      <c r="M139" s="963">
        <v>5</v>
      </c>
      <c r="N139" s="893">
        <f t="shared" si="15"/>
        <v>17</v>
      </c>
    </row>
    <row r="140" spans="1:14" ht="23.25">
      <c r="A140" s="958" t="s">
        <v>297</v>
      </c>
      <c r="B140" s="959"/>
      <c r="C140" s="959"/>
      <c r="D140" s="960"/>
      <c r="E140" s="959"/>
      <c r="F140" s="959"/>
      <c r="G140" s="959"/>
      <c r="H140" s="959"/>
      <c r="I140" s="961"/>
      <c r="J140" s="959"/>
      <c r="K140" s="962">
        <v>4</v>
      </c>
      <c r="L140" s="962">
        <v>3</v>
      </c>
      <c r="M140" s="963">
        <v>9</v>
      </c>
      <c r="N140" s="893">
        <f t="shared" si="15"/>
        <v>16</v>
      </c>
    </row>
    <row r="141" spans="1:14" ht="33.75">
      <c r="A141" s="967" t="s">
        <v>290</v>
      </c>
      <c r="B141" s="959"/>
      <c r="C141" s="959"/>
      <c r="D141" s="960"/>
      <c r="E141" s="959"/>
      <c r="F141" s="959"/>
      <c r="G141" s="959"/>
      <c r="H141" s="959"/>
      <c r="I141" s="961"/>
      <c r="J141" s="959"/>
      <c r="K141" s="962">
        <v>6</v>
      </c>
      <c r="L141" s="962">
        <v>1</v>
      </c>
      <c r="M141" s="963">
        <v>8</v>
      </c>
      <c r="N141" s="893">
        <f t="shared" si="15"/>
        <v>15</v>
      </c>
    </row>
    <row r="142" spans="1:14">
      <c r="A142" s="958" t="s">
        <v>193</v>
      </c>
      <c r="B142" s="959"/>
      <c r="C142" s="959"/>
      <c r="D142" s="960"/>
      <c r="E142" s="959"/>
      <c r="F142" s="959"/>
      <c r="G142" s="959"/>
      <c r="H142" s="959"/>
      <c r="I142" s="961"/>
      <c r="J142" s="959"/>
      <c r="K142" s="962">
        <v>6</v>
      </c>
      <c r="L142" s="962">
        <v>3</v>
      </c>
      <c r="M142" s="963">
        <v>6</v>
      </c>
      <c r="N142" s="893">
        <f t="shared" si="15"/>
        <v>15</v>
      </c>
    </row>
    <row r="143" spans="1:14">
      <c r="A143" s="958" t="s">
        <v>196</v>
      </c>
      <c r="B143" s="959"/>
      <c r="C143" s="959"/>
      <c r="D143" s="960"/>
      <c r="E143" s="959"/>
      <c r="F143" s="959"/>
      <c r="G143" s="959"/>
      <c r="H143" s="959"/>
      <c r="I143" s="961"/>
      <c r="J143" s="959"/>
      <c r="K143" s="962">
        <v>5</v>
      </c>
      <c r="L143" s="962">
        <v>2</v>
      </c>
      <c r="M143" s="963">
        <v>8</v>
      </c>
      <c r="N143" s="893">
        <f t="shared" si="15"/>
        <v>15</v>
      </c>
    </row>
    <row r="144" spans="1:14">
      <c r="A144" s="958" t="s">
        <v>178</v>
      </c>
      <c r="B144" s="959"/>
      <c r="C144" s="959"/>
      <c r="D144" s="960"/>
      <c r="E144" s="959"/>
      <c r="F144" s="959"/>
      <c r="G144" s="959"/>
      <c r="H144" s="959"/>
      <c r="I144" s="961"/>
      <c r="J144" s="959"/>
      <c r="K144" s="962">
        <v>7</v>
      </c>
      <c r="L144" s="962">
        <v>3</v>
      </c>
      <c r="M144" s="963">
        <v>4</v>
      </c>
      <c r="N144" s="893">
        <f t="shared" si="15"/>
        <v>14</v>
      </c>
    </row>
    <row r="145" spans="1:14">
      <c r="A145" s="958" t="s">
        <v>183</v>
      </c>
      <c r="B145" s="959"/>
      <c r="C145" s="959"/>
      <c r="D145" s="960"/>
      <c r="E145" s="959"/>
      <c r="F145" s="959"/>
      <c r="G145" s="959"/>
      <c r="H145" s="959"/>
      <c r="I145" s="961"/>
      <c r="J145" s="959"/>
      <c r="K145" s="962">
        <v>6</v>
      </c>
      <c r="L145" s="962">
        <v>4</v>
      </c>
      <c r="M145" s="963">
        <v>4</v>
      </c>
      <c r="N145" s="893">
        <f t="shared" si="15"/>
        <v>14</v>
      </c>
    </row>
    <row r="146" spans="1:14">
      <c r="A146" s="958" t="s">
        <v>252</v>
      </c>
      <c r="B146" s="959"/>
      <c r="C146" s="959"/>
      <c r="D146" s="960"/>
      <c r="E146" s="959"/>
      <c r="F146" s="959"/>
      <c r="G146" s="959"/>
      <c r="H146" s="959"/>
      <c r="I146" s="961"/>
      <c r="J146" s="959"/>
      <c r="K146" s="962">
        <v>3</v>
      </c>
      <c r="L146" s="962">
        <v>4</v>
      </c>
      <c r="M146" s="963">
        <v>6</v>
      </c>
      <c r="N146" s="893">
        <f t="shared" si="15"/>
        <v>13</v>
      </c>
    </row>
    <row r="147" spans="1:14" ht="34.5">
      <c r="A147" s="958" t="s">
        <v>301</v>
      </c>
      <c r="B147" s="959"/>
      <c r="C147" s="959"/>
      <c r="D147" s="960"/>
      <c r="E147" s="959"/>
      <c r="F147" s="959"/>
      <c r="G147" s="959"/>
      <c r="H147" s="959"/>
      <c r="I147" s="961"/>
      <c r="J147" s="959"/>
      <c r="K147" s="962">
        <v>6</v>
      </c>
      <c r="L147" s="962">
        <v>5</v>
      </c>
      <c r="M147" s="963">
        <v>2</v>
      </c>
      <c r="N147" s="893">
        <f t="shared" si="15"/>
        <v>13</v>
      </c>
    </row>
    <row r="148" spans="1:14" ht="23.25">
      <c r="A148" s="958" t="s">
        <v>288</v>
      </c>
      <c r="B148" s="959"/>
      <c r="C148" s="959"/>
      <c r="D148" s="960"/>
      <c r="E148" s="959"/>
      <c r="F148" s="959"/>
      <c r="G148" s="959"/>
      <c r="H148" s="959"/>
      <c r="I148" s="961"/>
      <c r="J148" s="959"/>
      <c r="K148" s="962">
        <v>4</v>
      </c>
      <c r="L148" s="962">
        <v>3</v>
      </c>
      <c r="M148" s="963">
        <v>5</v>
      </c>
      <c r="N148" s="893">
        <f t="shared" si="15"/>
        <v>12</v>
      </c>
    </row>
    <row r="149" spans="1:14">
      <c r="A149" s="958" t="s">
        <v>185</v>
      </c>
      <c r="B149" s="959"/>
      <c r="C149" s="959"/>
      <c r="D149" s="960"/>
      <c r="E149" s="959"/>
      <c r="F149" s="959"/>
      <c r="G149" s="959"/>
      <c r="H149" s="959"/>
      <c r="I149" s="961"/>
      <c r="J149" s="959"/>
      <c r="K149" s="962">
        <v>5</v>
      </c>
      <c r="L149" s="962">
        <v>4</v>
      </c>
      <c r="M149" s="963">
        <v>3</v>
      </c>
      <c r="N149" s="893">
        <f t="shared" ref="N149:N180" si="16">SUM(B149:M149)</f>
        <v>12</v>
      </c>
    </row>
    <row r="150" spans="1:14" ht="23.25">
      <c r="A150" s="958" t="s">
        <v>294</v>
      </c>
      <c r="B150" s="959"/>
      <c r="C150" s="959"/>
      <c r="D150" s="960"/>
      <c r="E150" s="959"/>
      <c r="F150" s="959"/>
      <c r="G150" s="959"/>
      <c r="H150" s="959"/>
      <c r="I150" s="961"/>
      <c r="J150" s="959"/>
      <c r="K150" s="962">
        <v>5</v>
      </c>
      <c r="L150" s="962">
        <v>2</v>
      </c>
      <c r="M150" s="963">
        <v>4</v>
      </c>
      <c r="N150" s="893">
        <f t="shared" si="16"/>
        <v>11</v>
      </c>
    </row>
    <row r="151" spans="1:14">
      <c r="A151" s="958" t="s">
        <v>180</v>
      </c>
      <c r="B151" s="959"/>
      <c r="C151" s="959"/>
      <c r="D151" s="960"/>
      <c r="E151" s="959"/>
      <c r="F151" s="959"/>
      <c r="G151" s="959"/>
      <c r="H151" s="959"/>
      <c r="I151" s="961"/>
      <c r="J151" s="959"/>
      <c r="K151" s="962">
        <v>2</v>
      </c>
      <c r="L151" s="962">
        <v>2</v>
      </c>
      <c r="M151" s="963">
        <v>7</v>
      </c>
      <c r="N151" s="893">
        <f t="shared" si="16"/>
        <v>11</v>
      </c>
    </row>
    <row r="152" spans="1:14">
      <c r="A152" s="958" t="s">
        <v>198</v>
      </c>
      <c r="B152" s="959"/>
      <c r="C152" s="959"/>
      <c r="D152" s="960"/>
      <c r="E152" s="959"/>
      <c r="F152" s="959"/>
      <c r="G152" s="959"/>
      <c r="H152" s="959"/>
      <c r="I152" s="961"/>
      <c r="J152" s="959"/>
      <c r="K152" s="962">
        <v>6</v>
      </c>
      <c r="L152" s="962">
        <v>0</v>
      </c>
      <c r="M152" s="963">
        <v>5</v>
      </c>
      <c r="N152" s="893">
        <f t="shared" si="16"/>
        <v>11</v>
      </c>
    </row>
    <row r="153" spans="1:14" ht="34.5">
      <c r="A153" s="958" t="s">
        <v>280</v>
      </c>
      <c r="B153" s="959"/>
      <c r="C153" s="959"/>
      <c r="D153" s="960"/>
      <c r="E153" s="959"/>
      <c r="F153" s="959"/>
      <c r="G153" s="959"/>
      <c r="H153" s="959"/>
      <c r="I153" s="961"/>
      <c r="J153" s="959"/>
      <c r="K153" s="962">
        <v>1</v>
      </c>
      <c r="L153" s="962">
        <v>5</v>
      </c>
      <c r="M153" s="963">
        <v>4</v>
      </c>
      <c r="N153" s="893">
        <f t="shared" si="16"/>
        <v>10</v>
      </c>
    </row>
    <row r="154" spans="1:14">
      <c r="A154" s="958" t="s">
        <v>190</v>
      </c>
      <c r="B154" s="959"/>
      <c r="C154" s="959"/>
      <c r="D154" s="960"/>
      <c r="E154" s="959"/>
      <c r="F154" s="959"/>
      <c r="G154" s="959"/>
      <c r="H154" s="959"/>
      <c r="I154" s="961"/>
      <c r="J154" s="959"/>
      <c r="K154" s="962">
        <v>4</v>
      </c>
      <c r="L154" s="962">
        <v>2</v>
      </c>
      <c r="M154" s="963">
        <v>4</v>
      </c>
      <c r="N154" s="893">
        <f t="shared" si="16"/>
        <v>10</v>
      </c>
    </row>
    <row r="155" spans="1:14" ht="23.25">
      <c r="A155" s="958" t="s">
        <v>191</v>
      </c>
      <c r="B155" s="959"/>
      <c r="C155" s="959"/>
      <c r="D155" s="960"/>
      <c r="E155" s="959"/>
      <c r="F155" s="959"/>
      <c r="G155" s="959"/>
      <c r="H155" s="959"/>
      <c r="I155" s="961"/>
      <c r="J155" s="959"/>
      <c r="K155" s="962">
        <v>4</v>
      </c>
      <c r="L155" s="962">
        <v>1</v>
      </c>
      <c r="M155" s="963">
        <v>4</v>
      </c>
      <c r="N155" s="893">
        <f t="shared" si="16"/>
        <v>9</v>
      </c>
    </row>
    <row r="156" spans="1:14" ht="23.25">
      <c r="A156" s="958" t="s">
        <v>194</v>
      </c>
      <c r="B156" s="959"/>
      <c r="C156" s="959"/>
      <c r="D156" s="960"/>
      <c r="E156" s="959"/>
      <c r="F156" s="959"/>
      <c r="G156" s="959"/>
      <c r="H156" s="959"/>
      <c r="I156" s="961"/>
      <c r="J156" s="959"/>
      <c r="K156" s="962">
        <v>2</v>
      </c>
      <c r="L156" s="962">
        <v>2</v>
      </c>
      <c r="M156" s="963">
        <v>5</v>
      </c>
      <c r="N156" s="893">
        <f t="shared" si="16"/>
        <v>9</v>
      </c>
    </row>
    <row r="157" spans="1:14" ht="23.25">
      <c r="A157" s="958" t="s">
        <v>291</v>
      </c>
      <c r="B157" s="959"/>
      <c r="C157" s="959"/>
      <c r="D157" s="960"/>
      <c r="E157" s="959"/>
      <c r="F157" s="959"/>
      <c r="G157" s="959"/>
      <c r="H157" s="959"/>
      <c r="I157" s="961"/>
      <c r="J157" s="959"/>
      <c r="K157" s="962">
        <v>1</v>
      </c>
      <c r="L157" s="962">
        <v>2</v>
      </c>
      <c r="M157" s="963">
        <v>5</v>
      </c>
      <c r="N157" s="893">
        <f t="shared" si="16"/>
        <v>8</v>
      </c>
    </row>
    <row r="158" spans="1:14">
      <c r="A158" s="958" t="s">
        <v>296</v>
      </c>
      <c r="B158" s="959"/>
      <c r="C158" s="959"/>
      <c r="D158" s="960"/>
      <c r="E158" s="959"/>
      <c r="F158" s="959"/>
      <c r="G158" s="959"/>
      <c r="H158" s="959"/>
      <c r="I158" s="961"/>
      <c r="J158" s="959"/>
      <c r="K158" s="962">
        <v>3</v>
      </c>
      <c r="L158" s="962">
        <v>3</v>
      </c>
      <c r="M158" s="963">
        <v>2</v>
      </c>
      <c r="N158" s="893">
        <f t="shared" si="16"/>
        <v>8</v>
      </c>
    </row>
    <row r="159" spans="1:14" ht="23.25">
      <c r="A159" s="958" t="s">
        <v>182</v>
      </c>
      <c r="B159" s="959"/>
      <c r="C159" s="959"/>
      <c r="D159" s="960"/>
      <c r="E159" s="959"/>
      <c r="F159" s="959"/>
      <c r="G159" s="959"/>
      <c r="H159" s="959"/>
      <c r="I159" s="961"/>
      <c r="J159" s="959"/>
      <c r="K159" s="962">
        <v>4</v>
      </c>
      <c r="L159" s="962">
        <v>1</v>
      </c>
      <c r="M159" s="963">
        <v>3</v>
      </c>
      <c r="N159" s="893">
        <f t="shared" si="16"/>
        <v>8</v>
      </c>
    </row>
    <row r="160" spans="1:14">
      <c r="A160" s="969" t="s">
        <v>351</v>
      </c>
      <c r="B160" s="959"/>
      <c r="C160" s="959"/>
      <c r="D160" s="960"/>
      <c r="E160" s="959"/>
      <c r="F160" s="959"/>
      <c r="G160" s="959"/>
      <c r="H160" s="959"/>
      <c r="I160" s="961"/>
      <c r="J160" s="959"/>
      <c r="K160" s="962">
        <v>1</v>
      </c>
      <c r="L160" s="962">
        <v>4</v>
      </c>
      <c r="M160" s="963">
        <v>3</v>
      </c>
      <c r="N160" s="893">
        <f t="shared" si="16"/>
        <v>8</v>
      </c>
    </row>
    <row r="161" spans="1:14">
      <c r="A161" s="958" t="s">
        <v>188</v>
      </c>
      <c r="B161" s="959"/>
      <c r="C161" s="959"/>
      <c r="D161" s="960"/>
      <c r="E161" s="959"/>
      <c r="F161" s="959"/>
      <c r="G161" s="959"/>
      <c r="H161" s="959"/>
      <c r="I161" s="961"/>
      <c r="J161" s="959"/>
      <c r="K161" s="962">
        <v>3</v>
      </c>
      <c r="L161" s="962">
        <v>0</v>
      </c>
      <c r="M161" s="963">
        <v>5</v>
      </c>
      <c r="N161" s="893">
        <f t="shared" si="16"/>
        <v>8</v>
      </c>
    </row>
    <row r="162" spans="1:14" ht="23.25">
      <c r="A162" s="958" t="s">
        <v>197</v>
      </c>
      <c r="B162" s="959"/>
      <c r="C162" s="959"/>
      <c r="D162" s="960"/>
      <c r="E162" s="959"/>
      <c r="F162" s="959"/>
      <c r="G162" s="959"/>
      <c r="H162" s="959"/>
      <c r="I162" s="961"/>
      <c r="J162" s="959"/>
      <c r="K162" s="962">
        <v>3</v>
      </c>
      <c r="L162" s="962">
        <v>1</v>
      </c>
      <c r="M162" s="963">
        <v>4</v>
      </c>
      <c r="N162" s="893">
        <f t="shared" si="16"/>
        <v>8</v>
      </c>
    </row>
    <row r="163" spans="1:14" ht="23.25">
      <c r="A163" s="958" t="s">
        <v>340</v>
      </c>
      <c r="B163" s="959"/>
      <c r="C163" s="959"/>
      <c r="D163" s="960"/>
      <c r="E163" s="959"/>
      <c r="F163" s="959"/>
      <c r="G163" s="959"/>
      <c r="H163" s="959"/>
      <c r="I163" s="961"/>
      <c r="J163" s="959"/>
      <c r="K163" s="962">
        <v>3</v>
      </c>
      <c r="L163" s="962">
        <v>0</v>
      </c>
      <c r="M163" s="963">
        <v>4</v>
      </c>
      <c r="N163" s="893">
        <f t="shared" si="16"/>
        <v>7</v>
      </c>
    </row>
    <row r="164" spans="1:14" ht="23.25">
      <c r="A164" s="958" t="s">
        <v>313</v>
      </c>
      <c r="B164" s="959"/>
      <c r="C164" s="959"/>
      <c r="D164" s="960"/>
      <c r="E164" s="959"/>
      <c r="F164" s="959"/>
      <c r="G164" s="959"/>
      <c r="H164" s="959"/>
      <c r="I164" s="961"/>
      <c r="J164" s="959"/>
      <c r="K164" s="962">
        <v>4</v>
      </c>
      <c r="L164" s="962">
        <v>0</v>
      </c>
      <c r="M164" s="963">
        <v>3</v>
      </c>
      <c r="N164" s="893">
        <f t="shared" si="16"/>
        <v>7</v>
      </c>
    </row>
    <row r="165" spans="1:14">
      <c r="A165" s="958" t="s">
        <v>179</v>
      </c>
      <c r="B165" s="959"/>
      <c r="C165" s="959"/>
      <c r="D165" s="960"/>
      <c r="E165" s="959"/>
      <c r="F165" s="959"/>
      <c r="G165" s="959"/>
      <c r="H165" s="959"/>
      <c r="I165" s="961"/>
      <c r="J165" s="959"/>
      <c r="K165" s="962">
        <v>0</v>
      </c>
      <c r="L165" s="962">
        <v>3</v>
      </c>
      <c r="M165" s="963">
        <v>4</v>
      </c>
      <c r="N165" s="893">
        <f t="shared" si="16"/>
        <v>7</v>
      </c>
    </row>
    <row r="166" spans="1:14">
      <c r="A166" s="958" t="s">
        <v>181</v>
      </c>
      <c r="B166" s="959"/>
      <c r="C166" s="959"/>
      <c r="D166" s="960"/>
      <c r="E166" s="959"/>
      <c r="F166" s="959"/>
      <c r="G166" s="959"/>
      <c r="H166" s="959"/>
      <c r="I166" s="961"/>
      <c r="J166" s="959"/>
      <c r="K166" s="962">
        <v>1</v>
      </c>
      <c r="L166" s="962">
        <v>2</v>
      </c>
      <c r="M166" s="963">
        <v>4</v>
      </c>
      <c r="N166" s="893">
        <f t="shared" si="16"/>
        <v>7</v>
      </c>
    </row>
    <row r="167" spans="1:14">
      <c r="A167" s="958" t="s">
        <v>187</v>
      </c>
      <c r="B167" s="959"/>
      <c r="C167" s="959"/>
      <c r="D167" s="960"/>
      <c r="E167" s="959"/>
      <c r="F167" s="959"/>
      <c r="G167" s="959"/>
      <c r="H167" s="959"/>
      <c r="I167" s="961"/>
      <c r="J167" s="959"/>
      <c r="K167" s="962">
        <v>3</v>
      </c>
      <c r="L167" s="962">
        <v>0</v>
      </c>
      <c r="M167" s="963">
        <v>4</v>
      </c>
      <c r="N167" s="893">
        <f t="shared" si="16"/>
        <v>7</v>
      </c>
    </row>
    <row r="168" spans="1:14">
      <c r="A168" s="958" t="s">
        <v>192</v>
      </c>
      <c r="B168" s="959"/>
      <c r="C168" s="959"/>
      <c r="D168" s="960"/>
      <c r="E168" s="959"/>
      <c r="F168" s="959"/>
      <c r="G168" s="959"/>
      <c r="H168" s="959"/>
      <c r="I168" s="961"/>
      <c r="J168" s="959"/>
      <c r="K168" s="962">
        <v>2</v>
      </c>
      <c r="L168" s="962">
        <v>1</v>
      </c>
      <c r="M168" s="963">
        <v>4</v>
      </c>
      <c r="N168" s="893">
        <f t="shared" si="16"/>
        <v>7</v>
      </c>
    </row>
    <row r="169" spans="1:14" ht="22.5">
      <c r="A169" s="962" t="s">
        <v>287</v>
      </c>
      <c r="B169" s="964"/>
      <c r="C169" s="959"/>
      <c r="D169" s="970"/>
      <c r="E169" s="966"/>
      <c r="F169" s="966"/>
      <c r="G169" s="966"/>
      <c r="H169" s="966"/>
      <c r="I169" s="966"/>
      <c r="J169" s="966"/>
      <c r="K169" s="962">
        <v>3</v>
      </c>
      <c r="L169" s="962">
        <v>2</v>
      </c>
      <c r="M169" s="963">
        <v>1</v>
      </c>
      <c r="N169" s="893">
        <f t="shared" si="16"/>
        <v>6</v>
      </c>
    </row>
    <row r="170" spans="1:14" ht="23.25">
      <c r="A170" s="958" t="s">
        <v>171</v>
      </c>
      <c r="B170" s="959"/>
      <c r="C170" s="959"/>
      <c r="D170" s="960"/>
      <c r="E170" s="959"/>
      <c r="F170" s="959"/>
      <c r="G170" s="959"/>
      <c r="H170" s="959"/>
      <c r="I170" s="961"/>
      <c r="J170" s="959"/>
      <c r="K170" s="962">
        <v>2</v>
      </c>
      <c r="L170" s="962">
        <v>1</v>
      </c>
      <c r="M170" s="963">
        <v>3</v>
      </c>
      <c r="N170" s="893">
        <f t="shared" si="16"/>
        <v>6</v>
      </c>
    </row>
    <row r="171" spans="1:14">
      <c r="A171" s="958" t="s">
        <v>173</v>
      </c>
      <c r="B171" s="959"/>
      <c r="C171" s="959"/>
      <c r="D171" s="960"/>
      <c r="E171" s="959"/>
      <c r="F171" s="959"/>
      <c r="G171" s="959"/>
      <c r="H171" s="959"/>
      <c r="I171" s="961"/>
      <c r="J171" s="959"/>
      <c r="K171" s="962">
        <v>1</v>
      </c>
      <c r="L171" s="962">
        <v>1</v>
      </c>
      <c r="M171" s="963">
        <v>4</v>
      </c>
      <c r="N171" s="893">
        <f t="shared" si="16"/>
        <v>6</v>
      </c>
    </row>
    <row r="172" spans="1:14" ht="23.25">
      <c r="A172" s="958" t="s">
        <v>174</v>
      </c>
      <c r="B172" s="959"/>
      <c r="C172" s="959"/>
      <c r="D172" s="960"/>
      <c r="E172" s="959"/>
      <c r="F172" s="959"/>
      <c r="G172" s="959"/>
      <c r="H172" s="959"/>
      <c r="I172" s="961"/>
      <c r="J172" s="959"/>
      <c r="K172" s="962">
        <v>3</v>
      </c>
      <c r="L172" s="962">
        <v>0</v>
      </c>
      <c r="M172" s="963">
        <v>3</v>
      </c>
      <c r="N172" s="893">
        <f t="shared" si="16"/>
        <v>6</v>
      </c>
    </row>
    <row r="173" spans="1:14">
      <c r="A173" s="971" t="s">
        <v>199</v>
      </c>
      <c r="B173" s="972"/>
      <c r="C173" s="959"/>
      <c r="D173" s="973"/>
      <c r="E173" s="972"/>
      <c r="F173" s="971"/>
      <c r="G173" s="971"/>
      <c r="H173" s="971"/>
      <c r="I173" s="971"/>
      <c r="J173" s="971"/>
      <c r="K173" s="962">
        <v>2</v>
      </c>
      <c r="L173" s="962">
        <v>0</v>
      </c>
      <c r="M173" s="963">
        <v>4</v>
      </c>
      <c r="N173" s="893">
        <f t="shared" si="16"/>
        <v>6</v>
      </c>
    </row>
    <row r="174" spans="1:14" ht="23.25">
      <c r="A174" s="958" t="s">
        <v>283</v>
      </c>
      <c r="B174" s="959"/>
      <c r="C174" s="959"/>
      <c r="D174" s="959"/>
      <c r="E174" s="959"/>
      <c r="F174" s="959"/>
      <c r="G174" s="959"/>
      <c r="H174" s="959"/>
      <c r="I174" s="961"/>
      <c r="J174" s="959"/>
      <c r="K174" s="966">
        <v>0</v>
      </c>
      <c r="L174" s="962">
        <v>5</v>
      </c>
      <c r="M174" s="959">
        <v>0</v>
      </c>
      <c r="N174" s="893">
        <f t="shared" si="16"/>
        <v>5</v>
      </c>
    </row>
    <row r="175" spans="1:14">
      <c r="A175" s="958" t="s">
        <v>311</v>
      </c>
      <c r="B175" s="959"/>
      <c r="C175" s="959"/>
      <c r="D175" s="960"/>
      <c r="E175" s="959"/>
      <c r="F175" s="959"/>
      <c r="G175" s="959"/>
      <c r="H175" s="959"/>
      <c r="I175" s="961"/>
      <c r="J175" s="959"/>
      <c r="K175" s="962">
        <v>2</v>
      </c>
      <c r="L175" s="962">
        <v>1</v>
      </c>
      <c r="M175" s="963">
        <v>2</v>
      </c>
      <c r="N175" s="893">
        <f t="shared" si="16"/>
        <v>5</v>
      </c>
    </row>
    <row r="176" spans="1:14" ht="23.25">
      <c r="A176" s="958" t="s">
        <v>312</v>
      </c>
      <c r="B176" s="959"/>
      <c r="C176" s="959"/>
      <c r="D176" s="960"/>
      <c r="E176" s="959"/>
      <c r="F176" s="959"/>
      <c r="G176" s="959"/>
      <c r="H176" s="959"/>
      <c r="I176" s="961"/>
      <c r="J176" s="959"/>
      <c r="K176" s="962">
        <v>1</v>
      </c>
      <c r="L176" s="962">
        <v>1</v>
      </c>
      <c r="M176" s="963">
        <v>3</v>
      </c>
      <c r="N176" s="893">
        <f t="shared" si="16"/>
        <v>5</v>
      </c>
    </row>
    <row r="177" spans="1:15">
      <c r="A177" s="958" t="s">
        <v>170</v>
      </c>
      <c r="B177" s="959"/>
      <c r="C177" s="959"/>
      <c r="D177" s="960"/>
      <c r="E177" s="959"/>
      <c r="F177" s="959"/>
      <c r="G177" s="959"/>
      <c r="H177" s="959"/>
      <c r="I177" s="961"/>
      <c r="J177" s="959"/>
      <c r="K177" s="962">
        <v>1</v>
      </c>
      <c r="L177" s="962">
        <v>0</v>
      </c>
      <c r="M177" s="963">
        <v>4</v>
      </c>
      <c r="N177" s="893">
        <f t="shared" si="16"/>
        <v>5</v>
      </c>
    </row>
    <row r="178" spans="1:15" ht="23.25">
      <c r="A178" s="958" t="s">
        <v>175</v>
      </c>
      <c r="B178" s="959"/>
      <c r="C178" s="959"/>
      <c r="D178" s="960"/>
      <c r="E178" s="959"/>
      <c r="F178" s="959"/>
      <c r="G178" s="959"/>
      <c r="H178" s="959"/>
      <c r="I178" s="961"/>
      <c r="J178" s="959"/>
      <c r="K178" s="962">
        <v>1</v>
      </c>
      <c r="L178" s="962">
        <v>0</v>
      </c>
      <c r="M178" s="963">
        <v>4</v>
      </c>
      <c r="N178" s="893">
        <f t="shared" si="16"/>
        <v>5</v>
      </c>
    </row>
    <row r="179" spans="1:15">
      <c r="A179" s="958" t="s">
        <v>177</v>
      </c>
      <c r="B179" s="959"/>
      <c r="C179" s="959"/>
      <c r="D179" s="960"/>
      <c r="E179" s="959"/>
      <c r="F179" s="959"/>
      <c r="G179" s="959"/>
      <c r="H179" s="959"/>
      <c r="I179" s="961"/>
      <c r="J179" s="959"/>
      <c r="K179" s="962">
        <v>2</v>
      </c>
      <c r="L179" s="962">
        <v>0</v>
      </c>
      <c r="M179" s="963">
        <v>3</v>
      </c>
      <c r="N179" s="893">
        <f t="shared" si="16"/>
        <v>5</v>
      </c>
    </row>
    <row r="180" spans="1:15">
      <c r="A180" s="958" t="s">
        <v>186</v>
      </c>
      <c r="B180" s="959"/>
      <c r="C180" s="959"/>
      <c r="D180" s="960"/>
      <c r="E180" s="959"/>
      <c r="F180" s="959"/>
      <c r="G180" s="959"/>
      <c r="H180" s="959"/>
      <c r="I180" s="961"/>
      <c r="J180" s="959"/>
      <c r="K180" s="962">
        <v>2</v>
      </c>
      <c r="L180" s="962">
        <v>0</v>
      </c>
      <c r="M180" s="963">
        <v>3</v>
      </c>
      <c r="N180" s="893">
        <f t="shared" si="16"/>
        <v>5</v>
      </c>
    </row>
    <row r="181" spans="1:15" ht="23.25">
      <c r="A181" s="968" t="s">
        <v>353</v>
      </c>
      <c r="B181" s="959"/>
      <c r="C181" s="959"/>
      <c r="D181" s="960"/>
      <c r="E181" s="959"/>
      <c r="F181" s="959"/>
      <c r="G181" s="959"/>
      <c r="H181" s="959"/>
      <c r="I181" s="961"/>
      <c r="J181" s="959"/>
      <c r="K181" s="962">
        <v>1</v>
      </c>
      <c r="L181" s="962">
        <v>0</v>
      </c>
      <c r="M181" s="963">
        <v>3</v>
      </c>
      <c r="N181" s="893">
        <f t="shared" ref="N181:N193" si="17">SUM(B181:M181)</f>
        <v>4</v>
      </c>
    </row>
    <row r="182" spans="1:15" ht="23.25">
      <c r="A182" s="958" t="s">
        <v>314</v>
      </c>
      <c r="B182" s="959"/>
      <c r="C182" s="959"/>
      <c r="D182" s="960"/>
      <c r="E182" s="959"/>
      <c r="F182" s="959"/>
      <c r="G182" s="959"/>
      <c r="H182" s="959"/>
      <c r="I182" s="961"/>
      <c r="J182" s="959"/>
      <c r="K182" s="962">
        <v>1</v>
      </c>
      <c r="L182" s="962">
        <v>0</v>
      </c>
      <c r="M182" s="963">
        <v>3</v>
      </c>
      <c r="N182" s="893">
        <f t="shared" si="17"/>
        <v>4</v>
      </c>
    </row>
    <row r="183" spans="1:15">
      <c r="A183" s="958" t="s">
        <v>195</v>
      </c>
      <c r="B183" s="959"/>
      <c r="C183" s="959"/>
      <c r="D183" s="960"/>
      <c r="E183" s="959"/>
      <c r="F183" s="959"/>
      <c r="G183" s="959"/>
      <c r="H183" s="959"/>
      <c r="I183" s="961"/>
      <c r="J183" s="959"/>
      <c r="K183" s="962">
        <v>1</v>
      </c>
      <c r="L183" s="962">
        <v>0</v>
      </c>
      <c r="M183" s="963">
        <v>3</v>
      </c>
      <c r="N183" s="893">
        <f t="shared" si="17"/>
        <v>4</v>
      </c>
    </row>
    <row r="184" spans="1:15" ht="23.25">
      <c r="A184" s="958" t="s">
        <v>317</v>
      </c>
      <c r="B184" s="959"/>
      <c r="C184" s="959"/>
      <c r="D184" s="960"/>
      <c r="E184" s="959"/>
      <c r="F184" s="959"/>
      <c r="G184" s="959"/>
      <c r="H184" s="959"/>
      <c r="I184" s="961"/>
      <c r="J184" s="959"/>
      <c r="K184" s="962">
        <v>1</v>
      </c>
      <c r="L184" s="962">
        <v>1</v>
      </c>
      <c r="M184" s="963">
        <v>1</v>
      </c>
      <c r="N184" s="893">
        <f t="shared" si="17"/>
        <v>3</v>
      </c>
    </row>
    <row r="185" spans="1:15" ht="23.25">
      <c r="A185" s="974" t="s">
        <v>437</v>
      </c>
      <c r="B185" s="959"/>
      <c r="C185" s="959"/>
      <c r="D185" s="959"/>
      <c r="E185" s="959"/>
      <c r="F185" s="959"/>
      <c r="G185" s="959"/>
      <c r="H185" s="959"/>
      <c r="I185" s="961"/>
      <c r="J185" s="959"/>
      <c r="K185" s="966">
        <v>0</v>
      </c>
      <c r="L185" s="962">
        <v>2</v>
      </c>
      <c r="M185" s="959">
        <v>0</v>
      </c>
      <c r="N185" s="893">
        <f t="shared" si="17"/>
        <v>2</v>
      </c>
    </row>
    <row r="186" spans="1:15" ht="23.25">
      <c r="A186" s="958" t="s">
        <v>342</v>
      </c>
      <c r="B186" s="959"/>
      <c r="C186" s="959"/>
      <c r="D186" s="960"/>
      <c r="E186" s="959"/>
      <c r="F186" s="959"/>
      <c r="G186" s="966"/>
      <c r="H186" s="966"/>
      <c r="I186" s="979"/>
      <c r="J186" s="966"/>
      <c r="K186" s="962">
        <v>0</v>
      </c>
      <c r="L186" s="962">
        <v>1</v>
      </c>
      <c r="M186" s="962">
        <v>1</v>
      </c>
      <c r="N186" s="978">
        <f t="shared" si="17"/>
        <v>2</v>
      </c>
      <c r="O186" s="980"/>
    </row>
    <row r="187" spans="1:15" ht="23.25">
      <c r="A187" s="958" t="s">
        <v>352</v>
      </c>
      <c r="B187" s="959"/>
      <c r="C187" s="959"/>
      <c r="D187" s="960"/>
      <c r="E187" s="959"/>
      <c r="F187" s="959"/>
      <c r="G187" s="966"/>
      <c r="H187" s="966"/>
      <c r="I187" s="979"/>
      <c r="J187" s="966"/>
      <c r="K187" s="962">
        <v>0</v>
      </c>
      <c r="L187" s="962">
        <v>0</v>
      </c>
      <c r="M187" s="962">
        <v>2</v>
      </c>
      <c r="N187" s="978">
        <f t="shared" si="17"/>
        <v>2</v>
      </c>
      <c r="O187" s="980"/>
    </row>
    <row r="188" spans="1:15" ht="23.25">
      <c r="A188" s="958" t="s">
        <v>318</v>
      </c>
      <c r="B188" s="959"/>
      <c r="C188" s="959"/>
      <c r="D188" s="960"/>
      <c r="E188" s="959"/>
      <c r="F188" s="959"/>
      <c r="G188" s="966"/>
      <c r="H188" s="966"/>
      <c r="I188" s="979"/>
      <c r="J188" s="966"/>
      <c r="K188" s="962">
        <v>0</v>
      </c>
      <c r="L188" s="962">
        <v>1</v>
      </c>
      <c r="M188" s="962">
        <v>1</v>
      </c>
      <c r="N188" s="978">
        <f t="shared" si="17"/>
        <v>2</v>
      </c>
      <c r="O188" s="980"/>
    </row>
    <row r="189" spans="1:15" ht="22.5">
      <c r="A189" s="962" t="s">
        <v>354</v>
      </c>
      <c r="B189" s="964"/>
      <c r="C189" s="959"/>
      <c r="D189" s="965"/>
      <c r="E189" s="964"/>
      <c r="F189" s="964"/>
      <c r="G189" s="964"/>
      <c r="H189" s="964"/>
      <c r="I189" s="964"/>
      <c r="J189" s="964"/>
      <c r="K189" s="962">
        <v>1</v>
      </c>
      <c r="L189" s="962">
        <v>0</v>
      </c>
      <c r="M189" s="962">
        <v>1</v>
      </c>
      <c r="N189" s="978">
        <f t="shared" si="17"/>
        <v>2</v>
      </c>
      <c r="O189" s="980"/>
    </row>
    <row r="190" spans="1:15" ht="23.25">
      <c r="A190" s="968" t="s">
        <v>383</v>
      </c>
      <c r="B190" s="959"/>
      <c r="C190" s="959"/>
      <c r="D190" s="960"/>
      <c r="E190" s="959"/>
      <c r="F190" s="959"/>
      <c r="G190" s="966"/>
      <c r="H190" s="966"/>
      <c r="I190" s="979"/>
      <c r="J190" s="966"/>
      <c r="K190" s="962">
        <v>1</v>
      </c>
      <c r="L190" s="962">
        <v>0</v>
      </c>
      <c r="M190" s="962">
        <v>1</v>
      </c>
      <c r="N190" s="978">
        <f t="shared" si="17"/>
        <v>2</v>
      </c>
      <c r="O190" s="980"/>
    </row>
    <row r="191" spans="1:15" ht="34.5">
      <c r="A191" s="968" t="s">
        <v>384</v>
      </c>
      <c r="B191" s="959"/>
      <c r="C191" s="959"/>
      <c r="D191" s="960"/>
      <c r="E191" s="959"/>
      <c r="F191" s="959"/>
      <c r="G191" s="966"/>
      <c r="H191" s="966"/>
      <c r="I191" s="979"/>
      <c r="J191" s="966"/>
      <c r="K191" s="962">
        <v>1</v>
      </c>
      <c r="L191" s="962">
        <v>1</v>
      </c>
      <c r="M191" s="962">
        <v>0</v>
      </c>
      <c r="N191" s="978">
        <f t="shared" si="17"/>
        <v>2</v>
      </c>
      <c r="O191" s="980"/>
    </row>
    <row r="192" spans="1:15">
      <c r="A192" s="975" t="s">
        <v>341</v>
      </c>
      <c r="B192" s="959"/>
      <c r="C192" s="959"/>
      <c r="D192" s="960"/>
      <c r="E192" s="959"/>
      <c r="F192" s="959"/>
      <c r="G192" s="966"/>
      <c r="H192" s="966"/>
      <c r="I192" s="979"/>
      <c r="J192" s="966"/>
      <c r="K192" s="962">
        <v>0</v>
      </c>
      <c r="L192" s="962">
        <v>0</v>
      </c>
      <c r="M192" s="962">
        <v>1</v>
      </c>
      <c r="N192" s="978">
        <f t="shared" si="17"/>
        <v>1</v>
      </c>
      <c r="O192" s="980"/>
    </row>
    <row r="193" spans="1:15" ht="22.5">
      <c r="A193" s="962" t="s">
        <v>343</v>
      </c>
      <c r="B193" s="964"/>
      <c r="C193" s="959"/>
      <c r="D193" s="965"/>
      <c r="E193" s="964"/>
      <c r="F193" s="964"/>
      <c r="G193" s="964"/>
      <c r="H193" s="964"/>
      <c r="I193" s="964"/>
      <c r="J193" s="964"/>
      <c r="K193" s="966">
        <v>0</v>
      </c>
      <c r="L193" s="962">
        <v>0</v>
      </c>
      <c r="M193" s="962">
        <v>0</v>
      </c>
      <c r="N193" s="978">
        <f t="shared" si="17"/>
        <v>0</v>
      </c>
      <c r="O193" s="980"/>
    </row>
    <row r="194" spans="1:15">
      <c r="G194" s="981"/>
      <c r="H194" s="981"/>
      <c r="I194" s="982"/>
      <c r="J194" s="981"/>
      <c r="K194" s="981"/>
      <c r="L194" s="981"/>
      <c r="M194" s="983"/>
      <c r="N194" s="984"/>
      <c r="O194" s="980"/>
    </row>
    <row r="195" spans="1:15">
      <c r="G195" s="981"/>
      <c r="H195" s="981"/>
      <c r="I195" s="982"/>
      <c r="J195" s="981"/>
      <c r="K195" s="981"/>
      <c r="L195" s="981"/>
      <c r="M195" s="983"/>
      <c r="N195" s="984"/>
      <c r="O195" s="980"/>
    </row>
    <row r="196" spans="1:15">
      <c r="G196" s="981"/>
      <c r="H196" s="981"/>
      <c r="I196" s="982"/>
      <c r="J196" s="981"/>
      <c r="K196" s="981"/>
      <c r="L196" s="981"/>
      <c r="M196" s="983"/>
      <c r="N196" s="984"/>
      <c r="O196" s="980"/>
    </row>
    <row r="197" spans="1:15">
      <c r="G197" s="981"/>
      <c r="H197" s="981"/>
      <c r="I197" s="982"/>
      <c r="J197" s="981"/>
      <c r="K197" s="981"/>
      <c r="L197" s="981"/>
      <c r="M197" s="983"/>
      <c r="N197" s="984"/>
      <c r="O197" s="980"/>
    </row>
    <row r="198" spans="1:15">
      <c r="G198" s="981"/>
      <c r="H198" s="981"/>
      <c r="I198" s="982"/>
      <c r="J198" s="981"/>
      <c r="K198" s="981"/>
      <c r="L198" s="981"/>
      <c r="M198" s="983"/>
      <c r="N198" s="984"/>
      <c r="O198" s="980"/>
    </row>
    <row r="199" spans="1:15">
      <c r="G199" s="981"/>
      <c r="H199" s="981"/>
      <c r="I199" s="982"/>
      <c r="J199" s="981"/>
      <c r="K199" s="981"/>
      <c r="L199" s="981"/>
      <c r="M199" s="983"/>
      <c r="N199" s="984"/>
      <c r="O199" s="980"/>
    </row>
    <row r="200" spans="1:15">
      <c r="G200" s="981"/>
      <c r="H200" s="981"/>
      <c r="I200" s="982"/>
      <c r="J200" s="981"/>
      <c r="K200" s="981"/>
      <c r="L200" s="981"/>
      <c r="M200" s="983"/>
      <c r="N200" s="984"/>
      <c r="O200" s="980"/>
    </row>
  </sheetData>
  <mergeCells count="7">
    <mergeCell ref="S45:AE45"/>
    <mergeCell ref="S21:AG21"/>
    <mergeCell ref="A4:C4"/>
    <mergeCell ref="S23:AE23"/>
    <mergeCell ref="S26:AE26"/>
    <mergeCell ref="S31:AE31"/>
    <mergeCell ref="S37:AE37"/>
  </mergeCells>
  <conditionalFormatting sqref="A23:A33 A35:A93">
    <cfRule type="expression" dxfId="6" priority="40" stopIfTrue="1">
      <formula>AND(COUNTIF($A$23:$A$33, A23)+COUNTIF($A$35:$A$93, A23)&gt;1,NOT(ISBLANK(A23)))</formula>
    </cfRule>
  </conditionalFormatting>
  <conditionalFormatting sqref="A23:A98">
    <cfRule type="duplicateValues" dxfId="5" priority="43" stopIfTrue="1"/>
  </conditionalFormatting>
  <conditionalFormatting sqref="A114:A115">
    <cfRule type="duplicateValues" dxfId="4" priority="44" stopIfTrue="1"/>
  </conditionalFormatting>
  <conditionalFormatting sqref="A118:A128 A130:A188">
    <cfRule type="expression" dxfId="3" priority="3" stopIfTrue="1">
      <formula>AND(COUNTIF($A$23:$A$33, A118)+COUNTIF($A$35:$A$93, A118)&gt;1,NOT(ISBLANK(A118)))</formula>
    </cfRule>
  </conditionalFormatting>
  <conditionalFormatting sqref="A118:A193">
    <cfRule type="duplicateValues" dxfId="2" priority="4" stopIfTrue="1"/>
  </conditionalFormatting>
  <conditionalFormatting sqref="A105:A113">
    <cfRule type="expression" dxfId="1" priority="1" stopIfTrue="1">
      <formula>AND(COUNTIF($A$23:$A$33, A105)+COUNTIF($A$35:$A$93, A105)&gt;1,NOT(ISBLANK(A105)))</formula>
    </cfRule>
  </conditionalFormatting>
  <conditionalFormatting sqref="A105:A113">
    <cfRule type="duplicateValues" dxfId="0" priority="2" stopIfTrue="1"/>
  </conditionalFormatting>
  <pageMargins left="0.511811024" right="0.511811024" top="0.78740157499999996" bottom="0.78740157499999996" header="0.31496062000000002" footer="0.31496062000000002"/>
  <pageSetup paperSize="9" orientation="portrait" horizontalDpi="300" verticalDpi="300" r:id="rId1"/>
  <ignoredErrors>
    <ignoredError sqref="AB39 X39:AA39 T39:W39 M99 K99 AD39:AE39" formulaRange="1"/>
    <ignoredError sqref="AF27 AF33:AG33 AF39:AG39 AF47:AG47 O99" formula="1"/>
    <ignoredError sqref="L99" formula="1" formulaRange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opLeftCell="C2" workbookViewId="0">
      <selection activeCell="K12" sqref="K12"/>
    </sheetView>
  </sheetViews>
  <sheetFormatPr defaultColWidth="9.140625" defaultRowHeight="15"/>
  <cols>
    <col min="1" max="1" width="55.7109375" hidden="1" customWidth="1"/>
    <col min="2" max="2" width="19.85546875" hidden="1" customWidth="1"/>
  </cols>
  <sheetData>
    <row r="1" spans="1:17" s="362" customFormat="1">
      <c r="A1" s="51" t="s">
        <v>0</v>
      </c>
    </row>
    <row r="2" spans="1:17" s="362" customFormat="1">
      <c r="A2" s="5" t="s">
        <v>1</v>
      </c>
    </row>
    <row r="3" spans="1:17">
      <c r="A3" s="29"/>
      <c r="B3" s="362"/>
      <c r="C3" s="362"/>
      <c r="D3" s="362"/>
      <c r="E3" s="362"/>
      <c r="F3" s="362"/>
      <c r="G3" s="362"/>
      <c r="H3" s="362"/>
      <c r="I3" s="362"/>
      <c r="J3" s="362"/>
      <c r="K3" s="362"/>
      <c r="L3" s="362"/>
      <c r="M3" s="362"/>
      <c r="N3" s="362"/>
      <c r="O3" s="362"/>
      <c r="P3" s="362"/>
      <c r="Q3" s="362"/>
    </row>
    <row r="4" spans="1:17">
      <c r="A4" s="363" t="s">
        <v>266</v>
      </c>
      <c r="B4" s="364" t="s">
        <v>265</v>
      </c>
      <c r="C4" s="362"/>
      <c r="D4" s="362"/>
      <c r="E4" s="362"/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</row>
    <row r="5" spans="1:17" ht="15.75" thickBot="1">
      <c r="A5" s="365" t="s">
        <v>257</v>
      </c>
      <c r="B5" s="366">
        <v>135</v>
      </c>
      <c r="C5" s="362"/>
      <c r="D5" s="362"/>
      <c r="E5" s="362"/>
      <c r="F5" s="362"/>
      <c r="G5" s="362"/>
      <c r="H5" s="362"/>
      <c r="I5" s="362"/>
      <c r="J5" s="362"/>
      <c r="K5" s="362"/>
      <c r="L5" s="362"/>
      <c r="M5" s="362"/>
      <c r="N5" s="362"/>
      <c r="O5" s="362"/>
      <c r="P5" s="362"/>
      <c r="Q5" s="362"/>
    </row>
    <row r="6" spans="1:17" ht="45.75" thickBot="1">
      <c r="A6" s="365" t="s">
        <v>258</v>
      </c>
      <c r="B6" s="366">
        <v>58</v>
      </c>
      <c r="C6" s="362"/>
      <c r="D6" s="362"/>
      <c r="E6" s="362"/>
      <c r="F6" s="362"/>
      <c r="G6" s="362"/>
      <c r="H6" s="362"/>
      <c r="I6" s="362"/>
      <c r="J6" s="362"/>
      <c r="K6" s="362"/>
      <c r="L6" s="362"/>
      <c r="M6" s="362"/>
      <c r="N6" s="362"/>
      <c r="O6" s="362"/>
      <c r="P6" s="362"/>
      <c r="Q6" s="362"/>
    </row>
    <row r="7" spans="1:17" ht="45.75" thickBot="1">
      <c r="A7" s="367" t="s">
        <v>259</v>
      </c>
      <c r="B7" s="366">
        <v>281</v>
      </c>
      <c r="C7" s="362"/>
      <c r="D7" s="362"/>
      <c r="E7" s="362"/>
      <c r="F7" s="362"/>
      <c r="G7" s="362"/>
      <c r="H7" s="362"/>
      <c r="I7" s="362"/>
      <c r="J7" s="362"/>
      <c r="K7" s="362"/>
      <c r="L7" s="362"/>
      <c r="M7" s="362"/>
      <c r="N7" s="362"/>
      <c r="O7" s="362"/>
      <c r="P7" s="362"/>
      <c r="Q7" s="362"/>
    </row>
    <row r="8" spans="1:17" ht="15.75" thickBot="1">
      <c r="A8" s="365" t="s">
        <v>260</v>
      </c>
      <c r="B8" s="366">
        <v>106</v>
      </c>
      <c r="C8" s="362"/>
      <c r="D8" s="362"/>
      <c r="E8" s="362"/>
      <c r="F8" s="362"/>
      <c r="G8" s="362"/>
      <c r="H8" s="362"/>
      <c r="I8" s="362"/>
      <c r="J8" s="362"/>
      <c r="K8" s="362"/>
      <c r="L8" s="362"/>
      <c r="M8" s="362"/>
      <c r="N8" s="362"/>
      <c r="O8" s="362"/>
      <c r="P8" s="362"/>
      <c r="Q8" s="362"/>
    </row>
    <row r="9" spans="1:17" ht="15.75" thickBot="1">
      <c r="A9" s="365" t="s">
        <v>261</v>
      </c>
      <c r="B9" s="366">
        <v>4</v>
      </c>
      <c r="C9" s="362"/>
      <c r="D9" s="362"/>
      <c r="E9" s="362"/>
      <c r="F9" s="362"/>
      <c r="G9" s="362"/>
      <c r="H9" s="362"/>
      <c r="I9" s="362"/>
      <c r="J9" s="362"/>
      <c r="K9" s="362"/>
      <c r="L9" s="362"/>
      <c r="M9" s="362"/>
      <c r="N9" s="362"/>
      <c r="O9" s="362"/>
      <c r="P9" s="362"/>
      <c r="Q9" s="362"/>
    </row>
    <row r="10" spans="1:17" ht="15.75" thickBot="1">
      <c r="A10" s="365" t="s">
        <v>262</v>
      </c>
      <c r="B10" s="366">
        <v>257</v>
      </c>
      <c r="C10" s="362"/>
      <c r="D10" s="362"/>
      <c r="E10" s="362"/>
      <c r="F10" s="362"/>
      <c r="G10" s="362"/>
      <c r="H10" s="362"/>
      <c r="I10" s="362"/>
      <c r="J10" s="362"/>
      <c r="K10" s="362"/>
      <c r="L10" s="362"/>
      <c r="M10" s="362"/>
      <c r="N10" s="362"/>
      <c r="O10" s="362"/>
      <c r="P10" s="362"/>
      <c r="Q10" s="362"/>
    </row>
    <row r="11" spans="1:17" ht="15.75" thickBot="1">
      <c r="A11" s="365" t="s">
        <v>263</v>
      </c>
      <c r="B11" s="366">
        <v>72</v>
      </c>
      <c r="C11" s="362"/>
      <c r="D11" s="362"/>
      <c r="E11" s="362"/>
      <c r="F11" s="362"/>
      <c r="G11" s="362"/>
      <c r="H11" s="362"/>
      <c r="I11" s="362"/>
      <c r="J11" s="362"/>
      <c r="K11" s="362"/>
      <c r="L11" s="362"/>
      <c r="M11" s="362"/>
      <c r="N11" s="362"/>
      <c r="O11" s="362"/>
      <c r="P11" s="362"/>
      <c r="Q11" s="362"/>
    </row>
    <row r="12" spans="1:17" ht="30.75" thickBot="1">
      <c r="A12" s="368" t="s">
        <v>264</v>
      </c>
      <c r="B12" s="366">
        <v>42</v>
      </c>
      <c r="C12" s="362"/>
      <c r="D12" s="362"/>
      <c r="E12" s="362"/>
      <c r="F12" s="362"/>
      <c r="G12" s="362"/>
      <c r="H12" s="362"/>
      <c r="I12" s="362"/>
      <c r="J12" s="362"/>
      <c r="K12" s="362"/>
      <c r="L12" s="362"/>
      <c r="M12" s="362"/>
      <c r="N12" s="362"/>
      <c r="O12" s="362"/>
      <c r="P12" s="362"/>
      <c r="Q12" s="362"/>
    </row>
    <row r="13" spans="1:17">
      <c r="A13" s="369" t="s">
        <v>16</v>
      </c>
      <c r="B13" s="370">
        <f>SUM(B5:B12)</f>
        <v>955</v>
      </c>
      <c r="C13" s="362"/>
      <c r="D13" s="362"/>
      <c r="E13" s="362"/>
      <c r="F13" s="362"/>
      <c r="G13" s="362"/>
      <c r="H13" s="362"/>
      <c r="I13" s="362"/>
      <c r="J13" s="362"/>
      <c r="K13" s="362"/>
      <c r="L13" s="362"/>
      <c r="M13" s="362"/>
      <c r="N13" s="362"/>
      <c r="O13" s="362"/>
      <c r="P13" s="362"/>
      <c r="Q13" s="362"/>
    </row>
    <row r="14" spans="1:17">
      <c r="A14" s="362"/>
      <c r="B14" s="362"/>
      <c r="C14" s="362"/>
      <c r="D14" s="362"/>
      <c r="E14" s="362"/>
      <c r="F14" s="362"/>
      <c r="G14" s="362"/>
      <c r="H14" s="362"/>
      <c r="I14" s="362"/>
      <c r="J14" s="362"/>
      <c r="K14" s="362"/>
      <c r="L14" s="362"/>
      <c r="M14" s="362"/>
      <c r="N14" s="362"/>
      <c r="O14" s="362"/>
      <c r="P14" s="362"/>
      <c r="Q14" s="362"/>
    </row>
    <row r="15" spans="1:17">
      <c r="A15" s="362"/>
      <c r="B15" s="362"/>
      <c r="C15" s="362"/>
      <c r="D15" s="362"/>
      <c r="E15" s="362"/>
      <c r="F15" s="362"/>
      <c r="G15" s="362"/>
      <c r="H15" s="362"/>
      <c r="I15" s="362"/>
      <c r="J15" s="362"/>
      <c r="K15" s="362"/>
      <c r="L15" s="362"/>
      <c r="M15" s="362"/>
      <c r="N15" s="362"/>
      <c r="O15" s="362"/>
      <c r="P15" s="362"/>
      <c r="Q15" s="362"/>
    </row>
    <row r="16" spans="1:17">
      <c r="A16" s="29"/>
      <c r="B16" s="362"/>
      <c r="C16" s="362"/>
      <c r="D16" s="362"/>
      <c r="E16" s="362"/>
      <c r="F16" s="362"/>
      <c r="G16" s="362"/>
      <c r="H16" s="362"/>
      <c r="I16" s="362"/>
      <c r="J16" s="362"/>
      <c r="K16" s="362"/>
      <c r="L16" s="362"/>
      <c r="M16" s="362"/>
      <c r="N16" s="362"/>
      <c r="O16" s="362"/>
      <c r="P16" s="362"/>
      <c r="Q16" s="362"/>
    </row>
    <row r="17" spans="1:17">
      <c r="A17" s="29"/>
      <c r="B17" s="362"/>
      <c r="C17" s="362"/>
      <c r="D17" s="362"/>
      <c r="E17" s="362"/>
      <c r="F17" s="362"/>
      <c r="G17" s="362"/>
      <c r="H17" s="362"/>
      <c r="I17" s="362"/>
      <c r="J17" s="362"/>
      <c r="K17" s="362"/>
      <c r="L17" s="362"/>
      <c r="M17" s="362"/>
      <c r="N17" s="362"/>
      <c r="O17" s="362"/>
      <c r="P17" s="362"/>
      <c r="Q17" s="362"/>
    </row>
    <row r="18" spans="1:17">
      <c r="A18" s="29"/>
      <c r="B18" s="362"/>
      <c r="C18" s="362"/>
      <c r="D18" s="362"/>
      <c r="E18" s="362"/>
      <c r="F18" s="362"/>
      <c r="G18" s="362"/>
      <c r="H18" s="362"/>
      <c r="I18" s="362"/>
      <c r="J18" s="362"/>
      <c r="K18" s="362"/>
      <c r="L18" s="362"/>
      <c r="M18" s="362"/>
      <c r="N18" s="362"/>
      <c r="O18" s="362"/>
      <c r="P18" s="362"/>
      <c r="Q18" s="362"/>
    </row>
    <row r="19" spans="1:17">
      <c r="A19" s="29"/>
      <c r="B19" s="362"/>
      <c r="C19" s="362"/>
      <c r="D19" s="362"/>
      <c r="E19" s="362"/>
      <c r="F19" s="362"/>
      <c r="G19" s="362"/>
      <c r="H19" s="362"/>
      <c r="I19" s="362"/>
      <c r="J19" s="362"/>
      <c r="K19" s="362"/>
      <c r="L19" s="362"/>
      <c r="M19" s="362"/>
      <c r="N19" s="362"/>
      <c r="O19" s="362"/>
      <c r="P19" s="362"/>
      <c r="Q19" s="362"/>
    </row>
  </sheetData>
  <pageMargins left="0.511811024" right="0.511811024" top="0.78740157499999996" bottom="0.78740157499999996" header="0.31496062000000002" footer="0.3149606200000000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workbookViewId="0"/>
  </sheetViews>
  <sheetFormatPr defaultRowHeight="15"/>
  <cols>
    <col min="1" max="1" width="28.7109375" style="112" customWidth="1"/>
    <col min="2" max="2" width="35.28515625" customWidth="1"/>
    <col min="3" max="3" width="11.42578125" bestFit="1" customWidth="1"/>
  </cols>
  <sheetData>
    <row r="1" spans="1:20" s="386" customFormat="1">
      <c r="A1" s="51" t="s">
        <v>0</v>
      </c>
      <c r="D1" s="831"/>
      <c r="E1" s="831"/>
      <c r="F1" s="831"/>
      <c r="G1" s="831"/>
      <c r="H1" s="831"/>
      <c r="I1" s="831"/>
      <c r="J1" s="831"/>
      <c r="K1" s="831"/>
      <c r="L1" s="831"/>
      <c r="M1" s="831"/>
      <c r="N1" s="831"/>
      <c r="O1" s="831"/>
      <c r="P1" s="831"/>
      <c r="Q1" s="831"/>
      <c r="R1" s="831"/>
      <c r="S1" s="831"/>
      <c r="T1" s="831"/>
    </row>
    <row r="2" spans="1:20" s="371" customFormat="1">
      <c r="A2" s="5" t="s">
        <v>1</v>
      </c>
      <c r="D2" s="831"/>
      <c r="E2" s="831"/>
      <c r="F2" s="831"/>
      <c r="G2" s="831"/>
      <c r="H2" s="831"/>
      <c r="I2" s="831"/>
      <c r="J2" s="831"/>
      <c r="K2" s="831"/>
      <c r="L2" s="831"/>
      <c r="M2" s="831"/>
      <c r="N2" s="831"/>
      <c r="O2" s="831"/>
      <c r="P2" s="831"/>
      <c r="Q2" s="831"/>
      <c r="R2" s="831"/>
      <c r="S2" s="831"/>
      <c r="T2" s="831"/>
    </row>
    <row r="3" spans="1:20" s="371" customFormat="1" ht="9.75" customHeight="1" thickBot="1">
      <c r="A3" s="112"/>
      <c r="D3" s="831"/>
      <c r="E3" s="831"/>
      <c r="F3" s="831"/>
      <c r="G3" s="831"/>
      <c r="H3" s="831"/>
      <c r="I3" s="831"/>
      <c r="J3" s="831"/>
      <c r="K3" s="831"/>
      <c r="L3" s="831"/>
      <c r="M3" s="831"/>
      <c r="N3" s="831"/>
      <c r="O3" s="831"/>
      <c r="P3" s="831"/>
      <c r="Q3" s="831"/>
      <c r="R3" s="831"/>
      <c r="S3" s="831"/>
      <c r="T3" s="831"/>
    </row>
    <row r="4" spans="1:20" ht="15.75" thickBot="1">
      <c r="A4" s="401" t="s">
        <v>268</v>
      </c>
      <c r="B4" s="402" t="s">
        <v>269</v>
      </c>
      <c r="C4" s="403" t="s">
        <v>265</v>
      </c>
      <c r="D4" s="831"/>
      <c r="E4" s="831"/>
      <c r="F4" s="831"/>
      <c r="G4" s="831"/>
      <c r="H4" s="831"/>
      <c r="I4" s="831"/>
      <c r="J4" s="831"/>
      <c r="K4" s="831"/>
      <c r="L4" s="831"/>
      <c r="M4" s="831"/>
      <c r="N4" s="831"/>
      <c r="O4" s="831"/>
      <c r="P4" s="831"/>
      <c r="Q4" s="831"/>
      <c r="R4" s="831"/>
      <c r="S4" s="831"/>
      <c r="T4" s="831"/>
    </row>
    <row r="5" spans="1:20">
      <c r="A5" s="926" t="s">
        <v>267</v>
      </c>
      <c r="B5" s="927" t="s">
        <v>261</v>
      </c>
      <c r="C5" s="928">
        <v>0</v>
      </c>
      <c r="D5" s="831"/>
      <c r="E5" s="831"/>
      <c r="F5" s="831"/>
      <c r="G5" s="831"/>
      <c r="H5" s="831"/>
      <c r="I5" s="831"/>
      <c r="J5" s="831"/>
      <c r="K5" s="831"/>
      <c r="L5" s="831"/>
      <c r="M5" s="831"/>
      <c r="N5" s="831"/>
      <c r="O5" s="831"/>
      <c r="P5" s="831"/>
      <c r="Q5" s="831"/>
      <c r="R5" s="831"/>
      <c r="S5" s="831"/>
      <c r="T5" s="831"/>
    </row>
    <row r="6" spans="1:20">
      <c r="A6" s="923" t="s">
        <v>270</v>
      </c>
      <c r="B6" s="924" t="s">
        <v>260</v>
      </c>
      <c r="C6" s="925">
        <v>11</v>
      </c>
      <c r="D6" s="831"/>
      <c r="E6" s="831"/>
      <c r="F6" s="831"/>
      <c r="G6" s="831"/>
      <c r="H6" s="831"/>
      <c r="I6" s="831"/>
      <c r="J6" s="831"/>
      <c r="K6" s="831"/>
      <c r="L6" s="831"/>
      <c r="M6" s="831"/>
      <c r="N6" s="831"/>
      <c r="O6" s="831"/>
      <c r="P6" s="831"/>
      <c r="Q6" s="831"/>
      <c r="R6" s="831"/>
      <c r="S6" s="831"/>
      <c r="T6" s="831"/>
    </row>
    <row r="7" spans="1:20">
      <c r="A7" s="376" t="s">
        <v>209</v>
      </c>
      <c r="B7" s="372" t="s">
        <v>262</v>
      </c>
      <c r="C7" s="374">
        <v>0</v>
      </c>
      <c r="D7" s="831"/>
      <c r="E7" s="831"/>
      <c r="F7" s="831"/>
      <c r="G7" s="831"/>
      <c r="H7" s="831"/>
      <c r="I7" s="831"/>
      <c r="J7" s="831"/>
      <c r="K7" s="831"/>
      <c r="L7" s="831"/>
      <c r="M7" s="831"/>
      <c r="N7" s="831"/>
      <c r="O7" s="831"/>
      <c r="P7" s="831"/>
      <c r="Q7" s="831"/>
      <c r="R7" s="831"/>
      <c r="S7" s="831"/>
      <c r="T7" s="831"/>
    </row>
    <row r="8" spans="1:20">
      <c r="A8" s="923" t="s">
        <v>263</v>
      </c>
      <c r="B8" s="924" t="s">
        <v>263</v>
      </c>
      <c r="C8" s="925">
        <v>5</v>
      </c>
      <c r="D8" s="831"/>
      <c r="E8" s="831"/>
      <c r="F8" s="831"/>
      <c r="G8" s="831"/>
      <c r="H8" s="831"/>
      <c r="I8" s="831"/>
      <c r="J8" s="831"/>
      <c r="K8" s="831"/>
      <c r="L8" s="831"/>
      <c r="M8" s="831"/>
      <c r="N8" s="831"/>
      <c r="O8" s="831"/>
      <c r="P8" s="831"/>
      <c r="Q8" s="831"/>
      <c r="R8" s="831"/>
      <c r="S8" s="831"/>
      <c r="T8" s="831"/>
    </row>
    <row r="9" spans="1:20" ht="45.75" thickBot="1">
      <c r="A9" s="377" t="s">
        <v>205</v>
      </c>
      <c r="B9" s="373" t="s">
        <v>264</v>
      </c>
      <c r="C9" s="375">
        <v>0</v>
      </c>
      <c r="D9" s="831"/>
      <c r="E9" s="831"/>
      <c r="F9" s="831"/>
      <c r="G9" s="831"/>
      <c r="H9" s="831"/>
      <c r="I9" s="831"/>
      <c r="J9" s="831"/>
      <c r="K9" s="831"/>
      <c r="L9" s="831"/>
      <c r="M9" s="831"/>
      <c r="N9" s="831"/>
      <c r="O9" s="831"/>
      <c r="P9" s="831"/>
      <c r="Q9" s="831"/>
      <c r="R9" s="831"/>
      <c r="S9" s="831"/>
      <c r="T9" s="831"/>
    </row>
    <row r="10" spans="1:20" ht="15.75" thickBot="1">
      <c r="A10" s="378"/>
      <c r="B10" s="404" t="s">
        <v>16</v>
      </c>
      <c r="C10" s="405">
        <f>SUM(C5:C9)</f>
        <v>16</v>
      </c>
      <c r="D10" s="831"/>
      <c r="E10" s="831"/>
      <c r="F10" s="831"/>
      <c r="G10" s="831"/>
      <c r="H10" s="831"/>
      <c r="I10" s="831"/>
      <c r="J10" s="831"/>
      <c r="K10" s="831"/>
      <c r="L10" s="831"/>
      <c r="M10" s="831"/>
      <c r="N10" s="831"/>
      <c r="O10" s="831"/>
      <c r="P10" s="831"/>
      <c r="Q10" s="831"/>
      <c r="R10" s="831"/>
      <c r="S10" s="831"/>
      <c r="T10" s="831"/>
    </row>
    <row r="11" spans="1:20">
      <c r="A11" s="830"/>
      <c r="B11" s="831"/>
      <c r="C11" s="831"/>
      <c r="D11" s="831"/>
      <c r="E11" s="831"/>
      <c r="F11" s="831"/>
      <c r="G11" s="831"/>
      <c r="H11" s="831"/>
      <c r="I11" s="831"/>
      <c r="J11" s="831"/>
      <c r="K11" s="831"/>
      <c r="L11" s="831"/>
      <c r="M11" s="831"/>
      <c r="N11" s="831"/>
      <c r="O11" s="831"/>
      <c r="P11" s="831"/>
      <c r="Q11" s="831"/>
      <c r="R11" s="831"/>
      <c r="S11" s="831"/>
      <c r="T11" s="831"/>
    </row>
    <row r="12" spans="1:20">
      <c r="A12" s="830"/>
      <c r="B12" s="831"/>
      <c r="C12" s="831"/>
      <c r="D12" s="831"/>
      <c r="E12" s="831"/>
      <c r="F12" s="831"/>
      <c r="G12" s="831"/>
      <c r="H12" s="831"/>
      <c r="I12" s="831"/>
      <c r="J12" s="831"/>
      <c r="K12" s="831"/>
      <c r="L12" s="831"/>
      <c r="M12" s="831"/>
      <c r="N12" s="831"/>
      <c r="O12" s="831"/>
      <c r="P12" s="831"/>
      <c r="Q12" s="831"/>
      <c r="R12" s="831"/>
      <c r="S12" s="831"/>
      <c r="T12" s="831"/>
    </row>
    <row r="13" spans="1:20">
      <c r="A13" s="830"/>
      <c r="B13" s="831"/>
      <c r="C13" s="831"/>
      <c r="D13" s="831"/>
      <c r="E13" s="831"/>
      <c r="F13" s="831"/>
      <c r="G13" s="831"/>
      <c r="H13" s="831"/>
      <c r="I13" s="831"/>
      <c r="J13" s="831"/>
      <c r="K13" s="831"/>
      <c r="L13" s="831"/>
      <c r="M13" s="831"/>
      <c r="N13" s="831"/>
      <c r="O13" s="831"/>
      <c r="P13" s="831"/>
      <c r="Q13" s="831"/>
      <c r="R13" s="831"/>
    </row>
    <row r="14" spans="1:20">
      <c r="A14" s="830"/>
      <c r="B14" s="831"/>
      <c r="C14" s="831"/>
      <c r="D14" s="831"/>
      <c r="E14" s="831"/>
      <c r="F14" s="831"/>
      <c r="G14" s="831"/>
      <c r="H14" s="831"/>
      <c r="I14" s="831"/>
      <c r="J14" s="831"/>
      <c r="K14" s="831"/>
      <c r="L14" s="831"/>
      <c r="M14" s="831"/>
      <c r="N14" s="831"/>
      <c r="O14" s="831"/>
      <c r="P14" s="831"/>
      <c r="Q14" s="831"/>
      <c r="R14" s="831"/>
    </row>
    <row r="15" spans="1:20">
      <c r="A15" s="830"/>
      <c r="B15" s="831"/>
      <c r="C15" s="831"/>
      <c r="D15" s="831"/>
      <c r="E15" s="831"/>
      <c r="F15" s="831"/>
      <c r="G15" s="831"/>
      <c r="H15" s="831"/>
      <c r="I15" s="831"/>
      <c r="J15" s="831"/>
      <c r="K15" s="831"/>
      <c r="L15" s="831"/>
      <c r="M15" s="831"/>
      <c r="N15" s="831"/>
      <c r="O15" s="831"/>
      <c r="P15" s="831"/>
      <c r="Q15" s="831"/>
      <c r="R15" s="831"/>
    </row>
    <row r="16" spans="1:20">
      <c r="A16" s="830"/>
      <c r="B16" s="831"/>
      <c r="C16" s="831"/>
      <c r="D16" s="831"/>
      <c r="E16" s="831"/>
      <c r="F16" s="831"/>
      <c r="G16" s="831"/>
      <c r="H16" s="831"/>
      <c r="I16" s="831"/>
      <c r="J16" s="831"/>
      <c r="K16" s="831"/>
      <c r="L16" s="831"/>
      <c r="M16" s="831"/>
      <c r="N16" s="831"/>
      <c r="O16" s="831"/>
      <c r="P16" s="831"/>
      <c r="Q16" s="831"/>
      <c r="R16" s="831"/>
    </row>
    <row r="17" spans="1:18">
      <c r="A17" s="830"/>
      <c r="B17" s="831"/>
      <c r="C17" s="831"/>
      <c r="D17" s="831"/>
      <c r="E17" s="831"/>
      <c r="F17" s="831"/>
      <c r="G17" s="831"/>
      <c r="H17" s="831"/>
      <c r="I17" s="831"/>
      <c r="J17" s="831"/>
      <c r="K17" s="831"/>
      <c r="L17" s="831"/>
      <c r="M17" s="831"/>
      <c r="N17" s="831"/>
      <c r="O17" s="831"/>
      <c r="P17" s="831"/>
      <c r="Q17" s="831"/>
      <c r="R17" s="831"/>
    </row>
    <row r="18" spans="1:18">
      <c r="A18" s="830"/>
      <c r="B18" s="831"/>
      <c r="C18" s="831"/>
      <c r="D18" s="831"/>
      <c r="E18" s="831"/>
      <c r="F18" s="831"/>
      <c r="G18" s="831"/>
      <c r="H18" s="831"/>
      <c r="I18" s="831"/>
      <c r="J18" s="831"/>
      <c r="K18" s="831"/>
      <c r="L18" s="831"/>
      <c r="M18" s="831"/>
      <c r="N18" s="831"/>
      <c r="O18" s="831"/>
      <c r="P18" s="831"/>
      <c r="Q18" s="831"/>
      <c r="R18" s="831"/>
    </row>
    <row r="19" spans="1:18">
      <c r="A19" s="830"/>
      <c r="B19" s="831"/>
      <c r="C19" s="831"/>
      <c r="D19" s="831"/>
      <c r="E19" s="831"/>
      <c r="F19" s="831"/>
      <c r="G19" s="831"/>
      <c r="H19" s="831"/>
      <c r="I19" s="831"/>
      <c r="J19" s="831"/>
      <c r="K19" s="831"/>
      <c r="L19" s="831"/>
      <c r="M19" s="831"/>
      <c r="N19" s="831"/>
      <c r="O19" s="831"/>
      <c r="P19" s="831"/>
      <c r="Q19" s="831"/>
      <c r="R19" s="831"/>
    </row>
    <row r="20" spans="1:18">
      <c r="A20" s="830"/>
      <c r="B20" s="831"/>
      <c r="C20" s="831"/>
      <c r="D20" s="831"/>
      <c r="E20" s="831"/>
      <c r="F20" s="831"/>
      <c r="G20" s="831"/>
      <c r="H20" s="831"/>
      <c r="I20" s="831"/>
      <c r="J20" s="831"/>
      <c r="K20" s="831"/>
      <c r="L20" s="831"/>
      <c r="M20" s="831"/>
      <c r="N20" s="831"/>
      <c r="O20" s="831"/>
      <c r="P20" s="831"/>
      <c r="Q20" s="831"/>
      <c r="R20" s="831"/>
    </row>
    <row r="21" spans="1:18">
      <c r="A21" s="830"/>
      <c r="B21" s="831"/>
      <c r="C21" s="831"/>
      <c r="D21" s="831"/>
      <c r="E21" s="831"/>
      <c r="F21" s="831"/>
      <c r="G21" s="831"/>
      <c r="H21" s="831"/>
      <c r="I21" s="831"/>
      <c r="J21" s="831"/>
      <c r="K21" s="831"/>
      <c r="L21" s="831"/>
      <c r="M21" s="831"/>
      <c r="N21" s="831"/>
      <c r="O21" s="831"/>
      <c r="P21" s="831"/>
      <c r="Q21" s="831"/>
      <c r="R21" s="831"/>
    </row>
    <row r="22" spans="1:18">
      <c r="A22" s="830"/>
      <c r="B22" s="831"/>
      <c r="C22" s="831"/>
      <c r="D22" s="831"/>
      <c r="E22" s="831"/>
      <c r="F22" s="831"/>
      <c r="G22" s="831"/>
      <c r="H22" s="831"/>
      <c r="I22" s="831"/>
      <c r="J22" s="831"/>
      <c r="K22" s="831"/>
      <c r="L22" s="831"/>
      <c r="M22" s="831"/>
      <c r="N22" s="831"/>
      <c r="O22" s="831"/>
      <c r="P22" s="831"/>
      <c r="Q22" s="831"/>
      <c r="R22" s="831"/>
    </row>
    <row r="23" spans="1:18">
      <c r="A23" s="830"/>
      <c r="B23" s="831"/>
      <c r="C23" s="831"/>
      <c r="D23" s="831"/>
      <c r="E23" s="831"/>
      <c r="F23" s="831"/>
      <c r="G23" s="831"/>
      <c r="H23" s="831"/>
      <c r="I23" s="831"/>
      <c r="J23" s="831"/>
      <c r="K23" s="831"/>
      <c r="L23" s="831"/>
      <c r="M23" s="831"/>
      <c r="N23" s="831"/>
      <c r="O23" s="831"/>
      <c r="P23" s="831"/>
      <c r="Q23" s="831"/>
      <c r="R23" s="831"/>
    </row>
    <row r="24" spans="1:18">
      <c r="A24" s="830"/>
      <c r="B24" s="831"/>
      <c r="C24" s="831"/>
      <c r="D24" s="831"/>
      <c r="E24" s="831"/>
      <c r="F24" s="831"/>
      <c r="G24" s="831"/>
      <c r="H24" s="831"/>
      <c r="I24" s="831"/>
      <c r="J24" s="831"/>
      <c r="K24" s="831"/>
      <c r="L24" s="831"/>
      <c r="M24" s="831"/>
      <c r="N24" s="831"/>
      <c r="O24" s="831"/>
      <c r="P24" s="831"/>
      <c r="Q24" s="831"/>
      <c r="R24" s="831"/>
    </row>
    <row r="25" spans="1:18">
      <c r="A25" s="830"/>
      <c r="B25" s="831"/>
      <c r="C25" s="831"/>
      <c r="D25" s="831"/>
      <c r="E25" s="831"/>
      <c r="F25" s="831"/>
      <c r="G25" s="831"/>
      <c r="H25" s="831"/>
      <c r="I25" s="831"/>
      <c r="J25" s="831"/>
      <c r="K25" s="831"/>
      <c r="L25" s="831"/>
      <c r="M25" s="831"/>
      <c r="N25" s="831"/>
      <c r="O25" s="831"/>
      <c r="P25" s="831"/>
      <c r="Q25" s="831"/>
      <c r="R25" s="831"/>
    </row>
    <row r="26" spans="1:18">
      <c r="A26" s="830"/>
      <c r="B26" s="831"/>
      <c r="C26" s="831"/>
      <c r="D26" s="831"/>
      <c r="E26" s="831"/>
      <c r="F26" s="831"/>
      <c r="G26" s="831"/>
      <c r="H26" s="831"/>
      <c r="I26" s="831"/>
      <c r="J26" s="831"/>
      <c r="K26" s="831"/>
      <c r="L26" s="831"/>
      <c r="M26" s="831"/>
      <c r="N26" s="831"/>
      <c r="O26" s="831"/>
      <c r="P26" s="831"/>
      <c r="Q26" s="831"/>
      <c r="R26" s="831"/>
    </row>
    <row r="27" spans="1:18">
      <c r="A27" s="830"/>
      <c r="B27" s="831"/>
      <c r="C27" s="831"/>
      <c r="D27" s="831"/>
      <c r="E27" s="831"/>
      <c r="F27" s="831"/>
      <c r="G27" s="831"/>
      <c r="H27" s="831"/>
      <c r="I27" s="831"/>
      <c r="J27" s="831"/>
      <c r="K27" s="831"/>
      <c r="L27" s="831"/>
      <c r="M27" s="831"/>
      <c r="N27" s="831"/>
      <c r="O27" s="831"/>
      <c r="P27" s="831"/>
      <c r="Q27" s="831"/>
      <c r="R27" s="831"/>
    </row>
    <row r="28" spans="1:18">
      <c r="A28" s="830"/>
      <c r="B28" s="831"/>
      <c r="C28" s="831"/>
      <c r="D28" s="831"/>
      <c r="E28" s="831"/>
      <c r="F28" s="831"/>
      <c r="G28" s="831"/>
      <c r="H28" s="831"/>
      <c r="I28" s="831"/>
      <c r="J28" s="831"/>
      <c r="K28" s="831"/>
      <c r="L28" s="831"/>
      <c r="M28" s="831"/>
      <c r="N28" s="831"/>
      <c r="O28" s="831"/>
      <c r="P28" s="831"/>
      <c r="Q28" s="831"/>
      <c r="R28" s="831"/>
    </row>
    <row r="29" spans="1:18">
      <c r="A29" s="830"/>
      <c r="B29" s="831"/>
      <c r="C29" s="831"/>
      <c r="D29" s="831"/>
      <c r="E29" s="831"/>
      <c r="F29" s="831"/>
      <c r="G29" s="831"/>
      <c r="H29" s="831"/>
      <c r="I29" s="831"/>
      <c r="J29" s="831"/>
      <c r="K29" s="831"/>
      <c r="L29" s="831"/>
      <c r="M29" s="831"/>
      <c r="N29" s="831"/>
      <c r="O29" s="831"/>
      <c r="P29" s="831"/>
      <c r="Q29" s="831"/>
      <c r="R29" s="831"/>
    </row>
    <row r="30" spans="1:18">
      <c r="A30" s="830"/>
      <c r="B30" s="831"/>
      <c r="C30" s="831"/>
      <c r="D30" s="831"/>
      <c r="E30" s="831"/>
      <c r="F30" s="831"/>
      <c r="G30" s="831"/>
      <c r="H30" s="831"/>
      <c r="I30" s="831"/>
      <c r="J30" s="831"/>
      <c r="K30" s="831"/>
      <c r="L30" s="831"/>
      <c r="M30" s="831"/>
      <c r="N30" s="831"/>
      <c r="O30" s="831"/>
      <c r="P30" s="831"/>
      <c r="Q30" s="831"/>
      <c r="R30" s="831"/>
    </row>
    <row r="31" spans="1:18">
      <c r="A31" s="830"/>
      <c r="B31" s="831"/>
      <c r="C31" s="831"/>
      <c r="D31" s="831"/>
      <c r="E31" s="831"/>
      <c r="F31" s="831"/>
      <c r="G31" s="831"/>
      <c r="H31" s="831"/>
      <c r="I31" s="831"/>
      <c r="J31" s="831"/>
      <c r="K31" s="831"/>
      <c r="L31" s="831"/>
      <c r="M31" s="831"/>
      <c r="N31" s="831"/>
      <c r="O31" s="831"/>
      <c r="P31" s="831"/>
      <c r="Q31" s="831"/>
      <c r="R31" s="831"/>
    </row>
    <row r="32" spans="1:18">
      <c r="A32" s="830"/>
      <c r="B32" s="831"/>
      <c r="C32" s="831"/>
      <c r="D32" s="831"/>
      <c r="E32" s="831"/>
      <c r="F32" s="831"/>
      <c r="G32" s="831"/>
      <c r="H32" s="831"/>
      <c r="I32" s="831"/>
      <c r="J32" s="831"/>
      <c r="K32" s="831"/>
      <c r="L32" s="831"/>
      <c r="M32" s="831"/>
      <c r="N32" s="831"/>
      <c r="O32" s="831"/>
      <c r="P32" s="831"/>
      <c r="Q32" s="831"/>
      <c r="R32" s="831"/>
    </row>
    <row r="33" spans="1:18">
      <c r="A33" s="830"/>
      <c r="B33" s="831"/>
      <c r="C33" s="831"/>
      <c r="D33" s="831"/>
      <c r="E33" s="831"/>
      <c r="F33" s="831"/>
      <c r="G33" s="831"/>
      <c r="H33" s="831"/>
      <c r="I33" s="831"/>
      <c r="J33" s="831"/>
      <c r="K33" s="831"/>
      <c r="L33" s="831"/>
      <c r="M33" s="831"/>
      <c r="N33" s="831"/>
      <c r="O33" s="831"/>
      <c r="P33" s="831"/>
      <c r="Q33" s="831"/>
      <c r="R33" s="831"/>
    </row>
    <row r="34" spans="1:18">
      <c r="A34" s="830"/>
      <c r="B34" s="831"/>
      <c r="C34" s="831"/>
      <c r="D34" s="831"/>
      <c r="E34" s="831"/>
      <c r="F34" s="831"/>
      <c r="G34" s="831"/>
      <c r="H34" s="831"/>
      <c r="I34" s="831"/>
      <c r="J34" s="831"/>
      <c r="K34" s="831"/>
      <c r="L34" s="831"/>
      <c r="M34" s="831"/>
      <c r="N34" s="831"/>
      <c r="O34" s="831"/>
      <c r="P34" s="831"/>
      <c r="Q34" s="831"/>
      <c r="R34" s="831"/>
    </row>
    <row r="35" spans="1:18">
      <c r="A35" s="830"/>
      <c r="B35" s="831"/>
      <c r="C35" s="831"/>
      <c r="D35" s="831"/>
      <c r="E35" s="831"/>
      <c r="F35" s="831"/>
      <c r="G35" s="831"/>
      <c r="H35" s="831"/>
      <c r="I35" s="831"/>
      <c r="J35" s="831"/>
      <c r="K35" s="831"/>
      <c r="L35" s="831"/>
      <c r="M35" s="831"/>
      <c r="N35" s="831"/>
      <c r="O35" s="831"/>
      <c r="P35" s="831"/>
      <c r="Q35" s="831"/>
      <c r="R35" s="831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A3D91B13B8CF47ABB48EB7AAE17171" ma:contentTypeVersion="2" ma:contentTypeDescription="Crie um novo documento." ma:contentTypeScope="" ma:versionID="1591e7b425b78bfba6edc4f6fb94040d">
  <xsd:schema xmlns:xsd="http://www.w3.org/2001/XMLSchema" xmlns:xs="http://www.w3.org/2001/XMLSchema" xmlns:p="http://schemas.microsoft.com/office/2006/metadata/properties" xmlns:ns2="1071ef29-9491-4a69-9ee6-e789acac864f" targetNamespace="http://schemas.microsoft.com/office/2006/metadata/properties" ma:root="true" ma:fieldsID="ffa440cd6fd1f71ad761286335c9c8e9" ns2:_="">
    <xsd:import namespace="1071ef29-9491-4a69-9ee6-e789acac86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1ef29-9491-4a69-9ee6-e789acac86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6410E-84A2-4640-A301-CCD24E192D9A}">
  <ds:schemaRefs>
    <ds:schemaRef ds:uri="http://purl.org/dc/dcmitype/"/>
    <ds:schemaRef ds:uri="http://purl.org/dc/elements/1.1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1071ef29-9491-4a69-9ee6-e789acac864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F104FE2-0C73-4BCD-ADFF-3481DFA003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71ef29-9491-4a69-9ee6-e789acac86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D683F8A-CC9C-4FBD-993A-6F4D20623F5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21</vt:i4>
      </vt:variant>
    </vt:vector>
  </HeadingPairs>
  <TitlesOfParts>
    <vt:vector size="21" baseType="lpstr">
      <vt:lpstr>Texto</vt:lpstr>
      <vt:lpstr>Canais_atendimento</vt:lpstr>
      <vt:lpstr>Protocolos</vt:lpstr>
      <vt:lpstr>Assuntos</vt:lpstr>
      <vt:lpstr>10_Assuntos_+_demadados_2023</vt:lpstr>
      <vt:lpstr>Assuntos-variação_10_mais_2023</vt:lpstr>
      <vt:lpstr>ASSUNTOS_10+_últimos_3_meses</vt:lpstr>
      <vt:lpstr>10_ASSUNTOS + demandados_MAR_23</vt:lpstr>
      <vt:lpstr>UNIDADES</vt:lpstr>
      <vt:lpstr>10_UNIDADES_+_demandadas_2023</vt:lpstr>
      <vt:lpstr>Unidades_-variação_10_mais_2023</vt:lpstr>
      <vt:lpstr>UNIDADES_-_10+_últimos_3_meses</vt:lpstr>
      <vt:lpstr>10_Unidades+ demandados _MAR_23</vt:lpstr>
      <vt:lpstr>Subprefeituras_2023</vt:lpstr>
      <vt:lpstr>10_SUB's_+_demandadas_2023</vt:lpstr>
      <vt:lpstr>Subs_-Variação_10_mais_2023</vt:lpstr>
      <vt:lpstr>Ranking_subprefeituras_MAR_23</vt:lpstr>
      <vt:lpstr>Denúncia Protocolos 2023</vt:lpstr>
      <vt:lpstr>e-SIC 2023</vt:lpstr>
      <vt:lpstr>P</vt:lpstr>
      <vt:lpstr>Pandemia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Marcio Ramires</cp:lastModifiedBy>
  <cp:lastPrinted>2022-10-05T13:14:48Z</cp:lastPrinted>
  <dcterms:created xsi:type="dcterms:W3CDTF">2018-08-01T11:52:47Z</dcterms:created>
  <dcterms:modified xsi:type="dcterms:W3CDTF">2023-08-27T20:49:51Z</dcterms:modified>
</cp:coreProperties>
</file>