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3.xml" ContentType="application/vnd.openxmlformats-officedocument.drawing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drawings/drawing17.xml" ContentType="application/vnd.openxmlformats-officedocument.drawingml.chartshapes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arcio Ramires\Desktop\2023\"/>
    </mc:Choice>
  </mc:AlternateContent>
  <bookViews>
    <workbookView xWindow="0" yWindow="0" windowWidth="28800" windowHeight="12300" tabRatio="987"/>
  </bookViews>
  <sheets>
    <sheet name="Texto" sheetId="54" r:id="rId1"/>
    <sheet name="Canais_atendimento" sheetId="2" r:id="rId2"/>
    <sheet name="Protocolos" sheetId="3" r:id="rId3"/>
    <sheet name="Assuntos" sheetId="4" r:id="rId4"/>
    <sheet name="10_Assuntos_+_demadados_2023" sheetId="5" r:id="rId5"/>
    <sheet name="Assuntos-variação_10_mais_2023" sheetId="6" r:id="rId6"/>
    <sheet name="ASSUNTOS_10+_últimos_3_meses" sheetId="7" r:id="rId7"/>
    <sheet name="10_ASSUNTOS + demandados_JAN_23" sheetId="45" r:id="rId8"/>
    <sheet name="UNIDADES" sheetId="9" r:id="rId9"/>
    <sheet name="10_UNIDADES_+_demandadas_2023" sheetId="11" r:id="rId10"/>
    <sheet name="Unidades_-variação_10_mais_2023" sheetId="12" r:id="rId11"/>
    <sheet name="UNIDADES_-_10+_últimos_3_meses" sheetId="13" r:id="rId12"/>
    <sheet name="10_Unidades+ demandados _JAN_23" sheetId="46" r:id="rId13"/>
    <sheet name="Subprefeituras_2023" sheetId="16" r:id="rId14"/>
    <sheet name="10_SUB's_+_demandadas_2023" sheetId="17" r:id="rId15"/>
    <sheet name="Subs_-Variação_10_mais_2023" sheetId="18" r:id="rId16"/>
    <sheet name="Ranking_subprefeituras_JAN_23" sheetId="19" r:id="rId17"/>
    <sheet name="Denúncia Protocolos 2023" sheetId="34" r:id="rId18"/>
    <sheet name="e-SIC 2023" sheetId="53" r:id="rId19"/>
    <sheet name="P" sheetId="41" state="hidden" r:id="rId20"/>
    <sheet name="Pandemia" sheetId="42" r:id="rId21"/>
  </sheets>
  <definedNames>
    <definedName name="_xlnm._FilterDatabase" localSheetId="3" hidden="1">Assuntos!$A$4:$P$187</definedName>
    <definedName name="_xlnm._FilterDatabase" localSheetId="13" hidden="1">Subprefeituras_2023!$A$4:$P$37</definedName>
    <definedName name="_xlnm._FilterDatabase" localSheetId="8" hidden="1">UNIDADES!$A$4:$P$72</definedName>
  </definedNames>
  <calcPr calcId="162913"/>
</workbook>
</file>

<file path=xl/calcChain.xml><?xml version="1.0" encoding="utf-8"?>
<calcChain xmlns="http://schemas.openxmlformats.org/spreadsheetml/2006/main">
  <c r="G43" i="18" l="1"/>
  <c r="C43" i="18"/>
  <c r="O27" i="18"/>
  <c r="K27" i="18"/>
  <c r="G27" i="18"/>
  <c r="C27" i="18"/>
  <c r="O11" i="18"/>
  <c r="K11" i="18"/>
  <c r="G11" i="18"/>
  <c r="C11" i="18"/>
  <c r="C6" i="53"/>
  <c r="G43" i="12"/>
  <c r="C43" i="12"/>
  <c r="K11" i="12"/>
  <c r="O11" i="12"/>
  <c r="G11" i="12"/>
  <c r="C11" i="12"/>
  <c r="K27" i="12"/>
  <c r="G27" i="12"/>
  <c r="C27" i="12"/>
  <c r="G43" i="6"/>
  <c r="C43" i="6"/>
  <c r="K27" i="6"/>
  <c r="G27" i="6"/>
  <c r="C27" i="6"/>
  <c r="O11" i="6"/>
  <c r="K11" i="6"/>
  <c r="G11" i="6"/>
  <c r="B6" i="53"/>
  <c r="AD33" i="53"/>
  <c r="AC33" i="53"/>
  <c r="AB33" i="53"/>
  <c r="AA33" i="53"/>
  <c r="Z33" i="53"/>
  <c r="Y33" i="53"/>
  <c r="X33" i="53"/>
  <c r="W33" i="53"/>
  <c r="V33" i="53"/>
  <c r="U33" i="53"/>
  <c r="T33" i="53"/>
  <c r="T39" i="53"/>
  <c r="AA39" i="53"/>
  <c r="P8" i="17"/>
  <c r="P9" i="17"/>
  <c r="P10" i="17"/>
  <c r="P11" i="17"/>
  <c r="P12" i="17"/>
  <c r="P13" i="17"/>
  <c r="P14" i="17"/>
  <c r="P15" i="17"/>
  <c r="P16" i="17"/>
  <c r="P7" i="17"/>
  <c r="D17" i="13"/>
  <c r="C17" i="13"/>
  <c r="B17" i="13"/>
  <c r="P8" i="11"/>
  <c r="P9" i="11"/>
  <c r="P10" i="11"/>
  <c r="P11" i="11"/>
  <c r="P12" i="11"/>
  <c r="P13" i="11"/>
  <c r="P14" i="11"/>
  <c r="P15" i="11"/>
  <c r="P16" i="11"/>
  <c r="P7" i="11"/>
  <c r="N22" i="9"/>
  <c r="O22" i="9"/>
  <c r="B26" i="45"/>
  <c r="E7" i="7"/>
  <c r="F53" i="6"/>
  <c r="F54" i="6"/>
  <c r="B53" i="6"/>
  <c r="B54" i="6"/>
  <c r="N38" i="6"/>
  <c r="N37" i="6"/>
  <c r="J37" i="6"/>
  <c r="J38" i="6"/>
  <c r="F37" i="6"/>
  <c r="F38" i="6"/>
  <c r="B37" i="6"/>
  <c r="B38" i="6"/>
  <c r="N21" i="6"/>
  <c r="N22" i="6"/>
  <c r="J21" i="6"/>
  <c r="J22" i="6"/>
  <c r="F22" i="6"/>
  <c r="F21" i="6"/>
  <c r="B22" i="6"/>
  <c r="B21" i="6"/>
  <c r="F44" i="6"/>
  <c r="F52" i="6"/>
  <c r="P8" i="5"/>
  <c r="P9" i="5"/>
  <c r="P10" i="5"/>
  <c r="P11" i="5"/>
  <c r="P12" i="5"/>
  <c r="P13" i="5"/>
  <c r="P14" i="5"/>
  <c r="P15" i="5"/>
  <c r="P16" i="5"/>
  <c r="P7" i="5"/>
  <c r="C5" i="3"/>
  <c r="B9" i="34"/>
  <c r="B15" i="34"/>
  <c r="E8" i="13"/>
  <c r="E9" i="13"/>
  <c r="E10" i="13"/>
  <c r="E11" i="13"/>
  <c r="E12" i="13"/>
  <c r="E13" i="13"/>
  <c r="E14" i="13"/>
  <c r="E15" i="13"/>
  <c r="E16" i="13"/>
  <c r="E7" i="13"/>
  <c r="E17" i="13"/>
  <c r="B17" i="7"/>
  <c r="F17" i="7"/>
  <c r="O6" i="2"/>
  <c r="O7" i="2"/>
  <c r="O8" i="2"/>
  <c r="O9" i="2"/>
  <c r="O10" i="2"/>
  <c r="M25" i="6"/>
  <c r="B37" i="16"/>
  <c r="F8" i="13"/>
  <c r="F9" i="13"/>
  <c r="F10" i="13"/>
  <c r="F11" i="13"/>
  <c r="F12" i="13"/>
  <c r="F13" i="13"/>
  <c r="F14" i="13"/>
  <c r="F15" i="13"/>
  <c r="F16" i="13"/>
  <c r="F7" i="13"/>
  <c r="E8" i="7"/>
  <c r="E9" i="7"/>
  <c r="E10" i="7"/>
  <c r="E11" i="7"/>
  <c r="E12" i="7"/>
  <c r="E13" i="7"/>
  <c r="E14" i="7"/>
  <c r="E15" i="7"/>
  <c r="E16" i="7"/>
  <c r="F8" i="7"/>
  <c r="F9" i="7"/>
  <c r="F10" i="7"/>
  <c r="F11" i="7"/>
  <c r="F12" i="7"/>
  <c r="F13" i="7"/>
  <c r="F14" i="7"/>
  <c r="F15" i="7"/>
  <c r="F16" i="7"/>
  <c r="F7" i="7"/>
  <c r="N10" i="17"/>
  <c r="O10" i="17"/>
  <c r="N11" i="17"/>
  <c r="O11" i="17"/>
  <c r="N6" i="34"/>
  <c r="O6" i="34"/>
  <c r="O7" i="34"/>
  <c r="F21" i="12"/>
  <c r="C98" i="53"/>
  <c r="G63" i="34"/>
  <c r="N8" i="11"/>
  <c r="N9" i="11"/>
  <c r="N10" i="11"/>
  <c r="N11" i="11"/>
  <c r="N12" i="11"/>
  <c r="N13" i="11"/>
  <c r="N14" i="11"/>
  <c r="N15" i="11"/>
  <c r="N16" i="11"/>
  <c r="N7" i="11"/>
  <c r="F43" i="12"/>
  <c r="B43" i="12"/>
  <c r="C44" i="12"/>
  <c r="O14" i="11"/>
  <c r="O13" i="11"/>
  <c r="B27" i="12"/>
  <c r="O10" i="11"/>
  <c r="O9" i="11"/>
  <c r="O8" i="11"/>
  <c r="B11" i="12"/>
  <c r="O71" i="9"/>
  <c r="N71" i="9"/>
  <c r="O5" i="9"/>
  <c r="N5" i="9"/>
  <c r="O7" i="5"/>
  <c r="O5" i="4"/>
  <c r="F24" i="3"/>
  <c r="Q21" i="3"/>
  <c r="O111" i="53"/>
  <c r="N111" i="53"/>
  <c r="O110" i="53"/>
  <c r="N110" i="53"/>
  <c r="O109" i="53"/>
  <c r="N109" i="53"/>
  <c r="O108" i="53"/>
  <c r="N108" i="53"/>
  <c r="O107" i="53"/>
  <c r="N107" i="53"/>
  <c r="O106" i="53"/>
  <c r="N106" i="53"/>
  <c r="O105" i="53"/>
  <c r="N105" i="53"/>
  <c r="O104" i="53"/>
  <c r="O112" i="53"/>
  <c r="N104" i="53"/>
  <c r="O103" i="53"/>
  <c r="N103" i="53"/>
  <c r="N112" i="53"/>
  <c r="P106" i="53"/>
  <c r="O102" i="53"/>
  <c r="N102" i="53"/>
  <c r="D98" i="53"/>
  <c r="N10" i="9"/>
  <c r="O10" i="9"/>
  <c r="D187" i="4"/>
  <c r="N173" i="4"/>
  <c r="O173" i="4"/>
  <c r="E98" i="53"/>
  <c r="N148" i="4"/>
  <c r="O148" i="4"/>
  <c r="X39" i="53"/>
  <c r="N23" i="53"/>
  <c r="N24" i="53"/>
  <c r="N25" i="53"/>
  <c r="N26" i="53"/>
  <c r="N27" i="53"/>
  <c r="N28" i="53"/>
  <c r="N29" i="53"/>
  <c r="N30" i="53"/>
  <c r="N31" i="53"/>
  <c r="N32" i="53"/>
  <c r="N33" i="53"/>
  <c r="N34" i="53"/>
  <c r="N35" i="53"/>
  <c r="P35" i="53"/>
  <c r="N36" i="53"/>
  <c r="N37" i="53"/>
  <c r="N38" i="53"/>
  <c r="N39" i="53"/>
  <c r="P39" i="53"/>
  <c r="N40" i="53"/>
  <c r="N41" i="53"/>
  <c r="N42" i="53"/>
  <c r="N43" i="53"/>
  <c r="P43" i="53"/>
  <c r="N44" i="53"/>
  <c r="N45" i="53"/>
  <c r="N46" i="53"/>
  <c r="N47" i="53"/>
  <c r="P47" i="53"/>
  <c r="N48" i="53"/>
  <c r="N49" i="53"/>
  <c r="N50" i="53"/>
  <c r="N51" i="53"/>
  <c r="P51" i="53"/>
  <c r="N52" i="53"/>
  <c r="N53" i="53"/>
  <c r="N54" i="53"/>
  <c r="N55" i="53"/>
  <c r="N56" i="53"/>
  <c r="N57" i="53"/>
  <c r="N58" i="53"/>
  <c r="N59" i="53"/>
  <c r="P59" i="53"/>
  <c r="N60" i="53"/>
  <c r="N61" i="53"/>
  <c r="N62" i="53"/>
  <c r="N63" i="53"/>
  <c r="N64" i="53"/>
  <c r="N65" i="53"/>
  <c r="N66" i="53"/>
  <c r="N67" i="53"/>
  <c r="P67" i="53"/>
  <c r="N68" i="53"/>
  <c r="N69" i="53"/>
  <c r="N70" i="53"/>
  <c r="N71" i="53"/>
  <c r="P71" i="53"/>
  <c r="N72" i="53"/>
  <c r="N73" i="53"/>
  <c r="N74" i="53"/>
  <c r="N75" i="53"/>
  <c r="P75" i="53"/>
  <c r="N76" i="53"/>
  <c r="N77" i="53"/>
  <c r="N78" i="53"/>
  <c r="N79" i="53"/>
  <c r="N80" i="53"/>
  <c r="N81" i="53"/>
  <c r="N82" i="53"/>
  <c r="N83" i="53"/>
  <c r="P83" i="53"/>
  <c r="N84" i="53"/>
  <c r="N85" i="53"/>
  <c r="N86" i="53"/>
  <c r="N87" i="53"/>
  <c r="P87" i="53"/>
  <c r="N88" i="53"/>
  <c r="N89" i="53"/>
  <c r="N90" i="53"/>
  <c r="N91" i="53"/>
  <c r="P91" i="53"/>
  <c r="N92" i="53"/>
  <c r="N93" i="53"/>
  <c r="N94" i="53"/>
  <c r="N95" i="53"/>
  <c r="P95" i="53"/>
  <c r="N96" i="53"/>
  <c r="N97" i="53"/>
  <c r="F98" i="53"/>
  <c r="F37" i="16"/>
  <c r="N98" i="4"/>
  <c r="O98" i="4"/>
  <c r="O59" i="53"/>
  <c r="G98" i="53"/>
  <c r="N43" i="4"/>
  <c r="O43" i="4"/>
  <c r="N29" i="4"/>
  <c r="O29" i="4"/>
  <c r="N9" i="4"/>
  <c r="N13" i="4"/>
  <c r="G187" i="4"/>
  <c r="N17" i="4"/>
  <c r="N21" i="4"/>
  <c r="N22" i="4"/>
  <c r="N25" i="4"/>
  <c r="N28" i="4"/>
  <c r="N30" i="4"/>
  <c r="N34" i="4"/>
  <c r="N35" i="4"/>
  <c r="N37" i="4"/>
  <c r="N38" i="4"/>
  <c r="N39" i="4"/>
  <c r="N40" i="4"/>
  <c r="N42" i="4"/>
  <c r="N45" i="4"/>
  <c r="N46" i="4"/>
  <c r="N47" i="4"/>
  <c r="N49" i="4"/>
  <c r="N50" i="4"/>
  <c r="N51" i="4"/>
  <c r="N53" i="4"/>
  <c r="N54" i="4"/>
  <c r="N55" i="4"/>
  <c r="N57" i="4"/>
  <c r="N58" i="4"/>
  <c r="N59" i="4"/>
  <c r="N62" i="4"/>
  <c r="N63" i="4"/>
  <c r="N66" i="4"/>
  <c r="N67" i="4"/>
  <c r="N69" i="4"/>
  <c r="N70" i="4"/>
  <c r="N71" i="4"/>
  <c r="N73" i="4"/>
  <c r="N72" i="4"/>
  <c r="N74" i="4"/>
  <c r="N75" i="4"/>
  <c r="N76" i="4"/>
  <c r="N77" i="4"/>
  <c r="N78" i="4"/>
  <c r="N79" i="4"/>
  <c r="N80" i="4"/>
  <c r="O81" i="4"/>
  <c r="N82" i="4"/>
  <c r="N83" i="4"/>
  <c r="N84" i="4"/>
  <c r="N85" i="4"/>
  <c r="N86" i="4"/>
  <c r="N87" i="4"/>
  <c r="N88" i="4"/>
  <c r="N89" i="4"/>
  <c r="O90" i="4"/>
  <c r="N91" i="4"/>
  <c r="N92" i="4"/>
  <c r="N93" i="4"/>
  <c r="O94" i="4"/>
  <c r="N95" i="4"/>
  <c r="N96" i="4"/>
  <c r="O97" i="4"/>
  <c r="N99" i="4"/>
  <c r="N100" i="4"/>
  <c r="O101" i="4"/>
  <c r="N102" i="4"/>
  <c r="O103" i="4"/>
  <c r="N104" i="4"/>
  <c r="N105" i="4"/>
  <c r="N106" i="4"/>
  <c r="N107" i="4"/>
  <c r="N108" i="4"/>
  <c r="N109" i="4"/>
  <c r="O110" i="4"/>
  <c r="O111" i="4"/>
  <c r="N112" i="4"/>
  <c r="N113" i="4"/>
  <c r="O114" i="4"/>
  <c r="N115" i="4"/>
  <c r="N116" i="4"/>
  <c r="N117" i="4"/>
  <c r="N118" i="4"/>
  <c r="O119" i="4"/>
  <c r="N120" i="4"/>
  <c r="O121" i="4"/>
  <c r="N122" i="4"/>
  <c r="N123" i="4"/>
  <c r="N124" i="4"/>
  <c r="N125" i="4"/>
  <c r="N126" i="4"/>
  <c r="O127" i="4"/>
  <c r="N128" i="4"/>
  <c r="N129" i="4"/>
  <c r="O130" i="4"/>
  <c r="N131" i="4"/>
  <c r="N132" i="4"/>
  <c r="N133" i="4"/>
  <c r="N134" i="4"/>
  <c r="O135" i="4"/>
  <c r="N136" i="4"/>
  <c r="O137" i="4"/>
  <c r="N138" i="4"/>
  <c r="O139" i="4"/>
  <c r="N140" i="4"/>
  <c r="O141" i="4"/>
  <c r="O142" i="4"/>
  <c r="N143" i="4"/>
  <c r="N144" i="4"/>
  <c r="N145" i="4"/>
  <c r="O146" i="4"/>
  <c r="N147" i="4"/>
  <c r="N149" i="4"/>
  <c r="O150" i="4"/>
  <c r="N151" i="4"/>
  <c r="O152" i="4"/>
  <c r="N153" i="4"/>
  <c r="O154" i="4"/>
  <c r="O155" i="4"/>
  <c r="N156" i="4"/>
  <c r="N157" i="4"/>
  <c r="O158" i="4"/>
  <c r="N159" i="4"/>
  <c r="N160" i="4"/>
  <c r="N161" i="4"/>
  <c r="O162" i="4"/>
  <c r="N163" i="4"/>
  <c r="N164" i="4"/>
  <c r="N165" i="4"/>
  <c r="N166" i="4"/>
  <c r="N167" i="4"/>
  <c r="O168" i="4"/>
  <c r="N169" i="4"/>
  <c r="O170" i="4"/>
  <c r="O171" i="4"/>
  <c r="N172" i="4"/>
  <c r="N174" i="4"/>
  <c r="N175" i="4"/>
  <c r="N176" i="4"/>
  <c r="O177" i="4"/>
  <c r="N178" i="4"/>
  <c r="O180" i="4"/>
  <c r="O181" i="4"/>
  <c r="N182" i="4"/>
  <c r="N183" i="4"/>
  <c r="O184" i="4"/>
  <c r="O185" i="4"/>
  <c r="N186" i="4"/>
  <c r="H98" i="53"/>
  <c r="N29" i="9"/>
  <c r="O29" i="9"/>
  <c r="H72" i="9"/>
  <c r="H187" i="4"/>
  <c r="AG49" i="53"/>
  <c r="AF49" i="53"/>
  <c r="AG48" i="53"/>
  <c r="AF48" i="53"/>
  <c r="AE47" i="53"/>
  <c r="AD47" i="53"/>
  <c r="AC47" i="53"/>
  <c r="AB47" i="53"/>
  <c r="AA47" i="53"/>
  <c r="Z47" i="53"/>
  <c r="Y47" i="53"/>
  <c r="X47" i="53"/>
  <c r="W47" i="53"/>
  <c r="V47" i="53"/>
  <c r="U47" i="53"/>
  <c r="T47" i="53"/>
  <c r="AG46" i="53"/>
  <c r="AF46" i="53"/>
  <c r="AG43" i="53"/>
  <c r="AF43" i="53"/>
  <c r="AG42" i="53"/>
  <c r="AF42" i="53"/>
  <c r="AG41" i="53"/>
  <c r="AF41" i="53"/>
  <c r="AG40" i="53"/>
  <c r="AF40" i="53"/>
  <c r="AE39" i="53"/>
  <c r="AD39" i="53"/>
  <c r="AC39" i="53"/>
  <c r="AB39" i="53"/>
  <c r="Z39" i="53"/>
  <c r="Y39" i="53"/>
  <c r="W39" i="53"/>
  <c r="V39" i="53"/>
  <c r="U39" i="53"/>
  <c r="AG35" i="53"/>
  <c r="AF35" i="53"/>
  <c r="AG34" i="53"/>
  <c r="AF34" i="53"/>
  <c r="AE33" i="53"/>
  <c r="AF33" i="53"/>
  <c r="AG32" i="53"/>
  <c r="AF32" i="53"/>
  <c r="AG29" i="53"/>
  <c r="AF29" i="53"/>
  <c r="AG28" i="53"/>
  <c r="AF28" i="53"/>
  <c r="AE27" i="53"/>
  <c r="AD27" i="53"/>
  <c r="AC27" i="53"/>
  <c r="AB27" i="53"/>
  <c r="AA27" i="53"/>
  <c r="Z27" i="53"/>
  <c r="Y27" i="53"/>
  <c r="X27" i="53"/>
  <c r="W27" i="53"/>
  <c r="V27" i="53"/>
  <c r="U27" i="53"/>
  <c r="T27" i="53"/>
  <c r="AG24" i="53"/>
  <c r="AF24" i="53"/>
  <c r="O51" i="53"/>
  <c r="I98" i="53"/>
  <c r="I187" i="4"/>
  <c r="O61" i="53"/>
  <c r="J98" i="53"/>
  <c r="K98" i="53"/>
  <c r="O92" i="53"/>
  <c r="O81" i="53"/>
  <c r="O73" i="53"/>
  <c r="O69" i="53"/>
  <c r="O53" i="53"/>
  <c r="O52" i="53"/>
  <c r="O48" i="53"/>
  <c r="O47" i="53"/>
  <c r="O44" i="53"/>
  <c r="O40" i="53"/>
  <c r="O39" i="53"/>
  <c r="O35" i="53"/>
  <c r="O27" i="53"/>
  <c r="N22" i="53"/>
  <c r="N98" i="53"/>
  <c r="J72" i="9"/>
  <c r="N67" i="9"/>
  <c r="O67" i="9"/>
  <c r="J187" i="4"/>
  <c r="O12" i="11"/>
  <c r="O6" i="9"/>
  <c r="O7" i="9"/>
  <c r="O8" i="9"/>
  <c r="O9" i="9"/>
  <c r="O11" i="9"/>
  <c r="O12" i="9"/>
  <c r="O13" i="9"/>
  <c r="O14" i="9"/>
  <c r="O15" i="9"/>
  <c r="O16" i="9"/>
  <c r="O17" i="9"/>
  <c r="O18" i="9"/>
  <c r="O19" i="9"/>
  <c r="O20" i="9"/>
  <c r="O21" i="9"/>
  <c r="O23" i="9"/>
  <c r="O24" i="9"/>
  <c r="O25" i="9"/>
  <c r="O26" i="9"/>
  <c r="O27" i="9"/>
  <c r="O28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8" i="9"/>
  <c r="O69" i="9"/>
  <c r="O70" i="9"/>
  <c r="O97" i="53"/>
  <c r="O63" i="53"/>
  <c r="O29" i="53"/>
  <c r="M98" i="53"/>
  <c r="O98" i="53"/>
  <c r="L98" i="53"/>
  <c r="J23" i="46"/>
  <c r="B17" i="46"/>
  <c r="K72" i="9"/>
  <c r="N11" i="9"/>
  <c r="N64" i="9"/>
  <c r="K187" i="4"/>
  <c r="O32" i="53"/>
  <c r="O28" i="53"/>
  <c r="O30" i="53"/>
  <c r="O31" i="53"/>
  <c r="O34" i="53"/>
  <c r="O36" i="53"/>
  <c r="O49" i="53"/>
  <c r="O55" i="53"/>
  <c r="O65" i="53"/>
  <c r="O70" i="53"/>
  <c r="O77" i="53"/>
  <c r="O85" i="53"/>
  <c r="O87" i="53"/>
  <c r="O89" i="53"/>
  <c r="O91" i="53"/>
  <c r="O93" i="53"/>
  <c r="O95" i="53"/>
  <c r="O25" i="53"/>
  <c r="N14" i="9"/>
  <c r="N15" i="9"/>
  <c r="N16" i="9"/>
  <c r="N17" i="9"/>
  <c r="N18" i="9"/>
  <c r="N19" i="9"/>
  <c r="N20" i="9"/>
  <c r="N21" i="9"/>
  <c r="N23" i="9"/>
  <c r="B17" i="45"/>
  <c r="L11" i="2"/>
  <c r="B19" i="53"/>
  <c r="B18" i="53"/>
  <c r="O83" i="53"/>
  <c r="O80" i="53"/>
  <c r="O79" i="53"/>
  <c r="O76" i="53"/>
  <c r="O71" i="53"/>
  <c r="O68" i="53"/>
  <c r="O67" i="53"/>
  <c r="O60" i="53"/>
  <c r="O37" i="53"/>
  <c r="O33" i="53"/>
  <c r="C9" i="34"/>
  <c r="B29" i="34"/>
  <c r="D9" i="34"/>
  <c r="E9" i="34"/>
  <c r="F9" i="34"/>
  <c r="B26" i="34"/>
  <c r="G9" i="34"/>
  <c r="B25" i="34"/>
  <c r="C25" i="34"/>
  <c r="H9" i="34"/>
  <c r="B24" i="34"/>
  <c r="I9" i="34"/>
  <c r="B23" i="34"/>
  <c r="J9" i="34"/>
  <c r="B22" i="34"/>
  <c r="C22" i="34"/>
  <c r="K9" i="34"/>
  <c r="L9" i="34"/>
  <c r="B20" i="34"/>
  <c r="M9" i="34"/>
  <c r="B19" i="34"/>
  <c r="C19" i="34"/>
  <c r="D15" i="34"/>
  <c r="E15" i="34"/>
  <c r="F15" i="34"/>
  <c r="G15" i="34"/>
  <c r="H15" i="34"/>
  <c r="I15" i="34"/>
  <c r="J15" i="34"/>
  <c r="K15" i="34"/>
  <c r="M10" i="34"/>
  <c r="M15" i="34"/>
  <c r="N68" i="9"/>
  <c r="M187" i="4"/>
  <c r="N187" i="4" s="1"/>
  <c r="P151" i="4" s="1"/>
  <c r="F30" i="34"/>
  <c r="B18" i="3"/>
  <c r="B17" i="3"/>
  <c r="B11" i="2"/>
  <c r="F20" i="6"/>
  <c r="F29" i="34"/>
  <c r="C17" i="17"/>
  <c r="C37" i="16"/>
  <c r="C17" i="11"/>
  <c r="C11" i="2"/>
  <c r="F28" i="34"/>
  <c r="D11" i="2"/>
  <c r="F27" i="34"/>
  <c r="E17" i="5"/>
  <c r="E17" i="17"/>
  <c r="E187" i="4"/>
  <c r="I24" i="3"/>
  <c r="H24" i="3"/>
  <c r="E11" i="2"/>
  <c r="F26" i="34"/>
  <c r="G26" i="34"/>
  <c r="F72" i="9"/>
  <c r="F17" i="5"/>
  <c r="F187" i="4"/>
  <c r="N179" i="4"/>
  <c r="O179" i="4"/>
  <c r="F11" i="2"/>
  <c r="F25" i="34"/>
  <c r="E17" i="11"/>
  <c r="G17" i="5"/>
  <c r="J24" i="3"/>
  <c r="G11" i="2"/>
  <c r="C10" i="42"/>
  <c r="B13" i="41"/>
  <c r="N7" i="34"/>
  <c r="N9" i="34"/>
  <c r="N8" i="34"/>
  <c r="O8" i="34"/>
  <c r="N13" i="34"/>
  <c r="O13" i="34"/>
  <c r="F19" i="34"/>
  <c r="F20" i="34"/>
  <c r="G20" i="34"/>
  <c r="F21" i="34"/>
  <c r="G21" i="34"/>
  <c r="F22" i="34"/>
  <c r="F23" i="34"/>
  <c r="G23" i="34"/>
  <c r="F24" i="34"/>
  <c r="G25" i="34"/>
  <c r="H36" i="34"/>
  <c r="H37" i="34"/>
  <c r="H38" i="34"/>
  <c r="H39" i="34"/>
  <c r="H40" i="34"/>
  <c r="H41" i="34"/>
  <c r="H42" i="34"/>
  <c r="H43" i="34"/>
  <c r="H44" i="34"/>
  <c r="H45" i="34"/>
  <c r="H46" i="34"/>
  <c r="H47" i="34"/>
  <c r="B48" i="34"/>
  <c r="B65" i="34"/>
  <c r="C48" i="34"/>
  <c r="D48" i="34"/>
  <c r="E48" i="34"/>
  <c r="F48" i="34"/>
  <c r="G48" i="34"/>
  <c r="H51" i="34"/>
  <c r="H52" i="34"/>
  <c r="H53" i="34"/>
  <c r="H54" i="34"/>
  <c r="H55" i="34"/>
  <c r="H56" i="34"/>
  <c r="H57" i="34"/>
  <c r="H58" i="34"/>
  <c r="H59" i="34"/>
  <c r="H60" i="34"/>
  <c r="H61" i="34"/>
  <c r="H62" i="34"/>
  <c r="B63" i="34"/>
  <c r="C63" i="34"/>
  <c r="C65" i="34"/>
  <c r="D63" i="34"/>
  <c r="D65" i="34"/>
  <c r="E63" i="34"/>
  <c r="F63" i="34"/>
  <c r="B37" i="19"/>
  <c r="A9" i="18"/>
  <c r="E9" i="18"/>
  <c r="I9" i="18"/>
  <c r="M9" i="18"/>
  <c r="B11" i="18"/>
  <c r="F11" i="18"/>
  <c r="J11" i="18"/>
  <c r="N11" i="18"/>
  <c r="O12" i="18"/>
  <c r="B12" i="18"/>
  <c r="C12" i="18"/>
  <c r="F12" i="18"/>
  <c r="J12" i="18"/>
  <c r="N12" i="18"/>
  <c r="B13" i="18"/>
  <c r="F13" i="18"/>
  <c r="J13" i="18"/>
  <c r="N13" i="18"/>
  <c r="O14" i="18"/>
  <c r="B14" i="18"/>
  <c r="C14" i="18"/>
  <c r="F14" i="18"/>
  <c r="J14" i="18"/>
  <c r="K14" i="18"/>
  <c r="N14" i="18"/>
  <c r="B15" i="18"/>
  <c r="F15" i="18"/>
  <c r="G16" i="18"/>
  <c r="J15" i="18"/>
  <c r="N15" i="18"/>
  <c r="O15" i="18"/>
  <c r="B16" i="18"/>
  <c r="C17" i="18"/>
  <c r="F16" i="18"/>
  <c r="J16" i="18"/>
  <c r="K16" i="18"/>
  <c r="N16" i="18"/>
  <c r="B17" i="18"/>
  <c r="F17" i="18"/>
  <c r="G17" i="18"/>
  <c r="J17" i="18"/>
  <c r="N17" i="18"/>
  <c r="B18" i="18"/>
  <c r="F18" i="18"/>
  <c r="G19" i="18"/>
  <c r="J18" i="18"/>
  <c r="N18" i="18"/>
  <c r="B19" i="18"/>
  <c r="C19" i="18"/>
  <c r="F19" i="18"/>
  <c r="J19" i="18"/>
  <c r="K19" i="18"/>
  <c r="N19" i="18"/>
  <c r="B20" i="18"/>
  <c r="C20" i="18"/>
  <c r="F20" i="18"/>
  <c r="G21" i="18"/>
  <c r="J20" i="18"/>
  <c r="N20" i="18"/>
  <c r="B21" i="18"/>
  <c r="C21" i="18"/>
  <c r="F21" i="18"/>
  <c r="J21" i="18"/>
  <c r="K21" i="18"/>
  <c r="N21" i="18"/>
  <c r="O21" i="18"/>
  <c r="B22" i="18"/>
  <c r="F22" i="18"/>
  <c r="G22" i="18"/>
  <c r="J22" i="18"/>
  <c r="N22" i="18"/>
  <c r="O22" i="18"/>
  <c r="A25" i="18"/>
  <c r="E25" i="18"/>
  <c r="I25" i="18"/>
  <c r="M25" i="18"/>
  <c r="B27" i="18"/>
  <c r="F27" i="18"/>
  <c r="J27" i="18"/>
  <c r="N27" i="18"/>
  <c r="B28" i="18"/>
  <c r="F28" i="18"/>
  <c r="G28" i="18"/>
  <c r="J28" i="18"/>
  <c r="N28" i="18"/>
  <c r="O29" i="18"/>
  <c r="B29" i="18"/>
  <c r="C29" i="18"/>
  <c r="F29" i="18"/>
  <c r="J29" i="18"/>
  <c r="K30" i="18"/>
  <c r="N29" i="18"/>
  <c r="B30" i="18"/>
  <c r="F30" i="18"/>
  <c r="G30" i="18"/>
  <c r="J30" i="18"/>
  <c r="N30" i="18"/>
  <c r="B31" i="18"/>
  <c r="C31" i="18"/>
  <c r="F31" i="18"/>
  <c r="J31" i="18"/>
  <c r="N31" i="18"/>
  <c r="O31" i="18"/>
  <c r="B32" i="18"/>
  <c r="C32" i="18"/>
  <c r="F32" i="18"/>
  <c r="J32" i="18"/>
  <c r="K33" i="18"/>
  <c r="N32" i="18"/>
  <c r="B33" i="18"/>
  <c r="F33" i="18"/>
  <c r="G33" i="18"/>
  <c r="J33" i="18"/>
  <c r="N33" i="18"/>
  <c r="B34" i="18"/>
  <c r="F34" i="18"/>
  <c r="G34" i="18"/>
  <c r="J34" i="18"/>
  <c r="N34" i="18"/>
  <c r="O34" i="18"/>
  <c r="B35" i="18"/>
  <c r="F35" i="18"/>
  <c r="J35" i="18"/>
  <c r="N35" i="18"/>
  <c r="O35" i="18"/>
  <c r="B36" i="18"/>
  <c r="F36" i="18"/>
  <c r="J36" i="18"/>
  <c r="K36" i="18"/>
  <c r="N36" i="18"/>
  <c r="B37" i="18"/>
  <c r="F37" i="18"/>
  <c r="J37" i="18"/>
  <c r="K37" i="18"/>
  <c r="N37" i="18"/>
  <c r="B38" i="18"/>
  <c r="C38" i="18"/>
  <c r="F38" i="18"/>
  <c r="G38" i="18"/>
  <c r="J38" i="18"/>
  <c r="N38" i="18"/>
  <c r="O38" i="18"/>
  <c r="A41" i="18"/>
  <c r="E41" i="18"/>
  <c r="B43" i="18"/>
  <c r="F43" i="18"/>
  <c r="B44" i="18"/>
  <c r="C44" i="18"/>
  <c r="F44" i="18"/>
  <c r="B45" i="18"/>
  <c r="C45" i="18"/>
  <c r="F45" i="18"/>
  <c r="B46" i="18"/>
  <c r="C46" i="18"/>
  <c r="F46" i="18"/>
  <c r="G46" i="18"/>
  <c r="B47" i="18"/>
  <c r="F47" i="18"/>
  <c r="B48" i="18"/>
  <c r="F48" i="18"/>
  <c r="G49" i="18"/>
  <c r="B49" i="18"/>
  <c r="F49" i="18"/>
  <c r="B50" i="18"/>
  <c r="F50" i="18"/>
  <c r="G50" i="18"/>
  <c r="B51" i="18"/>
  <c r="F51" i="18"/>
  <c r="G51" i="18"/>
  <c r="B52" i="18"/>
  <c r="C52" i="18"/>
  <c r="F52" i="18"/>
  <c r="G52" i="18"/>
  <c r="B53" i="18"/>
  <c r="C53" i="18"/>
  <c r="F53" i="18"/>
  <c r="B54" i="18"/>
  <c r="F54" i="18"/>
  <c r="G54" i="18"/>
  <c r="N7" i="17"/>
  <c r="O7" i="17"/>
  <c r="N8" i="17"/>
  <c r="O8" i="17"/>
  <c r="N9" i="17"/>
  <c r="O9" i="17"/>
  <c r="N12" i="17"/>
  <c r="O12" i="17"/>
  <c r="N13" i="17"/>
  <c r="O13" i="17"/>
  <c r="N14" i="17"/>
  <c r="O14" i="17"/>
  <c r="N15" i="17"/>
  <c r="O15" i="17"/>
  <c r="N16" i="17"/>
  <c r="O16" i="17"/>
  <c r="B17" i="17"/>
  <c r="D17" i="17"/>
  <c r="F17" i="17"/>
  <c r="G17" i="17"/>
  <c r="H17" i="17"/>
  <c r="I17" i="17"/>
  <c r="J17" i="17"/>
  <c r="K17" i="17"/>
  <c r="L17" i="17"/>
  <c r="M17" i="17"/>
  <c r="P17" i="17"/>
  <c r="P18" i="17"/>
  <c r="N5" i="16"/>
  <c r="O5" i="16"/>
  <c r="N6" i="16"/>
  <c r="O6" i="16"/>
  <c r="N7" i="16"/>
  <c r="O7" i="16"/>
  <c r="N8" i="16"/>
  <c r="O8" i="16"/>
  <c r="N9" i="16"/>
  <c r="O9" i="16"/>
  <c r="N10" i="16"/>
  <c r="O10" i="16"/>
  <c r="N11" i="16"/>
  <c r="O11" i="16"/>
  <c r="N12" i="16"/>
  <c r="O12" i="16"/>
  <c r="N13" i="16"/>
  <c r="O13" i="16"/>
  <c r="N14" i="16"/>
  <c r="O14" i="16"/>
  <c r="N15" i="16"/>
  <c r="O15" i="16"/>
  <c r="N16" i="16"/>
  <c r="O16" i="16"/>
  <c r="N17" i="16"/>
  <c r="O17" i="16"/>
  <c r="N18" i="16"/>
  <c r="O18" i="16"/>
  <c r="N19" i="16"/>
  <c r="O19" i="16"/>
  <c r="N20" i="16"/>
  <c r="O20" i="16"/>
  <c r="N21" i="16"/>
  <c r="O21" i="16"/>
  <c r="N22" i="16"/>
  <c r="O22" i="16"/>
  <c r="N23" i="16"/>
  <c r="O23" i="16"/>
  <c r="N24" i="16"/>
  <c r="O24" i="16"/>
  <c r="N25" i="16"/>
  <c r="O25" i="16"/>
  <c r="N26" i="16"/>
  <c r="O26" i="16"/>
  <c r="N27" i="16"/>
  <c r="O27" i="16"/>
  <c r="N28" i="16"/>
  <c r="O28" i="16"/>
  <c r="N29" i="16"/>
  <c r="O29" i="16"/>
  <c r="N30" i="16"/>
  <c r="O30" i="16"/>
  <c r="N31" i="16"/>
  <c r="O31" i="16"/>
  <c r="N32" i="16"/>
  <c r="O32" i="16"/>
  <c r="N33" i="16"/>
  <c r="O33" i="16"/>
  <c r="N34" i="16"/>
  <c r="O34" i="16"/>
  <c r="N35" i="16"/>
  <c r="O35" i="16"/>
  <c r="N36" i="16"/>
  <c r="O36" i="16"/>
  <c r="D37" i="16"/>
  <c r="E37" i="16"/>
  <c r="G37" i="16"/>
  <c r="H37" i="16"/>
  <c r="I37" i="16"/>
  <c r="J37" i="16"/>
  <c r="K37" i="16"/>
  <c r="O37" i="16"/>
  <c r="L37" i="16"/>
  <c r="M37" i="16"/>
  <c r="B22" i="46"/>
  <c r="C22" i="46"/>
  <c r="D22" i="46"/>
  <c r="E22" i="46"/>
  <c r="F22" i="46"/>
  <c r="G22" i="46"/>
  <c r="H22" i="46"/>
  <c r="I22" i="46"/>
  <c r="J22" i="46"/>
  <c r="K22" i="46"/>
  <c r="B23" i="46"/>
  <c r="C23" i="46"/>
  <c r="D23" i="46"/>
  <c r="E23" i="46"/>
  <c r="F23" i="46"/>
  <c r="G23" i="46"/>
  <c r="H23" i="46"/>
  <c r="I23" i="46"/>
  <c r="K23" i="46"/>
  <c r="A9" i="12"/>
  <c r="E9" i="12"/>
  <c r="I9" i="12"/>
  <c r="M9" i="12"/>
  <c r="F11" i="12"/>
  <c r="B12" i="12"/>
  <c r="C12" i="12"/>
  <c r="F12" i="12"/>
  <c r="J12" i="12"/>
  <c r="N12" i="12"/>
  <c r="B13" i="12"/>
  <c r="F13" i="12"/>
  <c r="G13" i="12"/>
  <c r="J13" i="12"/>
  <c r="K13" i="12"/>
  <c r="N13" i="12"/>
  <c r="B14" i="12"/>
  <c r="C15" i="12"/>
  <c r="F14" i="12"/>
  <c r="G14" i="12"/>
  <c r="J14" i="12"/>
  <c r="K14" i="12"/>
  <c r="N14" i="12"/>
  <c r="O15" i="12"/>
  <c r="B15" i="12"/>
  <c r="F15" i="12"/>
  <c r="G15" i="12"/>
  <c r="J15" i="12"/>
  <c r="N15" i="12"/>
  <c r="B16" i="12"/>
  <c r="F16" i="12"/>
  <c r="G16" i="12"/>
  <c r="J16" i="12"/>
  <c r="K16" i="12"/>
  <c r="N16" i="12"/>
  <c r="B17" i="12"/>
  <c r="C17" i="12"/>
  <c r="F17" i="12"/>
  <c r="J17" i="12"/>
  <c r="K18" i="12"/>
  <c r="N17" i="12"/>
  <c r="O17" i="12"/>
  <c r="B18" i="12"/>
  <c r="F18" i="12"/>
  <c r="G18" i="12"/>
  <c r="J18" i="12"/>
  <c r="N18" i="12"/>
  <c r="O18" i="12"/>
  <c r="B19" i="12"/>
  <c r="C20" i="12"/>
  <c r="F19" i="12"/>
  <c r="J19" i="12"/>
  <c r="K19" i="12"/>
  <c r="N19" i="12"/>
  <c r="O20" i="12"/>
  <c r="B20" i="12"/>
  <c r="F20" i="12"/>
  <c r="G20" i="12"/>
  <c r="J20" i="12"/>
  <c r="N20" i="12"/>
  <c r="B21" i="12"/>
  <c r="C21" i="12"/>
  <c r="J21" i="12"/>
  <c r="K21" i="12"/>
  <c r="N21" i="12"/>
  <c r="O21" i="12"/>
  <c r="B22" i="12"/>
  <c r="F22" i="12"/>
  <c r="G22" i="12"/>
  <c r="J22" i="12"/>
  <c r="K22" i="12"/>
  <c r="N22" i="12"/>
  <c r="O22" i="12"/>
  <c r="A25" i="12"/>
  <c r="E25" i="12"/>
  <c r="I25" i="12"/>
  <c r="M25" i="12"/>
  <c r="F27" i="12"/>
  <c r="J27" i="12"/>
  <c r="B28" i="12"/>
  <c r="F28" i="12"/>
  <c r="J28" i="12"/>
  <c r="K28" i="12"/>
  <c r="N28" i="12"/>
  <c r="B29" i="12"/>
  <c r="F29" i="12"/>
  <c r="J29" i="12"/>
  <c r="K29" i="12"/>
  <c r="N29" i="12"/>
  <c r="B30" i="12"/>
  <c r="F30" i="12"/>
  <c r="J30" i="12"/>
  <c r="K30" i="12"/>
  <c r="N30" i="12"/>
  <c r="O30" i="12"/>
  <c r="B31" i="12"/>
  <c r="C31" i="12"/>
  <c r="F31" i="12"/>
  <c r="G31" i="12"/>
  <c r="J31" i="12"/>
  <c r="N31" i="12"/>
  <c r="O31" i="12"/>
  <c r="B32" i="12"/>
  <c r="F32" i="12"/>
  <c r="G32" i="12"/>
  <c r="J32" i="12"/>
  <c r="N32" i="12"/>
  <c r="O32" i="12"/>
  <c r="B33" i="12"/>
  <c r="C33" i="12"/>
  <c r="F33" i="12"/>
  <c r="G34" i="12"/>
  <c r="J33" i="12"/>
  <c r="K33" i="12"/>
  <c r="N33" i="12"/>
  <c r="B34" i="12"/>
  <c r="F34" i="12"/>
  <c r="J34" i="12"/>
  <c r="N34" i="12"/>
  <c r="B35" i="12"/>
  <c r="F35" i="12"/>
  <c r="G35" i="12"/>
  <c r="J35" i="12"/>
  <c r="K35" i="12"/>
  <c r="N35" i="12"/>
  <c r="O35" i="12"/>
  <c r="B36" i="12"/>
  <c r="C36" i="12"/>
  <c r="F36" i="12"/>
  <c r="G36" i="12"/>
  <c r="J36" i="12"/>
  <c r="K36" i="12"/>
  <c r="N36" i="12"/>
  <c r="O36" i="12"/>
  <c r="B37" i="12"/>
  <c r="C37" i="12"/>
  <c r="F37" i="12"/>
  <c r="G37" i="12"/>
  <c r="J37" i="12"/>
  <c r="N37" i="12"/>
  <c r="O37" i="12"/>
  <c r="B38" i="12"/>
  <c r="F38" i="12"/>
  <c r="J38" i="12"/>
  <c r="K38" i="12"/>
  <c r="N38" i="12"/>
  <c r="A41" i="12"/>
  <c r="E41" i="12"/>
  <c r="B44" i="12"/>
  <c r="F44" i="12"/>
  <c r="G45" i="12"/>
  <c r="G44" i="12"/>
  <c r="B45" i="12"/>
  <c r="C45" i="12"/>
  <c r="F45" i="12"/>
  <c r="B46" i="12"/>
  <c r="F46" i="12"/>
  <c r="G46" i="12"/>
  <c r="B47" i="12"/>
  <c r="F47" i="12"/>
  <c r="B48" i="12"/>
  <c r="F48" i="12"/>
  <c r="G48" i="12"/>
  <c r="B49" i="12"/>
  <c r="F49" i="12"/>
  <c r="G49" i="12"/>
  <c r="B50" i="12"/>
  <c r="F50" i="12"/>
  <c r="B51" i="12"/>
  <c r="F51" i="12"/>
  <c r="G52" i="12"/>
  <c r="B52" i="12"/>
  <c r="F52" i="12"/>
  <c r="B53" i="12"/>
  <c r="F53" i="12"/>
  <c r="G53" i="12"/>
  <c r="B54" i="12"/>
  <c r="F54" i="12"/>
  <c r="B17" i="11"/>
  <c r="D17" i="11"/>
  <c r="F17" i="11"/>
  <c r="G17" i="11"/>
  <c r="H17" i="11"/>
  <c r="I17" i="11"/>
  <c r="J17" i="11"/>
  <c r="K17" i="11"/>
  <c r="L17" i="11"/>
  <c r="N6" i="9"/>
  <c r="N7" i="9"/>
  <c r="N8" i="9"/>
  <c r="N9" i="9"/>
  <c r="N12" i="9"/>
  <c r="N13" i="9"/>
  <c r="N24" i="9"/>
  <c r="N25" i="9"/>
  <c r="N26" i="9"/>
  <c r="N27" i="9"/>
  <c r="N28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72" i="9"/>
  <c r="N65" i="9"/>
  <c r="N66" i="9"/>
  <c r="N69" i="9"/>
  <c r="N70" i="9"/>
  <c r="B72" i="9"/>
  <c r="C72" i="9"/>
  <c r="D72" i="9"/>
  <c r="E72" i="9"/>
  <c r="G72" i="9"/>
  <c r="I72" i="9"/>
  <c r="L72" i="9"/>
  <c r="M72" i="9"/>
  <c r="B24" i="45"/>
  <c r="C24" i="45"/>
  <c r="D24" i="45"/>
  <c r="E24" i="45"/>
  <c r="F24" i="45"/>
  <c r="G24" i="45"/>
  <c r="H24" i="45"/>
  <c r="I24" i="45"/>
  <c r="J24" i="45"/>
  <c r="K24" i="45"/>
  <c r="C25" i="45"/>
  <c r="D25" i="45"/>
  <c r="E25" i="45"/>
  <c r="F25" i="45"/>
  <c r="G25" i="45"/>
  <c r="H25" i="45"/>
  <c r="I25" i="45"/>
  <c r="J25" i="45"/>
  <c r="K25" i="45"/>
  <c r="D17" i="7"/>
  <c r="A9" i="6"/>
  <c r="E9" i="6"/>
  <c r="I9" i="6"/>
  <c r="M9" i="6"/>
  <c r="B11" i="6"/>
  <c r="C11" i="6"/>
  <c r="F11" i="6"/>
  <c r="J11" i="6"/>
  <c r="N11" i="6"/>
  <c r="B12" i="6"/>
  <c r="F12" i="6"/>
  <c r="J12" i="6"/>
  <c r="N12" i="6"/>
  <c r="B13" i="6"/>
  <c r="C13" i="6"/>
  <c r="F13" i="6"/>
  <c r="J13" i="6"/>
  <c r="N13" i="6"/>
  <c r="O13" i="6"/>
  <c r="B14" i="6"/>
  <c r="F14" i="6"/>
  <c r="J14" i="6"/>
  <c r="N14" i="6"/>
  <c r="B15" i="6"/>
  <c r="F15" i="6"/>
  <c r="G15" i="6"/>
  <c r="J15" i="6"/>
  <c r="K15" i="6"/>
  <c r="N15" i="6"/>
  <c r="B16" i="6"/>
  <c r="C16" i="6"/>
  <c r="F16" i="6"/>
  <c r="J16" i="6"/>
  <c r="N16" i="6"/>
  <c r="B17" i="6"/>
  <c r="F17" i="6"/>
  <c r="G17" i="6"/>
  <c r="J17" i="6"/>
  <c r="K17" i="6"/>
  <c r="N17" i="6"/>
  <c r="B18" i="6"/>
  <c r="F18" i="6"/>
  <c r="J18" i="6"/>
  <c r="K18" i="6"/>
  <c r="N18" i="6"/>
  <c r="B19" i="6"/>
  <c r="F19" i="6"/>
  <c r="G20" i="6"/>
  <c r="J19" i="6"/>
  <c r="N19" i="6"/>
  <c r="B20" i="6"/>
  <c r="C20" i="6"/>
  <c r="J20" i="6"/>
  <c r="N20" i="6"/>
  <c r="O20" i="6"/>
  <c r="C22" i="6"/>
  <c r="G21" i="6"/>
  <c r="K22" i="6"/>
  <c r="G22" i="6"/>
  <c r="A25" i="6"/>
  <c r="E25" i="6"/>
  <c r="I25" i="6"/>
  <c r="B27" i="6"/>
  <c r="F27" i="6"/>
  <c r="J27" i="6"/>
  <c r="N27" i="6"/>
  <c r="O27" i="6"/>
  <c r="B28" i="6"/>
  <c r="C28" i="6"/>
  <c r="F28" i="6"/>
  <c r="G28" i="6"/>
  <c r="J28" i="6"/>
  <c r="N28" i="6"/>
  <c r="B29" i="6"/>
  <c r="F29" i="6"/>
  <c r="G29" i="6"/>
  <c r="J29" i="6"/>
  <c r="N29" i="6"/>
  <c r="O29" i="6"/>
  <c r="B30" i="6"/>
  <c r="F30" i="6"/>
  <c r="G30" i="6"/>
  <c r="J30" i="6"/>
  <c r="K30" i="6"/>
  <c r="N30" i="6"/>
  <c r="B31" i="6"/>
  <c r="F31" i="6"/>
  <c r="G31" i="6"/>
  <c r="J31" i="6"/>
  <c r="N31" i="6"/>
  <c r="B32" i="6"/>
  <c r="F32" i="6"/>
  <c r="G32" i="6"/>
  <c r="J32" i="6"/>
  <c r="N32" i="6"/>
  <c r="O33" i="6"/>
  <c r="B33" i="6"/>
  <c r="F33" i="6"/>
  <c r="G33" i="6"/>
  <c r="J33" i="6"/>
  <c r="K33" i="6"/>
  <c r="N33" i="6"/>
  <c r="B34" i="6"/>
  <c r="F34" i="6"/>
  <c r="J34" i="6"/>
  <c r="N34" i="6"/>
  <c r="O34" i="6"/>
  <c r="B35" i="6"/>
  <c r="C35" i="6"/>
  <c r="F35" i="6"/>
  <c r="G35" i="6"/>
  <c r="J35" i="6"/>
  <c r="K35" i="6"/>
  <c r="N35" i="6"/>
  <c r="O35" i="6"/>
  <c r="B36" i="6"/>
  <c r="F36" i="6"/>
  <c r="J36" i="6"/>
  <c r="N36" i="6"/>
  <c r="G37" i="6"/>
  <c r="K37" i="6"/>
  <c r="C38" i="6"/>
  <c r="K38" i="6"/>
  <c r="A41" i="6"/>
  <c r="E41" i="6"/>
  <c r="B43" i="6"/>
  <c r="F43" i="6"/>
  <c r="B44" i="6"/>
  <c r="C44" i="6"/>
  <c r="B45" i="6"/>
  <c r="C46" i="6"/>
  <c r="F45" i="6"/>
  <c r="G45" i="6"/>
  <c r="B46" i="6"/>
  <c r="F46" i="6"/>
  <c r="G46" i="6"/>
  <c r="B47" i="6"/>
  <c r="C47" i="6"/>
  <c r="F47" i="6"/>
  <c r="G47" i="6"/>
  <c r="B48" i="6"/>
  <c r="C48" i="6"/>
  <c r="F48" i="6"/>
  <c r="G49" i="6"/>
  <c r="B49" i="6"/>
  <c r="C49" i="6"/>
  <c r="F49" i="6"/>
  <c r="B50" i="6"/>
  <c r="C50" i="6"/>
  <c r="F50" i="6"/>
  <c r="G50" i="6"/>
  <c r="B51" i="6"/>
  <c r="F51" i="6"/>
  <c r="B52" i="6"/>
  <c r="C54" i="6"/>
  <c r="G54" i="6"/>
  <c r="N7" i="5"/>
  <c r="N8" i="5"/>
  <c r="O8" i="5"/>
  <c r="N9" i="5"/>
  <c r="O9" i="5"/>
  <c r="N10" i="5"/>
  <c r="O10" i="5"/>
  <c r="N11" i="5"/>
  <c r="O11" i="5"/>
  <c r="N12" i="5"/>
  <c r="O12" i="5"/>
  <c r="N13" i="5"/>
  <c r="O13" i="5"/>
  <c r="N14" i="5"/>
  <c r="O14" i="5"/>
  <c r="N15" i="5"/>
  <c r="O15" i="5"/>
  <c r="N16" i="5"/>
  <c r="O16" i="5"/>
  <c r="B17" i="5"/>
  <c r="C17" i="5"/>
  <c r="D17" i="5"/>
  <c r="H17" i="5"/>
  <c r="I17" i="5"/>
  <c r="J17" i="5"/>
  <c r="K17" i="5"/>
  <c r="L17" i="5"/>
  <c r="M17" i="5"/>
  <c r="P17" i="5"/>
  <c r="P18" i="5"/>
  <c r="N5" i="4"/>
  <c r="N6" i="4"/>
  <c r="O6" i="4"/>
  <c r="N7" i="4"/>
  <c r="O7" i="4"/>
  <c r="N8" i="4"/>
  <c r="O8" i="4"/>
  <c r="N10" i="4"/>
  <c r="O10" i="4"/>
  <c r="N11" i="4"/>
  <c r="O11" i="4"/>
  <c r="N12" i="4"/>
  <c r="O12" i="4"/>
  <c r="N14" i="4"/>
  <c r="O14" i="4"/>
  <c r="N16" i="4"/>
  <c r="O16" i="4"/>
  <c r="N18" i="4"/>
  <c r="O18" i="4"/>
  <c r="N19" i="4"/>
  <c r="O19" i="4"/>
  <c r="N20" i="4"/>
  <c r="O20" i="4"/>
  <c r="N23" i="4"/>
  <c r="O23" i="4"/>
  <c r="N24" i="4"/>
  <c r="O24" i="4"/>
  <c r="N26" i="4"/>
  <c r="O26" i="4"/>
  <c r="N27" i="4"/>
  <c r="O27" i="4"/>
  <c r="N31" i="4"/>
  <c r="O31" i="4"/>
  <c r="N32" i="4"/>
  <c r="O32" i="4"/>
  <c r="N33" i="4"/>
  <c r="O33" i="4"/>
  <c r="N36" i="4"/>
  <c r="O36" i="4"/>
  <c r="O39" i="4"/>
  <c r="N41" i="4"/>
  <c r="O41" i="4"/>
  <c r="N44" i="4"/>
  <c r="O44" i="4"/>
  <c r="N48" i="4"/>
  <c r="O48" i="4"/>
  <c r="N52" i="4"/>
  <c r="O52" i="4"/>
  <c r="N56" i="4"/>
  <c r="O56" i="4"/>
  <c r="O58" i="4"/>
  <c r="N60" i="4"/>
  <c r="O60" i="4"/>
  <c r="N61" i="4"/>
  <c r="O61" i="4"/>
  <c r="N64" i="4"/>
  <c r="O64" i="4"/>
  <c r="N65" i="4"/>
  <c r="O65" i="4"/>
  <c r="N68" i="4"/>
  <c r="O68" i="4"/>
  <c r="O74" i="4"/>
  <c r="O76" i="4"/>
  <c r="O78" i="4"/>
  <c r="O83" i="4"/>
  <c r="O85" i="4"/>
  <c r="N94" i="4"/>
  <c r="N101" i="4"/>
  <c r="O107" i="4"/>
  <c r="O123" i="4"/>
  <c r="N137" i="4"/>
  <c r="N139" i="4"/>
  <c r="N152" i="4"/>
  <c r="O161" i="4"/>
  <c r="N170" i="4"/>
  <c r="O183" i="4"/>
  <c r="B187" i="4"/>
  <c r="C187" i="4"/>
  <c r="L187" i="4"/>
  <c r="Q19" i="3"/>
  <c r="S19" i="3"/>
  <c r="S20" i="3"/>
  <c r="Q22" i="3"/>
  <c r="S22" i="3"/>
  <c r="Q23" i="3"/>
  <c r="S23" i="3"/>
  <c r="E24" i="3"/>
  <c r="G24" i="3"/>
  <c r="K24" i="3"/>
  <c r="L24" i="3"/>
  <c r="M24" i="3"/>
  <c r="N24" i="3"/>
  <c r="O24" i="3"/>
  <c r="P24" i="3"/>
  <c r="N5" i="2"/>
  <c r="O5" i="2"/>
  <c r="N6" i="2"/>
  <c r="N7" i="2"/>
  <c r="N8" i="2"/>
  <c r="N9" i="2"/>
  <c r="N11" i="2"/>
  <c r="N10" i="2"/>
  <c r="H11" i="2"/>
  <c r="I11" i="2"/>
  <c r="J11" i="2"/>
  <c r="O11" i="2"/>
  <c r="K11" i="2"/>
  <c r="M11" i="2"/>
  <c r="Q8" i="2"/>
  <c r="C17" i="7"/>
  <c r="O74" i="53"/>
  <c r="O88" i="53"/>
  <c r="O50" i="53"/>
  <c r="O54" i="53"/>
  <c r="O42" i="53"/>
  <c r="O46" i="53"/>
  <c r="O94" i="53"/>
  <c r="O24" i="53"/>
  <c r="O82" i="53"/>
  <c r="O38" i="53"/>
  <c r="O75" i="53"/>
  <c r="O41" i="53"/>
  <c r="O90" i="53"/>
  <c r="O78" i="53"/>
  <c r="O86" i="53"/>
  <c r="O45" i="53"/>
  <c r="O66" i="53"/>
  <c r="O43" i="53"/>
  <c r="O72" i="53"/>
  <c r="O57" i="53"/>
  <c r="O58" i="53"/>
  <c r="O84" i="53"/>
  <c r="O23" i="53"/>
  <c r="O22" i="53"/>
  <c r="O64" i="53"/>
  <c r="O96" i="53"/>
  <c r="O26" i="53"/>
  <c r="L15" i="34"/>
  <c r="O133" i="4"/>
  <c r="N121" i="4"/>
  <c r="O166" i="4"/>
  <c r="N150" i="4"/>
  <c r="O125" i="4"/>
  <c r="O109" i="4"/>
  <c r="N162" i="4"/>
  <c r="O144" i="4"/>
  <c r="N114" i="4"/>
  <c r="O175" i="4"/>
  <c r="N154" i="4"/>
  <c r="N141" i="4"/>
  <c r="O129" i="4"/>
  <c r="O113" i="4"/>
  <c r="O106" i="4"/>
  <c r="O88" i="4"/>
  <c r="N81" i="4"/>
  <c r="O145" i="4"/>
  <c r="N180" i="4"/>
  <c r="O35" i="4"/>
  <c r="N184" i="4"/>
  <c r="N110" i="4"/>
  <c r="O105" i="4"/>
  <c r="O80" i="4"/>
  <c r="O163" i="4"/>
  <c r="N155" i="4"/>
  <c r="O138" i="4"/>
  <c r="O96" i="4"/>
  <c r="O49" i="4"/>
  <c r="O45" i="4"/>
  <c r="N146" i="4"/>
  <c r="N158" i="4"/>
  <c r="N97" i="4"/>
  <c r="O93" i="4"/>
  <c r="O77" i="4"/>
  <c r="O167" i="4"/>
  <c r="O151" i="4"/>
  <c r="N142" i="4"/>
  <c r="O126" i="4"/>
  <c r="O117" i="4"/>
  <c r="O92" i="4"/>
  <c r="O84" i="4"/>
  <c r="N171" i="4"/>
  <c r="N130" i="4"/>
  <c r="O122" i="4"/>
  <c r="O22" i="4"/>
  <c r="O176" i="4"/>
  <c r="O73" i="4"/>
  <c r="O172" i="4"/>
  <c r="O160" i="4"/>
  <c r="N119" i="4"/>
  <c r="N177" i="4"/>
  <c r="O159" i="4"/>
  <c r="O156" i="4"/>
  <c r="O143" i="4"/>
  <c r="O134" i="4"/>
  <c r="O131" i="4"/>
  <c r="O118" i="4"/>
  <c r="O115" i="4"/>
  <c r="O102" i="4"/>
  <c r="O99" i="4"/>
  <c r="O89" i="4"/>
  <c r="O72" i="4"/>
  <c r="O69" i="4"/>
  <c r="O66" i="4"/>
  <c r="O57" i="4"/>
  <c r="O53" i="4"/>
  <c r="O50" i="4"/>
  <c r="O40" i="4"/>
  <c r="N185" i="4"/>
  <c r="N135" i="4"/>
  <c r="N103" i="4"/>
  <c r="N90" i="4"/>
  <c r="N181" i="4"/>
  <c r="N168" i="4"/>
  <c r="N127" i="4"/>
  <c r="N111" i="4"/>
  <c r="O82" i="4"/>
  <c r="O182" i="4"/>
  <c r="O169" i="4"/>
  <c r="O164" i="4"/>
  <c r="O153" i="4"/>
  <c r="O147" i="4"/>
  <c r="O136" i="4"/>
  <c r="O91" i="4"/>
  <c r="O86" i="4"/>
  <c r="O70" i="4"/>
  <c r="O62" i="4"/>
  <c r="O54" i="4"/>
  <c r="O46" i="4"/>
  <c r="O37" i="4"/>
  <c r="O28" i="4"/>
  <c r="O15" i="4"/>
  <c r="O165" i="4"/>
  <c r="O149" i="4"/>
  <c r="O87" i="4"/>
  <c r="O100" i="4"/>
  <c r="O174" i="4"/>
  <c r="O157" i="4"/>
  <c r="O140" i="4"/>
  <c r="O95" i="4"/>
  <c r="O79" i="4"/>
  <c r="N15" i="4"/>
  <c r="O128" i="4"/>
  <c r="O124" i="4"/>
  <c r="O120" i="4"/>
  <c r="O116" i="4"/>
  <c r="O112" i="4"/>
  <c r="O108" i="4"/>
  <c r="O104" i="4"/>
  <c r="O75" i="4"/>
  <c r="O71" i="4"/>
  <c r="O67" i="4"/>
  <c r="O63" i="4"/>
  <c r="O59" i="4"/>
  <c r="O55" i="4"/>
  <c r="O51" i="4"/>
  <c r="O47" i="4"/>
  <c r="O42" i="4"/>
  <c r="O38" i="4"/>
  <c r="O34" i="4"/>
  <c r="O30" i="4"/>
  <c r="O25" i="4"/>
  <c r="O21" i="4"/>
  <c r="O17" i="4"/>
  <c r="O13" i="4"/>
  <c r="O9" i="4"/>
  <c r="O132" i="4"/>
  <c r="O186" i="4"/>
  <c r="O178" i="4"/>
  <c r="G44" i="6"/>
  <c r="O19" i="6"/>
  <c r="G18" i="6"/>
  <c r="AG47" i="53"/>
  <c r="B21" i="34"/>
  <c r="O37" i="18"/>
  <c r="G13" i="6"/>
  <c r="G14" i="6"/>
  <c r="K37" i="12"/>
  <c r="G15" i="18"/>
  <c r="B28" i="34"/>
  <c r="C19" i="6"/>
  <c r="S21" i="3"/>
  <c r="Q20" i="3"/>
  <c r="G50" i="12"/>
  <c r="C54" i="12"/>
  <c r="N11" i="12"/>
  <c r="O16" i="11"/>
  <c r="N27" i="12"/>
  <c r="O27" i="12"/>
  <c r="G28" i="12"/>
  <c r="O15" i="11"/>
  <c r="O11" i="11"/>
  <c r="M17" i="11"/>
  <c r="P17" i="11"/>
  <c r="P18" i="11"/>
  <c r="O7" i="11"/>
  <c r="K34" i="12"/>
  <c r="C32" i="12"/>
  <c r="J11" i="12"/>
  <c r="G22" i="34"/>
  <c r="G53" i="18"/>
  <c r="AF38" i="53"/>
  <c r="AG38" i="53"/>
  <c r="K36" i="6"/>
  <c r="G29" i="34"/>
  <c r="C33" i="18"/>
  <c r="O18" i="18"/>
  <c r="O13" i="18"/>
  <c r="C34" i="18"/>
  <c r="O16" i="18"/>
  <c r="C37" i="18"/>
  <c r="O19" i="18"/>
  <c r="G45" i="18"/>
  <c r="G48" i="6"/>
  <c r="C32" i="6"/>
  <c r="K16" i="6"/>
  <c r="C49" i="12"/>
  <c r="G29" i="12"/>
  <c r="G30" i="12"/>
  <c r="K34" i="18"/>
  <c r="K35" i="18"/>
  <c r="K20" i="18"/>
  <c r="C47" i="18"/>
  <c r="C48" i="18"/>
  <c r="G19" i="34"/>
  <c r="G52" i="6"/>
  <c r="G53" i="6"/>
  <c r="O32" i="6"/>
  <c r="K14" i="6"/>
  <c r="O18" i="6"/>
  <c r="C36" i="18"/>
  <c r="C35" i="18"/>
  <c r="B27" i="34"/>
  <c r="C15" i="34"/>
  <c r="K15" i="18"/>
  <c r="C13" i="18"/>
  <c r="G38" i="12"/>
  <c r="G30" i="34"/>
  <c r="O20" i="18"/>
  <c r="K31" i="18"/>
  <c r="G19" i="6"/>
  <c r="K32" i="12"/>
  <c r="O29" i="12"/>
  <c r="C16" i="12"/>
  <c r="N10" i="34"/>
  <c r="G36" i="6"/>
  <c r="O16" i="12"/>
  <c r="C21" i="6"/>
  <c r="K28" i="6"/>
  <c r="K29" i="6"/>
  <c r="C51" i="18"/>
  <c r="G18" i="18"/>
  <c r="C51" i="6"/>
  <c r="K13" i="6"/>
  <c r="C29" i="12"/>
  <c r="C28" i="12"/>
  <c r="O36" i="18"/>
  <c r="O30" i="18"/>
  <c r="G14" i="18"/>
  <c r="K13" i="18"/>
  <c r="Q5" i="2"/>
  <c r="Q7" i="2"/>
  <c r="Q10" i="2"/>
  <c r="Q6" i="2"/>
  <c r="Q9" i="2"/>
  <c r="S24" i="3"/>
  <c r="Q24" i="3"/>
  <c r="P8" i="2"/>
  <c r="Q11" i="2"/>
  <c r="P9" i="2"/>
  <c r="P7" i="2"/>
  <c r="P10" i="2"/>
  <c r="P11" i="2"/>
  <c r="P5" i="2"/>
  <c r="P6" i="2"/>
  <c r="C15" i="6"/>
  <c r="N18" i="17"/>
  <c r="C30" i="18"/>
  <c r="K12" i="18"/>
  <c r="K34" i="6"/>
  <c r="K21" i="6"/>
  <c r="C37" i="6"/>
  <c r="K32" i="6"/>
  <c r="G31" i="18"/>
  <c r="G32" i="18"/>
  <c r="O31" i="6"/>
  <c r="C30" i="12"/>
  <c r="O13" i="12"/>
  <c r="G47" i="18"/>
  <c r="G51" i="6"/>
  <c r="O37" i="6"/>
  <c r="C33" i="6"/>
  <c r="C34" i="6"/>
  <c r="C18" i="6"/>
  <c r="G16" i="6"/>
  <c r="C49" i="18"/>
  <c r="C50" i="18"/>
  <c r="G37" i="18"/>
  <c r="G36" i="18"/>
  <c r="O33" i="18"/>
  <c r="O17" i="18"/>
  <c r="C18" i="18"/>
  <c r="G27" i="34"/>
  <c r="G28" i="34"/>
  <c r="C30" i="6"/>
  <c r="C31" i="6"/>
  <c r="O33" i="12"/>
  <c r="O34" i="12"/>
  <c r="C13" i="12"/>
  <c r="K22" i="18"/>
  <c r="K18" i="18"/>
  <c r="C15" i="18"/>
  <c r="F32" i="34"/>
  <c r="G21" i="12"/>
  <c r="B30" i="34"/>
  <c r="R22" i="3"/>
  <c r="R19" i="3"/>
  <c r="R21" i="3"/>
  <c r="R23" i="3"/>
  <c r="R20" i="3"/>
  <c r="R24" i="3"/>
  <c r="O38" i="6"/>
  <c r="O16" i="6"/>
  <c r="O15" i="6"/>
  <c r="O36" i="6"/>
  <c r="O17" i="6"/>
  <c r="O22" i="6"/>
  <c r="K20" i="6"/>
  <c r="C45" i="6"/>
  <c r="C52" i="6"/>
  <c r="G34" i="6"/>
  <c r="O28" i="6"/>
  <c r="O14" i="6"/>
  <c r="C53" i="6"/>
  <c r="C14" i="6"/>
  <c r="O12" i="6"/>
  <c r="G12" i="6"/>
  <c r="O17" i="5"/>
  <c r="K12" i="6"/>
  <c r="C12" i="6"/>
  <c r="N17" i="5"/>
  <c r="C17" i="6"/>
  <c r="K31" i="6"/>
  <c r="C29" i="6"/>
  <c r="O21" i="6"/>
  <c r="G38" i="6"/>
  <c r="K19" i="6"/>
  <c r="O30" i="6"/>
  <c r="C36" i="6"/>
  <c r="G44" i="18"/>
  <c r="O17" i="17"/>
  <c r="G12" i="18"/>
  <c r="K28" i="18"/>
  <c r="N17" i="17"/>
  <c r="C28" i="18"/>
  <c r="O32" i="18"/>
  <c r="G48" i="18"/>
  <c r="K38" i="18"/>
  <c r="G13" i="18"/>
  <c r="O28" i="18"/>
  <c r="G20" i="18"/>
  <c r="C22" i="18"/>
  <c r="C54" i="18"/>
  <c r="K32" i="18"/>
  <c r="C16" i="18"/>
  <c r="K29" i="18"/>
  <c r="G29" i="18"/>
  <c r="G35" i="18"/>
  <c r="K17" i="18"/>
  <c r="N37" i="16"/>
  <c r="P14" i="16"/>
  <c r="P18" i="16"/>
  <c r="P21" i="16"/>
  <c r="P23" i="16"/>
  <c r="P16" i="16"/>
  <c r="P27" i="16"/>
  <c r="P29" i="16"/>
  <c r="P8" i="16"/>
  <c r="P12" i="16"/>
  <c r="P28" i="16"/>
  <c r="P19" i="16"/>
  <c r="P25" i="16"/>
  <c r="P31" i="16"/>
  <c r="P20" i="16"/>
  <c r="P15" i="16"/>
  <c r="P17" i="16"/>
  <c r="P13" i="16"/>
  <c r="P7" i="16"/>
  <c r="P9" i="16"/>
  <c r="P26" i="16"/>
  <c r="P30" i="16"/>
  <c r="P33" i="16"/>
  <c r="P5" i="16"/>
  <c r="F17" i="13"/>
  <c r="O28" i="12"/>
  <c r="G12" i="12"/>
  <c r="N17" i="11"/>
  <c r="O17" i="11"/>
  <c r="K12" i="12"/>
  <c r="K17" i="12"/>
  <c r="G51" i="12"/>
  <c r="C46" i="12"/>
  <c r="C35" i="12"/>
  <c r="C19" i="12"/>
  <c r="O14" i="12"/>
  <c r="C14" i="12"/>
  <c r="G47" i="12"/>
  <c r="C22" i="12"/>
  <c r="K20" i="12"/>
  <c r="O12" i="12"/>
  <c r="G54" i="12"/>
  <c r="C53" i="12"/>
  <c r="C51" i="12"/>
  <c r="C47" i="12"/>
  <c r="O19" i="12"/>
  <c r="C38" i="12"/>
  <c r="C34" i="12"/>
  <c r="O38" i="12"/>
  <c r="K31" i="12"/>
  <c r="C48" i="12"/>
  <c r="G17" i="12"/>
  <c r="G19" i="12"/>
  <c r="G33" i="12"/>
  <c r="C50" i="12"/>
  <c r="C52" i="12"/>
  <c r="K15" i="12"/>
  <c r="C18" i="12"/>
  <c r="O72" i="9"/>
  <c r="E17" i="7"/>
  <c r="P34" i="16"/>
  <c r="P11" i="16"/>
  <c r="P10" i="16"/>
  <c r="P6" i="16"/>
  <c r="P36" i="16"/>
  <c r="P24" i="16"/>
  <c r="P22" i="16"/>
  <c r="P32" i="16"/>
  <c r="P35" i="16"/>
  <c r="P37" i="16"/>
  <c r="P53" i="9"/>
  <c r="P12" i="9"/>
  <c r="P26" i="9"/>
  <c r="P33" i="9"/>
  <c r="P30" i="9"/>
  <c r="P27" i="9"/>
  <c r="P6" i="9"/>
  <c r="P70" i="9"/>
  <c r="P11" i="9"/>
  <c r="P71" i="9"/>
  <c r="P49" i="9"/>
  <c r="P38" i="9"/>
  <c r="P61" i="9"/>
  <c r="P51" i="9"/>
  <c r="P13" i="9"/>
  <c r="P5" i="9"/>
  <c r="P48" i="9"/>
  <c r="P28" i="9"/>
  <c r="P56" i="9"/>
  <c r="P20" i="9"/>
  <c r="P16" i="9"/>
  <c r="P32" i="9"/>
  <c r="P18" i="9"/>
  <c r="P22" i="9"/>
  <c r="P58" i="9"/>
  <c r="P45" i="9"/>
  <c r="P34" i="9"/>
  <c r="P68" i="9"/>
  <c r="P62" i="9"/>
  <c r="P31" i="9"/>
  <c r="P63" i="9"/>
  <c r="P35" i="9"/>
  <c r="P42" i="9"/>
  <c r="P69" i="9"/>
  <c r="P29" i="9"/>
  <c r="P10" i="9"/>
  <c r="P64" i="9"/>
  <c r="P9" i="9"/>
  <c r="P37" i="9"/>
  <c r="P19" i="9"/>
  <c r="P52" i="9"/>
  <c r="P66" i="9"/>
  <c r="P43" i="9"/>
  <c r="P50" i="9"/>
  <c r="P54" i="9"/>
  <c r="P25" i="9"/>
  <c r="P55" i="9"/>
  <c r="P23" i="9"/>
  <c r="P7" i="9"/>
  <c r="P39" i="9"/>
  <c r="P14" i="9"/>
  <c r="P46" i="9"/>
  <c r="P44" i="9"/>
  <c r="P40" i="9"/>
  <c r="P57" i="9"/>
  <c r="P67" i="9"/>
  <c r="P8" i="9"/>
  <c r="P24" i="9"/>
  <c r="P59" i="9"/>
  <c r="P65" i="9"/>
  <c r="P41" i="9"/>
  <c r="P17" i="9"/>
  <c r="P21" i="9"/>
  <c r="P36" i="9"/>
  <c r="P47" i="9"/>
  <c r="P15" i="9"/>
  <c r="P60" i="9"/>
  <c r="P72" i="9"/>
  <c r="AF27" i="53"/>
  <c r="AG33" i="53"/>
  <c r="AG39" i="53"/>
  <c r="AF39" i="53"/>
  <c r="AF47" i="53"/>
  <c r="AG27" i="53"/>
  <c r="H63" i="34"/>
  <c r="G65" i="34"/>
  <c r="F65" i="34"/>
  <c r="H48" i="34"/>
  <c r="H65" i="34"/>
  <c r="N15" i="34"/>
  <c r="P6" i="34"/>
  <c r="P7" i="34"/>
  <c r="E65" i="34"/>
  <c r="F31" i="34"/>
  <c r="G24" i="34"/>
  <c r="C29" i="34"/>
  <c r="C23" i="34"/>
  <c r="C28" i="34"/>
  <c r="C21" i="34"/>
  <c r="B32" i="34"/>
  <c r="C20" i="34"/>
  <c r="B31" i="34"/>
  <c r="Q13" i="34"/>
  <c r="Q6" i="34"/>
  <c r="Q8" i="34"/>
  <c r="Q7" i="34"/>
  <c r="C30" i="34"/>
  <c r="C26" i="34"/>
  <c r="O15" i="34"/>
  <c r="C24" i="34"/>
  <c r="O10" i="34"/>
  <c r="C27" i="34"/>
  <c r="O9" i="34"/>
  <c r="P9" i="34"/>
  <c r="Q10" i="34"/>
  <c r="Q15" i="34"/>
  <c r="P108" i="53"/>
  <c r="P110" i="53"/>
  <c r="P103" i="53"/>
  <c r="P109" i="53"/>
  <c r="P102" i="53"/>
  <c r="P104" i="53"/>
  <c r="P105" i="53"/>
  <c r="P107" i="53"/>
  <c r="P111" i="53"/>
  <c r="P92" i="53"/>
  <c r="P96" i="53"/>
  <c r="P52" i="53"/>
  <c r="P69" i="53"/>
  <c r="P97" i="53"/>
  <c r="P25" i="53"/>
  <c r="P38" i="53"/>
  <c r="P34" i="53"/>
  <c r="P93" i="53"/>
  <c r="P33" i="53"/>
  <c r="P76" i="53"/>
  <c r="P61" i="53"/>
  <c r="P28" i="53"/>
  <c r="P88" i="53"/>
  <c r="P26" i="53"/>
  <c r="P41" i="53"/>
  <c r="P85" i="53"/>
  <c r="P42" i="53"/>
  <c r="P53" i="53"/>
  <c r="P60" i="53"/>
  <c r="P73" i="53"/>
  <c r="P44" i="53"/>
  <c r="P81" i="53"/>
  <c r="P65" i="53"/>
  <c r="P89" i="53"/>
  <c r="P72" i="53"/>
  <c r="P94" i="53"/>
  <c r="P80" i="53"/>
  <c r="P23" i="53"/>
  <c r="P48" i="53"/>
  <c r="P29" i="53"/>
  <c r="P57" i="53"/>
  <c r="P55" i="53"/>
  <c r="P45" i="53"/>
  <c r="P27" i="53"/>
  <c r="P58" i="53"/>
  <c r="P86" i="53"/>
  <c r="P49" i="53"/>
  <c r="P32" i="53"/>
  <c r="P84" i="53"/>
  <c r="P50" i="53"/>
  <c r="P64" i="53"/>
  <c r="P78" i="53"/>
  <c r="P40" i="53"/>
  <c r="P37" i="53"/>
  <c r="P77" i="53"/>
  <c r="P70" i="53"/>
  <c r="P54" i="53"/>
  <c r="P68" i="53"/>
  <c r="P66" i="53"/>
  <c r="P74" i="53"/>
  <c r="P46" i="53"/>
  <c r="P63" i="53"/>
  <c r="P82" i="53"/>
  <c r="P90" i="53"/>
  <c r="P24" i="53"/>
  <c r="P36" i="53"/>
  <c r="P30" i="53"/>
  <c r="P79" i="53"/>
  <c r="P31" i="53"/>
  <c r="P22" i="53"/>
  <c r="P98" i="53"/>
  <c r="O187" i="4"/>
  <c r="P23" i="4" l="1"/>
  <c r="P62" i="4"/>
  <c r="P104" i="4"/>
  <c r="P163" i="4"/>
  <c r="P139" i="4"/>
  <c r="P161" i="4"/>
  <c r="P103" i="4"/>
  <c r="P75" i="4"/>
  <c r="P128" i="4"/>
  <c r="P152" i="4"/>
  <c r="P153" i="4"/>
  <c r="P77" i="4"/>
  <c r="P99" i="4"/>
  <c r="P88" i="4"/>
  <c r="P179" i="4"/>
  <c r="P89" i="4"/>
  <c r="P145" i="4"/>
  <c r="P36" i="4"/>
  <c r="P135" i="4"/>
  <c r="P78" i="4"/>
  <c r="P68" i="4"/>
  <c r="P58" i="4"/>
  <c r="P5" i="4"/>
  <c r="P184" i="4"/>
  <c r="P70" i="4"/>
  <c r="P174" i="4"/>
  <c r="P131" i="4"/>
  <c r="P127" i="4"/>
  <c r="P34" i="4"/>
  <c r="P91" i="4"/>
  <c r="P120" i="4"/>
  <c r="P13" i="4"/>
  <c r="P10" i="4"/>
  <c r="P143" i="4"/>
  <c r="P100" i="4"/>
  <c r="P170" i="4"/>
  <c r="P76" i="4"/>
  <c r="P109" i="4"/>
  <c r="P166" i="4"/>
  <c r="P57" i="4"/>
  <c r="P130" i="4"/>
  <c r="P67" i="4"/>
  <c r="P63" i="4"/>
  <c r="P71" i="4"/>
  <c r="P6" i="4"/>
  <c r="P122" i="4"/>
  <c r="P90" i="4"/>
  <c r="P140" i="4"/>
  <c r="P51" i="4"/>
  <c r="P150" i="4"/>
  <c r="P101" i="4"/>
  <c r="P111" i="4"/>
  <c r="P32" i="4"/>
  <c r="P60" i="4"/>
  <c r="P113" i="4"/>
  <c r="P7" i="4"/>
  <c r="P31" i="4"/>
  <c r="P28" i="4"/>
  <c r="P46" i="4"/>
  <c r="P11" i="4"/>
  <c r="P55" i="4"/>
  <c r="P175" i="4"/>
  <c r="P146" i="4"/>
  <c r="P39" i="4"/>
  <c r="P147" i="4"/>
  <c r="P50" i="4"/>
  <c r="P84" i="4"/>
  <c r="P40" i="4"/>
  <c r="P35" i="4"/>
  <c r="P41" i="4"/>
  <c r="P52" i="4"/>
  <c r="P30" i="4"/>
  <c r="P129" i="4"/>
  <c r="P27" i="4"/>
  <c r="P123" i="4"/>
  <c r="P157" i="4"/>
  <c r="P96" i="4"/>
  <c r="P81" i="4"/>
  <c r="P18" i="4"/>
  <c r="P142" i="4"/>
  <c r="P45" i="4"/>
  <c r="P133" i="4"/>
  <c r="P136" i="4"/>
  <c r="P87" i="4"/>
  <c r="P73" i="4"/>
  <c r="P134" i="4"/>
  <c r="P8" i="4"/>
  <c r="P180" i="4"/>
  <c r="P110" i="4"/>
  <c r="P82" i="4"/>
  <c r="P83" i="4"/>
  <c r="P21" i="4"/>
  <c r="P16" i="4"/>
  <c r="P144" i="4"/>
  <c r="P181" i="4"/>
  <c r="P115" i="4"/>
  <c r="P160" i="4"/>
  <c r="P42" i="4"/>
  <c r="P54" i="4"/>
  <c r="P29" i="4"/>
  <c r="P105" i="4"/>
  <c r="P167" i="4"/>
  <c r="P48" i="4"/>
  <c r="P164" i="4"/>
  <c r="P108" i="4"/>
  <c r="P183" i="4"/>
  <c r="P186" i="4"/>
  <c r="P137" i="4"/>
  <c r="P92" i="4"/>
  <c r="P12" i="4"/>
  <c r="P44" i="4"/>
  <c r="P33" i="4"/>
  <c r="P15" i="4"/>
  <c r="P47" i="4"/>
  <c r="P173" i="4"/>
  <c r="P79" i="4"/>
  <c r="P172" i="4"/>
  <c r="P159" i="4"/>
  <c r="P138" i="4"/>
  <c r="P187" i="4"/>
  <c r="P107" i="4"/>
  <c r="P14" i="4"/>
  <c r="P118" i="4"/>
  <c r="P176" i="4"/>
  <c r="P158" i="4"/>
  <c r="P74" i="4"/>
  <c r="P80" i="4"/>
  <c r="P43" i="4"/>
  <c r="P24" i="4"/>
  <c r="P165" i="4"/>
  <c r="P53" i="4"/>
  <c r="P20" i="4"/>
  <c r="P25" i="4"/>
  <c r="P154" i="4"/>
  <c r="P66" i="4"/>
  <c r="P124" i="4"/>
  <c r="P112" i="4"/>
  <c r="P125" i="4"/>
  <c r="P119" i="4"/>
  <c r="P94" i="4"/>
  <c r="P22" i="4"/>
  <c r="P168" i="4"/>
  <c r="P72" i="4"/>
  <c r="P65" i="4"/>
  <c r="P117" i="4"/>
  <c r="P121" i="4"/>
  <c r="P141" i="4"/>
  <c r="P149" i="4"/>
  <c r="P169" i="4"/>
  <c r="P156" i="4"/>
  <c r="P132" i="4"/>
  <c r="P26" i="4"/>
  <c r="P49" i="4"/>
  <c r="P185" i="4"/>
  <c r="P56" i="4"/>
  <c r="P171" i="4"/>
  <c r="P59" i="4"/>
  <c r="P86" i="4"/>
  <c r="P19" i="4"/>
  <c r="P69" i="4"/>
  <c r="P114" i="4"/>
  <c r="P98" i="4"/>
  <c r="P17" i="4"/>
  <c r="P182" i="4"/>
  <c r="P95" i="4"/>
  <c r="P97" i="4"/>
  <c r="P155" i="4"/>
  <c r="P9" i="4"/>
  <c r="P162" i="4"/>
  <c r="P178" i="4"/>
  <c r="P148" i="4"/>
  <c r="P64" i="4"/>
  <c r="P37" i="4"/>
  <c r="P126" i="4"/>
  <c r="P93" i="4"/>
  <c r="P116" i="4"/>
  <c r="P85" i="4"/>
  <c r="P102" i="4"/>
  <c r="P38" i="4"/>
  <c r="P61" i="4"/>
  <c r="P177" i="4"/>
  <c r="P106" i="4"/>
</calcChain>
</file>

<file path=xl/sharedStrings.xml><?xml version="1.0" encoding="utf-8"?>
<sst xmlns="http://schemas.openxmlformats.org/spreadsheetml/2006/main" count="805" uniqueCount="444">
  <si>
    <t>Controladoria Geral do Município - Ouvidoria Geral</t>
  </si>
  <si>
    <t>SIGRC - Sistema Integrado de Gerenciamento e Relacionamento com o Cidadão</t>
  </si>
  <si>
    <t>ATENDIMENTOS</t>
  </si>
  <si>
    <t>Total</t>
  </si>
  <si>
    <t>Média</t>
  </si>
  <si>
    <t>%Total</t>
  </si>
  <si>
    <t>TOTAL</t>
  </si>
  <si>
    <t>Meses</t>
  </si>
  <si>
    <t>Variação*</t>
  </si>
  <si>
    <t>* Variação percentual em relação ao mês imediatamente anterior.</t>
  </si>
  <si>
    <t>Tipo de manifestação</t>
  </si>
  <si>
    <t>Denúncia</t>
  </si>
  <si>
    <t>Elogio</t>
  </si>
  <si>
    <t>Reclamação</t>
  </si>
  <si>
    <t>Solicitação</t>
  </si>
  <si>
    <t>Sugestão</t>
  </si>
  <si>
    <t>Total Geral</t>
  </si>
  <si>
    <t>ASSUNTO (Guia Portal 156)*</t>
  </si>
  <si>
    <t>% Total</t>
  </si>
  <si>
    <t>Acessibilidade</t>
  </si>
  <si>
    <t>Acessibilidade em edificações</t>
  </si>
  <si>
    <t xml:space="preserve">Alimentação escolar </t>
  </si>
  <si>
    <t>Alistamento e Serviço Militar</t>
  </si>
  <si>
    <t>Animais que podem causar doenças e/ou agravos à saúde</t>
  </si>
  <si>
    <t>Animais silvestres</t>
  </si>
  <si>
    <t>Animal agressor e/ou invasor</t>
  </si>
  <si>
    <t>Animal em via pública</t>
  </si>
  <si>
    <t>Apoio à aprendizagem</t>
  </si>
  <si>
    <t>Apoio terapêutico</t>
  </si>
  <si>
    <t>Áreas contaminadas</t>
  </si>
  <si>
    <t>Áreas municipais</t>
  </si>
  <si>
    <t>Árvore</t>
  </si>
  <si>
    <t>Assistência a saúde na urgência e emergência (portas)</t>
  </si>
  <si>
    <t>Assistência domiciliar</t>
  </si>
  <si>
    <t>Assistência farmacêutica</t>
  </si>
  <si>
    <t>Auxílio Aluguel</t>
  </si>
  <si>
    <t>Bicicleta</t>
  </si>
  <si>
    <t>Bilhete único</t>
  </si>
  <si>
    <t>Boletim e frequência escolar</t>
  </si>
  <si>
    <t>Bolsa Primeira Infância</t>
  </si>
  <si>
    <t>Buraco e pavimentação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</si>
  <si>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</si>
  <si>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</si>
  <si>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</si>
  <si>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</si>
  <si>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</si>
  <si>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</si>
  <si>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Carro híbrido</t>
  </si>
  <si>
    <t>CCM - Cadastro de Contribuintes Mobiliários</t>
  </si>
  <si>
    <t>Cemitérios</t>
  </si>
  <si>
    <t>Central 156</t>
  </si>
  <si>
    <t>Centro de Apoio ao Trabalho e Empreendedorismo - CATe</t>
  </si>
  <si>
    <t>Centros de Referência, Convivência e Desenvolvimento</t>
  </si>
  <si>
    <t>Centros esportivos</t>
  </si>
  <si>
    <t>Certidão Ambiental</t>
  </si>
  <si>
    <t>Certidões</t>
  </si>
  <si>
    <t>Cirurgias</t>
  </si>
  <si>
    <t>COHAB</t>
  </si>
  <si>
    <t>Coleta de lixo domiciliar</t>
  </si>
  <si>
    <t>Coleta de resíduos de serviços de saúde</t>
  </si>
  <si>
    <t>Coleta seletiva</t>
  </si>
  <si>
    <t>Comida de rua e foodtruck</t>
  </si>
  <si>
    <t>Condições sanitárias inadequadas</t>
  </si>
  <si>
    <t>Conduta de funcionário da CET</t>
  </si>
  <si>
    <t>Conduta de funcionários</t>
  </si>
  <si>
    <t>Consulta de débitos e DUC</t>
  </si>
  <si>
    <t>Consultas médicas</t>
  </si>
  <si>
    <t>CPOM - cadastro de prestadores de serviços de outro município</t>
  </si>
  <si>
    <t>Criação inadequada de animais</t>
  </si>
  <si>
    <t>Criança e adolescente</t>
  </si>
  <si>
    <t>Defesa civil</t>
  </si>
  <si>
    <t>Dengue/chikungunya/zika (mosquito aedes aegypti)</t>
  </si>
  <si>
    <t>Dívida Ativa</t>
  </si>
  <si>
    <t>Documentações de edificações</t>
  </si>
  <si>
    <t>Drenagem de água de chuva</t>
  </si>
  <si>
    <t xml:space="preserve">Ecoponto </t>
  </si>
  <si>
    <t>Elevador, escada rolante, esteira rolante, plataforma de elevação</t>
  </si>
  <si>
    <t>Empreenda fácil</t>
  </si>
  <si>
    <t>Esgoto e água usada</t>
  </si>
  <si>
    <t>Estabelecimentos comerciais, indústrias e serviços</t>
  </si>
  <si>
    <t>Eventos</t>
  </si>
  <si>
    <t>Exames médicos</t>
  </si>
  <si>
    <t>Exumação e translado/transferência de corpos</t>
  </si>
  <si>
    <t>Feira livre</t>
  </si>
  <si>
    <t>Ferro velho</t>
  </si>
  <si>
    <t>Fiscalização de obras</t>
  </si>
  <si>
    <t>Grande gerador de resíduos (serviço, comércio, indústria)</t>
  </si>
  <si>
    <t>Guias rebaixadas</t>
  </si>
  <si>
    <t>Habite-se</t>
  </si>
  <si>
    <t>Homenagem fúnebre, velório, sepultamento e cremação</t>
  </si>
  <si>
    <t>Hospital veterinário público</t>
  </si>
  <si>
    <t>IPTU - Imposto Predial e Territorial Urbano</t>
  </si>
  <si>
    <t>Leve leite</t>
  </si>
  <si>
    <t>Licenciamento Ambiental</t>
  </si>
  <si>
    <t>Lixeiras públicas</t>
  </si>
  <si>
    <t>Locais com lotação superior a 250 pessoas (cinemas, teatros, casas de shows)</t>
  </si>
  <si>
    <t>Material e uniforme escolar</t>
  </si>
  <si>
    <t>Matrícula e transferência escolar</t>
  </si>
  <si>
    <t>Mediação de conflitos</t>
  </si>
  <si>
    <t>Medicamento de controle especial</t>
  </si>
  <si>
    <t xml:space="preserve">Mercados e Sacolões </t>
  </si>
  <si>
    <t>Microempreendedor Individual - MEI</t>
  </si>
  <si>
    <t>Multa ambiental</t>
  </si>
  <si>
    <t>Multas de trânsito</t>
  </si>
  <si>
    <t>Multas e contestações</t>
  </si>
  <si>
    <t>Numeração de imóveis</t>
  </si>
  <si>
    <t>Obras no viário</t>
  </si>
  <si>
    <t>Ocupação irregular</t>
  </si>
  <si>
    <t>Parques</t>
  </si>
  <si>
    <t>Pessoa idosa</t>
  </si>
  <si>
    <t>Placas com nome de rua</t>
  </si>
  <si>
    <t>Planetário</t>
  </si>
  <si>
    <t>Poluição do ar</t>
  </si>
  <si>
    <t>Poluição sonora - PSIU</t>
  </si>
  <si>
    <t>Ponto viciado, entulho e caçamba de entulho</t>
  </si>
  <si>
    <t>Portal SP156</t>
  </si>
  <si>
    <t>Praças</t>
  </si>
  <si>
    <t>Precatórios</t>
  </si>
  <si>
    <t>Programa Bolsa Família</t>
  </si>
  <si>
    <t>Programa Renda Mínima</t>
  </si>
  <si>
    <t>Publicidade e poluição visual</t>
  </si>
  <si>
    <t>Reciclagem</t>
  </si>
  <si>
    <t>Registro de animais - RGA</t>
  </si>
  <si>
    <t>Remoção de grandes objetos</t>
  </si>
  <si>
    <t>Reparação de danos</t>
  </si>
  <si>
    <t>Rios e córregos</t>
  </si>
  <si>
    <t>Ruas, vilas, vielas e escadarias</t>
  </si>
  <si>
    <t>SAV - Solução de Atendimento Eletrônico</t>
  </si>
  <si>
    <t>Seguro desemprego</t>
  </si>
  <si>
    <t>Segurança de edificação</t>
  </si>
  <si>
    <t>Senha Web</t>
  </si>
  <si>
    <t>Serviços de apoio terapêutico</t>
  </si>
  <si>
    <t>Sinalização e Circulação de veículos e Pedestres</t>
  </si>
  <si>
    <t>Solicitação de callback durante atendimento receptivo</t>
  </si>
  <si>
    <t>Taxas mobiliárias</t>
  </si>
  <si>
    <t>Terrenos e imóveis</t>
  </si>
  <si>
    <t>Transporte Escolar</t>
  </si>
  <si>
    <t>Urgências e Emergências</t>
  </si>
  <si>
    <t>Vacinação</t>
  </si>
  <si>
    <t>Varrição e limpeza urbana</t>
  </si>
  <si>
    <t>Veículos abandonados</t>
  </si>
  <si>
    <t>WiFi Livre SP</t>
  </si>
  <si>
    <t xml:space="preserve">* Em decorrência da troca de sistema ocorrida em Dez/2016, a metodologia atualmente aplicada para a classificação dos assuntos é a Guia de Serviços do Portal 156.  
</t>
  </si>
  <si>
    <t>**Os assunto "colmeia e vespeiro, pernilongo e mosquito"  passou a ser classificado como um serviço dentro do assunto "animais que podem causar doenças e agravos à saúde"  no portal 156 a partir de maio/2018</t>
  </si>
  <si>
    <t>***Os protocolos classificadas como assunto não especificado, são reclamações recebidas no sistema sem que se tenha o registro do assunto demandado.</t>
  </si>
  <si>
    <t>****Em decorrência a atualização da Guia de Serviços no Portal 156, o serviço "Matricula e transferência"  passou a ser classificado como assunto a partir de Julho/2018</t>
  </si>
  <si>
    <t>Unidades PMSP</t>
  </si>
  <si>
    <t>Outros</t>
  </si>
  <si>
    <t>%total</t>
  </si>
  <si>
    <t>*Protocolos - valores absolutos do mês</t>
  </si>
  <si>
    <t>** Variação percentual em relação ao mês imediatamente anterior.</t>
  </si>
  <si>
    <t>Protocolos*</t>
  </si>
  <si>
    <t>Variação**</t>
  </si>
  <si>
    <t>Assuntos - 10 mais demandados dos 3 últimos meses (Média)</t>
  </si>
  <si>
    <t>Secretaria do Governo Municipal</t>
  </si>
  <si>
    <t>Procuradoria Geral do Município</t>
  </si>
  <si>
    <t>Secretaria Municipal da Fazenda</t>
  </si>
  <si>
    <t>Secretaria Municipal da Pessoa com Deficiência</t>
  </si>
  <si>
    <t>Secretaria Municipal da Saúde</t>
  </si>
  <si>
    <t>Secretaria Municipal de Assistência e Desenvolvimento Social</t>
  </si>
  <si>
    <t>Secretaria Municipal de Cultura</t>
  </si>
  <si>
    <t>Secretaria Municipal de Direitos Humanos e Cidadania</t>
  </si>
  <si>
    <t>Secretaria Municipal de Educação</t>
  </si>
  <si>
    <t>Secretaria Municipal de Esportes e Lazer</t>
  </si>
  <si>
    <t>Secretaria Municipal de Habitação</t>
  </si>
  <si>
    <t>Secretaria Municipal de Inovação e Tecnologia</t>
  </si>
  <si>
    <t>Secretaria Municipal de Justiça</t>
  </si>
  <si>
    <t>Secretaria Municipal de Segurança Urbana</t>
  </si>
  <si>
    <t>Secretaria Municipal do Verde e Meio Ambiente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</si>
  <si>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</si>
  <si>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</si>
  <si>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</si>
  <si>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</si>
  <si>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</si>
  <si>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</si>
  <si>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</si>
  <si>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</si>
  <si>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</si>
  <si>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</si>
  <si>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</si>
  <si>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</si>
  <si>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</si>
  <si>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</si>
  <si>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</si>
  <si>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M'Boi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</si>
  <si>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</si>
  <si>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</si>
  <si>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</si>
  <si>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</si>
  <si>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</si>
  <si>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</si>
  <si>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</si>
  <si>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</si>
  <si>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</si>
  <si>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</si>
  <si>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</si>
  <si>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</si>
  <si>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</si>
  <si>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</si>
  <si>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</si>
  <si>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Companhia Metropolitana de Habitação - COHAB</t>
  </si>
  <si>
    <t>Órgão externo</t>
  </si>
  <si>
    <t>Unidades - 10 mais demandadas dos 3 últimos meses (Média)</t>
  </si>
  <si>
    <t xml:space="preserve">Total </t>
  </si>
  <si>
    <t>Deferidas</t>
  </si>
  <si>
    <t>Denúncias</t>
  </si>
  <si>
    <t>Reclassificadas</t>
  </si>
  <si>
    <t>Lei Aldir Blanc - apoio emergencial a cultura</t>
  </si>
  <si>
    <t>RBE - Regularizar situação do RG ou RNE</t>
  </si>
  <si>
    <t>Renda Básica Emergencial</t>
  </si>
  <si>
    <t>Pedidos e-SIC</t>
  </si>
  <si>
    <t>Carta</t>
  </si>
  <si>
    <t>Central SP156</t>
  </si>
  <si>
    <t>E-mail</t>
  </si>
  <si>
    <t>Presencial</t>
  </si>
  <si>
    <t>Encaminhamento de outros órgãos (Processo SEI, Memorando, Ofício, etc.)</t>
  </si>
  <si>
    <t>Portal</t>
  </si>
  <si>
    <t>Não identificado</t>
  </si>
  <si>
    <t>Média anual</t>
  </si>
  <si>
    <t>Protocolos</t>
  </si>
  <si>
    <t>Adoção de animais</t>
  </si>
  <si>
    <t>Água subterrânea/Curso d'água</t>
  </si>
  <si>
    <t>Eutanásia</t>
  </si>
  <si>
    <t>Heliponto</t>
  </si>
  <si>
    <t>Não identificado***</t>
  </si>
  <si>
    <t>Ônibus</t>
  </si>
  <si>
    <t>Patrimônio histórico e cultural</t>
  </si>
  <si>
    <t>Ponto de ônibus</t>
  </si>
  <si>
    <t>Secretaria Municipal das Subprefeituras</t>
  </si>
  <si>
    <t>Secretaria Municipal de Infraestrutura Urbana e Obras</t>
  </si>
  <si>
    <t>Companhia de Engenharia de Tráfego - CET</t>
  </si>
  <si>
    <t>São Paulo Transportes - SPTRANS</t>
  </si>
  <si>
    <t>Serviço Funerário do Município de São Paulo - SFMSP</t>
  </si>
  <si>
    <t>% Total dentre as subprefeituras</t>
  </si>
  <si>
    <t>Total denúncias</t>
  </si>
  <si>
    <t>Indeferidas</t>
  </si>
  <si>
    <t>Canceladas</t>
  </si>
  <si>
    <t>Assédio moral</t>
  </si>
  <si>
    <t>Assédio sexual</t>
  </si>
  <si>
    <t>Conduta inadequada de funcionário(a) público(a)</t>
  </si>
  <si>
    <t>Desvio de verbas, materiais e bens públicos</t>
  </si>
  <si>
    <t>Ilegalidade na gestão pública</t>
  </si>
  <si>
    <t>Irregularidade da contratação e/ou gestão de serviço público</t>
  </si>
  <si>
    <t>Total indeferidas</t>
  </si>
  <si>
    <t>Total deferidas</t>
  </si>
  <si>
    <t>Secretaria de Relações Institucionais</t>
  </si>
  <si>
    <t>Secretaria Municipal de Urbanismo e Licenciamento*</t>
  </si>
  <si>
    <t>*Em 2021 ILUME passou para a competencia de SMUL</t>
  </si>
  <si>
    <t>Acessibilidade digital</t>
  </si>
  <si>
    <t>Programa Operação Trabalho - POT</t>
  </si>
  <si>
    <t>Organizações da Sociedade Civil</t>
  </si>
  <si>
    <t>Programa Renda Cidadã</t>
  </si>
  <si>
    <t>Casa Civil</t>
  </si>
  <si>
    <t>Denúncias* (exceto canceladas)</t>
  </si>
  <si>
    <t>Total de denúncias *(exceto canceladas)</t>
  </si>
  <si>
    <t>CRAS - Centro de Refência de Assistência Social</t>
  </si>
  <si>
    <t>Programa Cidade Solidária</t>
  </si>
  <si>
    <t>Alimentação escolar</t>
  </si>
  <si>
    <t>Denunciar estabelecimento que não fornece álcool em gel ou permite entrada sem máscara durante a crise do Coronavírus</t>
  </si>
  <si>
    <t>Denunciar estabelecimento que não segue as regras de funcionamento previstas durante a pandemia do Coronavírus</t>
  </si>
  <si>
    <t>Material escolar</t>
  </si>
  <si>
    <t>Manifestação livre</t>
  </si>
  <si>
    <t xml:space="preserve">Renda Básica Emergencial </t>
  </si>
  <si>
    <t>Vacinas</t>
  </si>
  <si>
    <t>Denunciar irregularidade da contratação e/ou gestão de serviço público</t>
  </si>
  <si>
    <t>Quantidade</t>
  </si>
  <si>
    <t>Serviço</t>
  </si>
  <si>
    <t>Pandemia - COVID 19</t>
  </si>
  <si>
    <t>Renda Básica Emrgencial</t>
  </si>
  <si>
    <t>ASSUNTO</t>
  </si>
  <si>
    <t>SERVIÇO</t>
  </si>
  <si>
    <t>Material e Uniforme escolar</t>
  </si>
  <si>
    <t>SIGRb - Sistema Integrado de Gerenciamento e Relacionamento com o Cidadão</t>
  </si>
  <si>
    <t>Unidade habitacional</t>
  </si>
  <si>
    <t>Secretaria Municipal de Mobilidade e Trânsito</t>
  </si>
  <si>
    <t>Programa Ação Jovem</t>
  </si>
  <si>
    <t>Estacionamento</t>
  </si>
  <si>
    <t>Exames, vacinas e castração</t>
  </si>
  <si>
    <t>Unidades escolares</t>
  </si>
  <si>
    <t>Zona Azul</t>
  </si>
  <si>
    <t>Órgão</t>
  </si>
  <si>
    <t>Recurso de Ofício (RO)</t>
  </si>
  <si>
    <t>SMDET - Secretaria Municipal de Desenvolvimento Econômico e Trabalho</t>
  </si>
  <si>
    <t>SME</t>
  </si>
  <si>
    <t>SMS</t>
  </si>
  <si>
    <t>AMLURB - Autoridade Municipal de Limpeza Urbana</t>
  </si>
  <si>
    <t>CET - Companhia de Engenharia de Tráfego</t>
  </si>
  <si>
    <t>CGM - Controladoria Geral do Município</t>
  </si>
  <si>
    <t>COHAB - Companhia Metropolitana de Habitação</t>
  </si>
  <si>
    <t>HSPM - Hospital do Servidor Público Municipal</t>
  </si>
  <si>
    <t>IPREM - Instituto de Previdência Municipal de São Paulo</t>
  </si>
  <si>
    <t>PGM - Procuradoria Geral do Município</t>
  </si>
  <si>
    <t>Prodam-Empresa de Tecnologia da Informação e Comunicação do Munic.SP</t>
  </si>
  <si>
    <t>SECOM - Secretaria Especial de Comunicação</t>
  </si>
  <si>
    <t>SEGES - Secretaria Executiva de Gestão</t>
  </si>
  <si>
    <t>SEHAB - Secretaria Municipal de Habitação</t>
  </si>
  <si>
    <t>SEME - Secretaria Municipal de Esportes e Lazer</t>
  </si>
  <si>
    <t>SF - Secretaria Municipal da Fazenda</t>
  </si>
  <si>
    <t>SFMSP - Serviço Funerário</t>
  </si>
  <si>
    <t>SGM - Secretaria de Governo Municipal</t>
  </si>
  <si>
    <t>SIURB - Secretaria Municipal de Infraestrutura Urbana e Obras</t>
  </si>
  <si>
    <t>SMADS - Secretaria Municipal de Assistência e Desenvolvimento Social</t>
  </si>
  <si>
    <t>SMC - Secretaria Municipal de Cultura</t>
  </si>
  <si>
    <t>SMDHC - Secretaria Municipal de Direitos Humanos e Cidadania</t>
  </si>
  <si>
    <t>SME - Secretaria Municipal de Educação</t>
  </si>
  <si>
    <t>SMIT - Secretaria Municipal de Inovação e Tecnologia</t>
  </si>
  <si>
    <t>SMS - Secretaria Municipal da Saúde</t>
  </si>
  <si>
    <t>SMSU - Secretaria Municipal de Segurança Urbana</t>
  </si>
  <si>
    <t>SMSUB - Secretaria Municipal das Subprefeituras</t>
  </si>
  <si>
    <t>SMT - Secretaria Municipal de Mobilidade e Transportes</t>
  </si>
  <si>
    <t>SMUL - Secretaria Municipal de Urbanismo e Licenciamento</t>
  </si>
  <si>
    <t>SP OBRAS - São Paulo Obras</t>
  </si>
  <si>
    <t>SPTrans - São Paulo Transportes S/A</t>
  </si>
  <si>
    <t>SPTURIS - São Paulo Turismo S/A</t>
  </si>
  <si>
    <t>Subprefeitura Aricanduva/Formosa/Carrão</t>
  </si>
  <si>
    <t>Subprefeitura Casa Verde/Cachoeirinha</t>
  </si>
  <si>
    <t>Subprefeitura Freguesia / Brasilândia</t>
  </si>
  <si>
    <t>SVMA - Secretaria Municipal do Verde e do Meio Ambiente</t>
  </si>
  <si>
    <t>SMT</t>
  </si>
  <si>
    <t>FPETC_ Fundação Paulistana de Educação, Tecnologia e Cultura</t>
  </si>
  <si>
    <t>SMJ - Secretaria Municipal de Justiça</t>
  </si>
  <si>
    <t>SITUAÇÃO</t>
  </si>
  <si>
    <t>Pedidos registrados</t>
  </si>
  <si>
    <t>Decisões iniciais</t>
  </si>
  <si>
    <t>Total (decisões iniciais)</t>
  </si>
  <si>
    <t>Atendidos</t>
  </si>
  <si>
    <t>Indeferidos</t>
  </si>
  <si>
    <t>1ª instância</t>
  </si>
  <si>
    <t>Solicitações</t>
  </si>
  <si>
    <t>Total (decisões 1ª instância)</t>
  </si>
  <si>
    <t>Deferidos</t>
  </si>
  <si>
    <t>2ª instância</t>
  </si>
  <si>
    <t>Total (decisões 2ª instância)</t>
  </si>
  <si>
    <t>Encaminhado para o órgão para complemento</t>
  </si>
  <si>
    <t>3ª instância</t>
  </si>
  <si>
    <t>Total (decisões 3ª instância)</t>
  </si>
  <si>
    <t>IPREM</t>
  </si>
  <si>
    <t>Controladoria Geral do Município</t>
  </si>
  <si>
    <t>Subprefeitura Aricanduva</t>
  </si>
  <si>
    <t>** Apartir de março_22 AMLURB desmembrada em SPRegula e SELimp</t>
  </si>
  <si>
    <t xml:space="preserve">Agência Reguladora de Serviços Públicos do Município de São Paulo** </t>
  </si>
  <si>
    <t>Secretaria Executiva de Limpeza Urbana**</t>
  </si>
  <si>
    <t>SMPED - Secretaria Municipal da Pessoa com Deficiência</t>
  </si>
  <si>
    <t>São Paulo Parcerias S/A</t>
  </si>
  <si>
    <t>FTMSP - Fundação Theatro Municipal de São Paulo</t>
  </si>
  <si>
    <t>SPSEC - Companhia Paulistana de Securitização</t>
  </si>
  <si>
    <t>SMSUB</t>
  </si>
  <si>
    <t>SMUL</t>
  </si>
  <si>
    <t>PRCON Cidade de São Paulo</t>
  </si>
  <si>
    <t>São Paulo Obras - SPObras</t>
  </si>
  <si>
    <t>Secretaria Municipal de Gestão</t>
  </si>
  <si>
    <t>P3A19:U38</t>
  </si>
  <si>
    <t>SP Regula - Agência Reguladora de Serviços Públicos do Município de São Paulo</t>
  </si>
  <si>
    <t>Subprefeitura M’ Boi Mirim</t>
  </si>
  <si>
    <t>SERI – Secretaria Executiva de Relações Institucionais</t>
  </si>
  <si>
    <t>SP URBANISMO - São Paulo Urbanismo</t>
  </si>
  <si>
    <t>SMRI - Secretaria Municipal de Relações Internacionais</t>
  </si>
  <si>
    <t>Secretaria Municipal de Turismo</t>
  </si>
  <si>
    <t>Auxílio Brasil</t>
  </si>
  <si>
    <t>Devoluções, restituições e indenizações</t>
  </si>
  <si>
    <t>Documentações de ruas e logradouros</t>
  </si>
  <si>
    <t>Guarda Civil Metropolitana</t>
  </si>
  <si>
    <t>Iluminação pública</t>
  </si>
  <si>
    <t>Imunidades, isenções e demais benefícios fiscais</t>
  </si>
  <si>
    <t>ISS - Imposto Sobre Serviços</t>
  </si>
  <si>
    <t>ITBI -  Imposto sobre a Transmissão de Bens Imóveis</t>
  </si>
  <si>
    <t>Nota do Milhão</t>
  </si>
  <si>
    <t>Processo Administrativo</t>
  </si>
  <si>
    <t>Qualidade de atendimento</t>
  </si>
  <si>
    <t>Regime Especial de Tributação</t>
  </si>
  <si>
    <t>Saúde bucal</t>
  </si>
  <si>
    <t>Táxi e App</t>
  </si>
  <si>
    <t>Telecentro</t>
  </si>
  <si>
    <t>Agendamento eletrônico</t>
  </si>
  <si>
    <t>Ambulantes</t>
  </si>
  <si>
    <t>ATENDE - Transporte Pessoas com Deficiência</t>
  </si>
  <si>
    <t>Autos de Infração</t>
  </si>
  <si>
    <t>Cartão SUS</t>
  </si>
  <si>
    <t>Documentações e alvarás para obras</t>
  </si>
  <si>
    <t>Imigrante</t>
  </si>
  <si>
    <t>Moto frete</t>
  </si>
  <si>
    <t>Pedido de orientação ou informação</t>
  </si>
  <si>
    <t>Regularização de imóveis</t>
  </si>
  <si>
    <t>População ou pessoa em situação de rua</t>
  </si>
  <si>
    <t>Secretaria Municipal de Desenvolvimento Econômico e Trabalho</t>
  </si>
  <si>
    <t>SMTUR - Secretaria Municipal de Turismo</t>
  </si>
  <si>
    <t>SPDA - Companhia São Paulo de Desenvolvimento e Mobilização de Ativos</t>
  </si>
  <si>
    <t>SF</t>
  </si>
  <si>
    <t>Bibliotecas municipais</t>
  </si>
  <si>
    <t>Ônibus fretado</t>
  </si>
  <si>
    <t>Parcelamento de tributo</t>
  </si>
  <si>
    <t>Programa Bolsa Trabalho</t>
  </si>
  <si>
    <t>Solicitar que acesso ao processo da OGM seja público*****</t>
  </si>
  <si>
    <t>*****O assunto "Solicitar que acesso ao processo da OGM seja público" passou a ser classificado após implantação de formulário SIGRC.</t>
  </si>
  <si>
    <t>Secretaria de Relações Internacionais</t>
  </si>
  <si>
    <t>% Canais de entrada JAN/23</t>
  </si>
  <si>
    <t>Unidades - 10 mais demandadas de 2023 (Média)</t>
  </si>
  <si>
    <t>% em relação ao todo de JAN/23 (exetuando-se denúncias)</t>
  </si>
  <si>
    <t>Assuntos - variação dos 10 mais demandados de 2023 (MÉDIA)</t>
  </si>
  <si>
    <t>Poluição Sonora - PSIU</t>
  </si>
  <si>
    <t>Sinalização e Circulação de Veículos e Pedestres</t>
  </si>
  <si>
    <t>10 assuntos mais demandados de JANEIRO/2023</t>
  </si>
  <si>
    <t>Unidades - variação dos 10 mais demandados de 2023 (MÉDIA)</t>
  </si>
  <si>
    <t>10 unidades mais demandadas de JANEIRO/23</t>
  </si>
  <si>
    <t>Penha</t>
  </si>
  <si>
    <t>Lapa</t>
  </si>
  <si>
    <t>Campo Limpo</t>
  </si>
  <si>
    <t>Mooca</t>
  </si>
  <si>
    <t>Butantã</t>
  </si>
  <si>
    <t>Itaquera</t>
  </si>
  <si>
    <t>Vila Mariana</t>
  </si>
  <si>
    <t>Pinheiros</t>
  </si>
  <si>
    <t>Sé</t>
  </si>
  <si>
    <t>Santo Amaro</t>
  </si>
  <si>
    <t>Subprefeituras - 10 mais demandados de 2023 (Média)</t>
  </si>
  <si>
    <t>Aricanduva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</si>
  <si>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</si>
  <si>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</si>
  <si>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</si>
  <si>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</si>
  <si>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</si>
  <si>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</si>
  <si>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</si>
  <si>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</si>
  <si>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</si>
  <si>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Jabaquara</t>
  </si>
  <si>
    <t>Jaçanã/Tremembé</t>
  </si>
  <si>
    <t>M'Boi Mirim</t>
  </si>
  <si>
    <t>Parelheiros</t>
  </si>
  <si>
    <t>Perus</t>
  </si>
  <si>
    <t>Pirituba/Jaraguá</t>
  </si>
  <si>
    <t>Santana/Tucuruvi</t>
  </si>
  <si>
    <t>São Mateus</t>
  </si>
  <si>
    <t>São Miguel Paulista</t>
  </si>
  <si>
    <t>Sapopemba</t>
  </si>
  <si>
    <t>Vila Maria/Vila Guilherme</t>
  </si>
  <si>
    <t>Vila Prudente</t>
  </si>
  <si>
    <t>% Total  JAN/23 dentro do STATUS</t>
  </si>
  <si>
    <t>% Total 2023</t>
  </si>
  <si>
    <t>CET</t>
  </si>
  <si>
    <t>SPTrans</t>
  </si>
  <si>
    <t>SMC</t>
  </si>
  <si>
    <t>SEHAB</t>
  </si>
  <si>
    <t>Subprefeituras - variação dos 10 mais demandados de 2023 (MÉDIA)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</si>
</sst>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64">
    <font>
      <sz val="11"/>
      <color rgb="FF000000"/>
      <name val="Calibri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b/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name val="Calibri"/>
      <family val="2"/>
    </font>
    <font>
      <sz val="8"/>
      <name val="Calibri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10"/>
      <name val="Calibri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Arial "/>
    </font>
    <font>
      <sz val="11"/>
      <color rgb="FF000000"/>
      <name val="Arial "/>
    </font>
    <font>
      <b/>
      <sz val="11"/>
      <color rgb="FF000000"/>
      <name val="Arial "/>
    </font>
    <font>
      <b/>
      <sz val="11"/>
      <color rgb="FF000000"/>
      <name val="Calibri"/>
      <family val="2"/>
    </font>
    <font>
      <sz val="11"/>
      <color rgb="FFFFFFFF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1"/>
      <color rgb="FFFFFFFF"/>
      <name val="Calibri"/>
      <family val="2"/>
    </font>
    <font>
      <sz val="11"/>
      <color theme="0"/>
      <name val="Calibri"/>
      <family val="2"/>
    </font>
    <font>
      <sz val="11"/>
      <color theme="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Arial 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Calibri"/>
      <family val="2"/>
    </font>
    <font>
      <b/>
      <sz val="9"/>
      <color rgb="FF000000"/>
      <name val="Arial"/>
      <family val="2"/>
    </font>
    <font>
      <b/>
      <sz val="11"/>
      <color theme="0"/>
      <name val="Arial"/>
      <family val="2"/>
    </font>
    <font>
      <sz val="8"/>
      <color rgb="FF000000"/>
      <name val="Calibri"/>
      <family val="2"/>
    </font>
    <font>
      <sz val="11"/>
      <color theme="0"/>
      <name val="Times New Roman"/>
      <family val="1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</font>
    <font>
      <sz val="8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8"/>
      <color rgb="FFFF0000"/>
      <name val="Calibri"/>
      <family val="2"/>
    </font>
    <font>
      <sz val="8"/>
      <color rgb="FFFF0000"/>
      <name val="Calibri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color theme="9" tint="-0.499984740745262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rgb="FF99FF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3333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C00CC"/>
        <bgColor indexed="64"/>
      </patternFill>
    </fill>
  </fills>
  <borders count="2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indexed="64"/>
      </left>
      <right/>
      <top/>
      <bottom style="medium">
        <color theme="9" tint="-0.249977111117893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9" tint="-0.249977111117893"/>
      </right>
      <top style="medium">
        <color theme="9" tint="-0.249977111117893"/>
      </top>
      <bottom style="thin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/>
      <bottom style="mediumDashDot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mediumDashDot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  <border>
      <left style="thin">
        <color theme="9" tint="-0.249977111117893"/>
      </left>
      <right/>
      <top/>
      <bottom style="mediumDashDot">
        <color theme="9" tint="-0.249977111117893"/>
      </bottom>
      <diagonal/>
    </border>
    <border>
      <left style="medium">
        <color theme="1"/>
      </left>
      <right/>
      <top style="medium">
        <color theme="1"/>
      </top>
      <bottom style="mediumDashDot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theme="9" tint="-0.249977111117893"/>
      </right>
      <top style="thin">
        <color theme="9" tint="-0.249977111117893"/>
      </top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theme="9" tint="-0.249977111117893"/>
      </right>
      <top/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medium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mediumDashDot">
        <color theme="9" tint="-0.249977111117893"/>
      </top>
      <bottom style="medium">
        <color theme="9" tint="-0.249977111117893"/>
      </bottom>
      <diagonal/>
    </border>
    <border>
      <left style="thin">
        <color theme="9" tint="-0.249977111117893"/>
      </left>
      <right/>
      <top/>
      <bottom style="medium">
        <color theme="9" tint="-0.249977111117893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DashDot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7" tint="-0.499984740745262"/>
      </right>
      <top style="medium">
        <color theme="7" tint="-0.499984740745262"/>
      </top>
      <bottom style="medium">
        <color theme="7" tint="-0.499984740745262"/>
      </bottom>
      <diagonal/>
    </border>
    <border>
      <left/>
      <right style="thin">
        <color theme="7" tint="-0.499984740745262"/>
      </right>
      <top style="medium">
        <color theme="7" tint="-0.499984740745262"/>
      </top>
      <bottom style="medium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medium">
        <color theme="7" tint="-0.499984740745262"/>
      </top>
      <bottom style="medium">
        <color theme="7" tint="-0.499984740745262"/>
      </bottom>
      <diagonal/>
    </border>
    <border>
      <left style="thin">
        <color theme="7" tint="-0.499984740745262"/>
      </left>
      <right/>
      <top style="medium">
        <color theme="7" tint="-0.499984740745262"/>
      </top>
      <bottom style="medium">
        <color theme="7" tint="-0.499984740745262"/>
      </bottom>
      <diagonal/>
    </border>
    <border>
      <left style="medium">
        <color indexed="64"/>
      </left>
      <right style="medium">
        <color theme="7" tint="-0.499984740745262"/>
      </right>
      <top style="medium">
        <color theme="7" tint="-0.499984740745262"/>
      </top>
      <bottom style="thin">
        <color theme="7" tint="-0.499984740745262"/>
      </bottom>
      <diagonal/>
    </border>
    <border>
      <left style="medium">
        <color theme="7" tint="-0.499984740745262"/>
      </left>
      <right/>
      <top/>
      <bottom style="mediumDashDot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/>
      <bottom style="mediumDashDot">
        <color theme="7" tint="-0.499984740745262"/>
      </bottom>
      <diagonal/>
    </border>
    <border>
      <left/>
      <right style="thin">
        <color theme="7" tint="-0.499984740745262"/>
      </right>
      <top/>
      <bottom style="mediumDashDot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/>
      <bottom/>
      <diagonal/>
    </border>
    <border>
      <left style="thin">
        <color theme="7" tint="-0.499984740745262"/>
      </left>
      <right/>
      <top/>
      <bottom style="mediumDashDot">
        <color theme="7" tint="-0.499984740745262"/>
      </bottom>
      <diagonal/>
    </border>
    <border>
      <left style="medium">
        <color theme="1"/>
      </left>
      <right style="medium">
        <color theme="1"/>
      </right>
      <top/>
      <bottom style="mediumDashDot">
        <color theme="1"/>
      </bottom>
      <diagonal/>
    </border>
    <border>
      <left style="medium">
        <color indexed="64"/>
      </left>
      <right style="medium">
        <color theme="7" tint="-0.499984740745262"/>
      </right>
      <top style="thin">
        <color theme="7" tint="-0.499984740745262"/>
      </top>
      <bottom style="medium">
        <color theme="7" tint="-0.499984740745262"/>
      </bottom>
      <diagonal/>
    </border>
    <border>
      <left style="medium">
        <color theme="7" tint="-0.499984740745262"/>
      </left>
      <right style="thin">
        <color theme="7" tint="-0.499984740745262"/>
      </right>
      <top/>
      <bottom style="medium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/>
      <bottom style="medium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mediumDashDot">
        <color theme="7" tint="-0.499984740745262"/>
      </top>
      <bottom style="medium">
        <color theme="7" tint="-0.499984740745262"/>
      </bottom>
      <diagonal/>
    </border>
    <border>
      <left style="thin">
        <color theme="7" tint="-0.499984740745262"/>
      </left>
      <right/>
      <top/>
      <bottom style="medium">
        <color theme="7" tint="-0.499984740745262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/>
      <top style="medium">
        <color rgb="FFFF0066"/>
      </top>
      <bottom style="medium">
        <color rgb="FFFF0066"/>
      </bottom>
      <diagonal/>
    </border>
    <border>
      <left style="medium">
        <color indexed="64"/>
      </left>
      <right style="medium">
        <color rgb="FFFF0066"/>
      </right>
      <top style="medium">
        <color rgb="FFFF0066"/>
      </top>
      <bottom style="thin">
        <color rgb="FFFF0066"/>
      </bottom>
      <diagonal/>
    </border>
    <border>
      <left style="medium">
        <color indexed="64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medium">
        <color rgb="FFFF0066"/>
      </left>
      <right style="thin">
        <color rgb="FFFF0066"/>
      </right>
      <top/>
      <bottom style="mediumDashDot">
        <color rgb="FFFF0066"/>
      </bottom>
      <diagonal/>
    </border>
    <border>
      <left style="thin">
        <color rgb="FFFF0066"/>
      </left>
      <right style="thin">
        <color rgb="FFFF0066"/>
      </right>
      <top/>
      <bottom style="mediumDashDot">
        <color rgb="FFFF0066"/>
      </bottom>
      <diagonal/>
    </border>
    <border>
      <left style="thin">
        <color rgb="FFFF0066"/>
      </left>
      <right style="thin">
        <color rgb="FFFF0066"/>
      </right>
      <top/>
      <bottom/>
      <diagonal/>
    </border>
    <border>
      <left style="thin">
        <color rgb="FFFF0066"/>
      </left>
      <right/>
      <top/>
      <bottom style="mediumDashDot">
        <color rgb="FFFF0066"/>
      </bottom>
      <diagonal/>
    </border>
    <border>
      <left style="medium">
        <color indexed="64"/>
      </left>
      <right style="medium">
        <color rgb="FFFF0066"/>
      </right>
      <top style="thin">
        <color rgb="FFFF0066"/>
      </top>
      <bottom style="medium">
        <color rgb="FFFF0066"/>
      </bottom>
      <diagonal/>
    </border>
    <border>
      <left/>
      <right style="thin">
        <color rgb="FFFF0066"/>
      </right>
      <top/>
      <bottom/>
      <diagonal/>
    </border>
    <border>
      <left style="thin">
        <color rgb="FFFF0066"/>
      </left>
      <right style="thin">
        <color rgb="FFFF0066"/>
      </right>
      <top style="mediumDashDot">
        <color rgb="FFFF0066"/>
      </top>
      <bottom style="medium">
        <color rgb="FFFF0066"/>
      </bottom>
      <diagonal/>
    </border>
    <border>
      <left style="thin">
        <color rgb="FFFF0066"/>
      </left>
      <right/>
      <top/>
      <bottom/>
      <diagonal/>
    </border>
    <border>
      <left style="medium">
        <color indexed="64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/>
      <right style="medium">
        <color theme="1"/>
      </right>
      <top/>
      <bottom/>
      <diagonal/>
    </border>
    <border>
      <left style="thin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/>
      <top/>
      <bottom style="medium">
        <color rgb="FFFF0066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theme="1"/>
      </right>
      <top style="medium">
        <color rgb="FF0000FF"/>
      </top>
      <bottom style="medium">
        <color rgb="FF0000FF"/>
      </bottom>
      <diagonal/>
    </border>
    <border>
      <left style="medium">
        <color indexed="64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DashDot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 style="mediumDashDot">
        <color rgb="FF0000FF"/>
      </bottom>
      <diagonal/>
    </border>
    <border>
      <left style="medium">
        <color indexed="64"/>
      </left>
      <right style="medium">
        <color rgb="FF0000FF"/>
      </right>
      <top style="thin">
        <color rgb="FF0000FF"/>
      </top>
      <bottom style="medium">
        <color indexed="64"/>
      </bottom>
      <diagonal/>
    </border>
    <border>
      <left style="medium">
        <color rgb="FF0000FF"/>
      </left>
      <right style="thin">
        <color rgb="FF0000FF"/>
      </right>
      <top style="mediumDashDot">
        <color rgb="FF0000FF"/>
      </top>
      <bottom style="medium">
        <color indexed="64"/>
      </bottom>
      <diagonal/>
    </border>
    <border>
      <left style="thin">
        <color rgb="FF0000FF"/>
      </left>
      <right style="thin">
        <color rgb="FF0000FF"/>
      </right>
      <top/>
      <bottom style="medium">
        <color indexed="64"/>
      </bottom>
      <diagonal/>
    </border>
    <border>
      <left style="thin">
        <color rgb="FF0000FF"/>
      </left>
      <right style="thin">
        <color rgb="FF0000FF"/>
      </right>
      <top style="mediumDashDot">
        <color rgb="FF0000FF"/>
      </top>
      <bottom style="medium">
        <color indexed="64"/>
      </bottom>
      <diagonal/>
    </border>
    <border>
      <left style="thin">
        <color rgb="FF0000FF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FF0066"/>
      </right>
      <top/>
      <bottom style="medium">
        <color rgb="FFFF00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999999"/>
      </left>
      <right/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theme="9" tint="-0.249977111117893"/>
      </bottom>
      <diagonal/>
    </border>
  </borders>
  <cellStyleXfs count="11">
    <xf numFmtId="0" fontId="0" fillId="0" borderId="0"/>
    <xf numFmtId="0" fontId="15" fillId="0" borderId="0" applyNumberFormat="0" applyFont="0" applyBorder="0" applyProtection="0"/>
    <xf numFmtId="0" fontId="16" fillId="0" borderId="0"/>
    <xf numFmtId="0" fontId="15" fillId="0" borderId="0" applyNumberFormat="0" applyFont="0" applyBorder="0" applyProtection="0"/>
    <xf numFmtId="0" fontId="18" fillId="0" borderId="0"/>
    <xf numFmtId="0" fontId="15" fillId="0" borderId="0" applyNumberFormat="0" applyFont="0" applyBorder="0" applyProtection="0"/>
    <xf numFmtId="0" fontId="18" fillId="0" borderId="0"/>
    <xf numFmtId="0" fontId="10" fillId="0" borderId="0"/>
    <xf numFmtId="0" fontId="15" fillId="0" borderId="0"/>
    <xf numFmtId="0" fontId="20" fillId="0" borderId="76" applyNumberFormat="0" applyFill="0" applyAlignment="0" applyProtection="0"/>
    <xf numFmtId="43" fontId="18" fillId="0" borderId="0" applyFont="0" applyFill="0" applyBorder="0" applyAlignment="0" applyProtection="0"/>
  </cellStyleXfs>
  <cellXfs count="1014">
    <xf numFmtId="0" fontId="0" fillId="0" borderId="0" xfId="0"/>
    <xf numFmtId="0" fontId="0" fillId="0" borderId="0" xfId="0" applyFill="1"/>
    <xf numFmtId="0" fontId="22" fillId="0" borderId="0" xfId="0" applyFont="1" applyFill="1" applyAlignment="1">
      <alignment horizontal="center"/>
    </xf>
    <xf numFmtId="17" fontId="22" fillId="0" borderId="0" xfId="0" applyNumberFormat="1" applyFont="1" applyFill="1" applyAlignment="1">
      <alignment horizontal="center"/>
    </xf>
    <xf numFmtId="2" fontId="23" fillId="0" borderId="0" xfId="0" applyNumberFormat="1" applyFont="1" applyFill="1" applyAlignment="1">
      <alignment horizontal="center"/>
    </xf>
    <xf numFmtId="0" fontId="22" fillId="0" borderId="0" xfId="0" applyFont="1"/>
    <xf numFmtId="1" fontId="0" fillId="0" borderId="0" xfId="0" applyNumberFormat="1"/>
    <xf numFmtId="3" fontId="24" fillId="0" borderId="0" xfId="0" applyNumberFormat="1" applyFont="1" applyAlignment="1">
      <alignment horizontal="center" vertical="center"/>
    </xf>
    <xf numFmtId="0" fontId="25" fillId="0" borderId="0" xfId="0" applyFont="1"/>
    <xf numFmtId="165" fontId="0" fillId="0" borderId="0" xfId="0" applyNumberFormat="1"/>
    <xf numFmtId="3" fontId="0" fillId="0" borderId="0" xfId="0" applyNumberFormat="1"/>
    <xf numFmtId="0" fontId="26" fillId="0" borderId="0" xfId="0" applyFont="1" applyFill="1"/>
    <xf numFmtId="3" fontId="26" fillId="0" borderId="0" xfId="0" applyNumberFormat="1" applyFont="1" applyFill="1"/>
    <xf numFmtId="0" fontId="22" fillId="0" borderId="0" xfId="0" applyFont="1" applyFill="1"/>
    <xf numFmtId="0" fontId="25" fillId="0" borderId="0" xfId="0" applyFont="1" applyFill="1"/>
    <xf numFmtId="3" fontId="25" fillId="0" borderId="0" xfId="0" applyNumberFormat="1" applyFont="1" applyFill="1" applyAlignment="1">
      <alignment horizontal="center"/>
    </xf>
    <xf numFmtId="3" fontId="0" fillId="0" borderId="0" xfId="0" applyNumberFormat="1" applyFill="1"/>
    <xf numFmtId="164" fontId="0" fillId="0" borderId="0" xfId="0" applyNumberFormat="1"/>
    <xf numFmtId="0" fontId="22" fillId="2" borderId="77" xfId="0" applyFont="1" applyFill="1" applyBorder="1" applyAlignment="1">
      <alignment horizontal="center"/>
    </xf>
    <xf numFmtId="0" fontId="22" fillId="2" borderId="78" xfId="0" applyFont="1" applyFill="1" applyBorder="1" applyAlignment="1">
      <alignment horizontal="center"/>
    </xf>
    <xf numFmtId="3" fontId="23" fillId="0" borderId="79" xfId="0" applyNumberFormat="1" applyFont="1" applyFill="1" applyBorder="1" applyAlignment="1">
      <alignment horizontal="center"/>
    </xf>
    <xf numFmtId="2" fontId="23" fillId="0" borderId="80" xfId="0" applyNumberFormat="1" applyFont="1" applyFill="1" applyBorder="1" applyAlignment="1">
      <alignment horizontal="center"/>
    </xf>
    <xf numFmtId="3" fontId="23" fillId="0" borderId="81" xfId="0" applyNumberFormat="1" applyFont="1" applyFill="1" applyBorder="1" applyAlignment="1">
      <alignment horizontal="center"/>
    </xf>
    <xf numFmtId="0" fontId="23" fillId="0" borderId="0" xfId="0" applyFont="1"/>
    <xf numFmtId="164" fontId="23" fillId="0" borderId="0" xfId="0" applyNumberFormat="1" applyFont="1" applyFill="1" applyAlignment="1">
      <alignment horizontal="center"/>
    </xf>
    <xf numFmtId="2" fontId="0" fillId="0" borderId="0" xfId="0" applyNumberFormat="1"/>
    <xf numFmtId="3" fontId="23" fillId="0" borderId="82" xfId="0" applyNumberFormat="1" applyFont="1" applyFill="1" applyBorder="1" applyAlignment="1">
      <alignment horizontal="center"/>
    </xf>
    <xf numFmtId="2" fontId="23" fillId="0" borderId="83" xfId="0" applyNumberFormat="1" applyFont="1" applyFill="1" applyBorder="1" applyAlignment="1">
      <alignment horizontal="center"/>
    </xf>
    <xf numFmtId="0" fontId="23" fillId="0" borderId="0" xfId="0" applyFont="1" applyAlignment="1">
      <alignment wrapText="1"/>
    </xf>
    <xf numFmtId="0" fontId="0" fillId="0" borderId="0" xfId="0" applyAlignment="1">
      <alignment wrapText="1"/>
    </xf>
    <xf numFmtId="17" fontId="22" fillId="3" borderId="78" xfId="0" applyNumberFormat="1" applyFont="1" applyFill="1" applyBorder="1" applyAlignment="1">
      <alignment horizontal="center" vertical="center"/>
    </xf>
    <xf numFmtId="17" fontId="22" fillId="3" borderId="77" xfId="0" applyNumberFormat="1" applyFont="1" applyFill="1" applyBorder="1" applyAlignment="1">
      <alignment horizontal="center" vertical="center"/>
    </xf>
    <xf numFmtId="0" fontId="23" fillId="0" borderId="84" xfId="0" applyFont="1" applyBorder="1" applyAlignment="1">
      <alignment horizontal="center"/>
    </xf>
    <xf numFmtId="0" fontId="23" fillId="0" borderId="85" xfId="0" applyFont="1" applyFill="1" applyBorder="1" applyAlignment="1">
      <alignment horizontal="center"/>
    </xf>
    <xf numFmtId="0" fontId="23" fillId="0" borderId="85" xfId="0" applyFont="1" applyBorder="1" applyAlignment="1">
      <alignment horizontal="center"/>
    </xf>
    <xf numFmtId="0" fontId="22" fillId="3" borderId="86" xfId="0" applyFont="1" applyFill="1" applyBorder="1" applyAlignment="1">
      <alignment horizontal="center" vertical="center"/>
    </xf>
    <xf numFmtId="0" fontId="22" fillId="3" borderId="86" xfId="0" applyFont="1" applyFill="1" applyBorder="1" applyAlignment="1">
      <alignment horizontal="center"/>
    </xf>
    <xf numFmtId="1" fontId="22" fillId="3" borderId="86" xfId="0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5" fillId="0" borderId="0" xfId="1" applyFont="1" applyFill="1" applyAlignment="1"/>
    <xf numFmtId="0" fontId="27" fillId="0" borderId="0" xfId="0" applyFont="1" applyFill="1" applyAlignment="1">
      <alignment horizontal="right"/>
    </xf>
    <xf numFmtId="0" fontId="27" fillId="0" borderId="0" xfId="0" applyFont="1" applyFill="1" applyAlignment="1">
      <alignment horizontal="center" vertical="center"/>
    </xf>
    <xf numFmtId="1" fontId="27" fillId="0" borderId="0" xfId="0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justify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 wrapText="1"/>
    </xf>
    <xf numFmtId="0" fontId="22" fillId="0" borderId="0" xfId="5" applyFont="1" applyFill="1" applyAlignment="1"/>
    <xf numFmtId="0" fontId="22" fillId="0" borderId="0" xfId="5" applyFont="1" applyFill="1" applyAlignment="1">
      <alignment horizontal="center" vertical="center"/>
    </xf>
    <xf numFmtId="1" fontId="23" fillId="0" borderId="0" xfId="0" applyNumberFormat="1" applyFont="1"/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87" xfId="0" applyFont="1" applyBorder="1" applyAlignment="1">
      <alignment horizontal="center"/>
    </xf>
    <xf numFmtId="0" fontId="28" fillId="0" borderId="0" xfId="0" applyFont="1"/>
    <xf numFmtId="2" fontId="28" fillId="0" borderId="0" xfId="0" applyNumberFormat="1" applyFont="1"/>
    <xf numFmtId="0" fontId="29" fillId="0" borderId="0" xfId="0" applyFont="1" applyAlignment="1">
      <alignment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/>
    <xf numFmtId="0" fontId="29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" fontId="23" fillId="0" borderId="0" xfId="0" applyNumberFormat="1" applyFont="1" applyAlignment="1">
      <alignment horizontal="center"/>
    </xf>
    <xf numFmtId="0" fontId="30" fillId="0" borderId="0" xfId="0" applyFont="1"/>
    <xf numFmtId="17" fontId="23" fillId="0" borderId="0" xfId="0" applyNumberFormat="1" applyFont="1"/>
    <xf numFmtId="2" fontId="23" fillId="0" borderId="0" xfId="0" applyNumberFormat="1" applyFont="1" applyAlignment="1">
      <alignment horizontal="center"/>
    </xf>
    <xf numFmtId="0" fontId="23" fillId="0" borderId="88" xfId="0" applyFont="1" applyBorder="1"/>
    <xf numFmtId="1" fontId="23" fillId="0" borderId="89" xfId="0" applyNumberFormat="1" applyFont="1" applyBorder="1"/>
    <xf numFmtId="0" fontId="23" fillId="0" borderId="89" xfId="0" applyFont="1" applyBorder="1"/>
    <xf numFmtId="0" fontId="23" fillId="0" borderId="90" xfId="0" applyFont="1" applyBorder="1"/>
    <xf numFmtId="0" fontId="23" fillId="0" borderId="0" xfId="0" applyFont="1" applyAlignment="1">
      <alignment vertical="center"/>
    </xf>
    <xf numFmtId="0" fontId="22" fillId="2" borderId="86" xfId="0" applyFont="1" applyFill="1" applyBorder="1" applyAlignment="1">
      <alignment horizontal="center"/>
    </xf>
    <xf numFmtId="3" fontId="23" fillId="0" borderId="91" xfId="0" applyNumberFormat="1" applyFont="1" applyFill="1" applyBorder="1" applyAlignment="1">
      <alignment horizontal="center"/>
    </xf>
    <xf numFmtId="3" fontId="23" fillId="0" borderId="80" xfId="0" applyNumberFormat="1" applyFont="1" applyFill="1" applyBorder="1" applyAlignment="1">
      <alignment horizontal="center"/>
    </xf>
    <xf numFmtId="3" fontId="23" fillId="0" borderId="92" xfId="0" applyNumberFormat="1" applyFont="1" applyFill="1" applyBorder="1" applyAlignment="1">
      <alignment horizontal="center"/>
    </xf>
    <xf numFmtId="3" fontId="23" fillId="0" borderId="83" xfId="0" applyNumberFormat="1" applyFont="1" applyFill="1" applyBorder="1" applyAlignment="1">
      <alignment horizontal="center"/>
    </xf>
    <xf numFmtId="0" fontId="22" fillId="2" borderId="93" xfId="0" applyFont="1" applyFill="1" applyBorder="1" applyAlignment="1">
      <alignment horizontal="center"/>
    </xf>
    <xf numFmtId="0" fontId="22" fillId="2" borderId="94" xfId="0" applyFont="1" applyFill="1" applyBorder="1" applyAlignment="1">
      <alignment horizontal="center"/>
    </xf>
    <xf numFmtId="2" fontId="23" fillId="0" borderId="91" xfId="0" applyNumberFormat="1" applyFont="1" applyFill="1" applyBorder="1" applyAlignment="1">
      <alignment horizontal="center"/>
    </xf>
    <xf numFmtId="3" fontId="23" fillId="0" borderId="95" xfId="0" applyNumberFormat="1" applyFont="1" applyFill="1" applyBorder="1" applyAlignment="1">
      <alignment horizontal="center"/>
    </xf>
    <xf numFmtId="1" fontId="22" fillId="0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5" fillId="0" borderId="0" xfId="1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" fontId="22" fillId="0" borderId="0" xfId="0" applyNumberFormat="1" applyFont="1" applyFill="1" applyAlignment="1">
      <alignment horizontal="center" vertical="center"/>
    </xf>
    <xf numFmtId="1" fontId="22" fillId="0" borderId="0" xfId="0" applyNumberFormat="1" applyFont="1" applyFill="1" applyAlignment="1">
      <alignment horizontal="center" vertical="center"/>
    </xf>
    <xf numFmtId="1" fontId="27" fillId="0" borderId="0" xfId="0" applyNumberFormat="1" applyFont="1" applyFill="1" applyAlignment="1">
      <alignment horizontal="center"/>
    </xf>
    <xf numFmtId="0" fontId="31" fillId="0" borderId="0" xfId="0" applyFont="1"/>
    <xf numFmtId="0" fontId="27" fillId="0" borderId="0" xfId="0" applyFont="1" applyFill="1"/>
    <xf numFmtId="0" fontId="22" fillId="0" borderId="0" xfId="5" applyFont="1" applyFill="1" applyAlignment="1">
      <alignment horizontal="left"/>
    </xf>
    <xf numFmtId="0" fontId="22" fillId="0" borderId="0" xfId="5" applyFont="1" applyFill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17" fontId="22" fillId="3" borderId="96" xfId="0" applyNumberFormat="1" applyFont="1" applyFill="1" applyBorder="1" applyAlignment="1">
      <alignment horizontal="center"/>
    </xf>
    <xf numFmtId="0" fontId="22" fillId="3" borderId="78" xfId="0" applyFont="1" applyFill="1" applyBorder="1" applyAlignment="1">
      <alignment horizontal="center"/>
    </xf>
    <xf numFmtId="1" fontId="23" fillId="0" borderId="87" xfId="0" applyNumberFormat="1" applyFont="1" applyBorder="1" applyAlignment="1">
      <alignment horizontal="center"/>
    </xf>
    <xf numFmtId="2" fontId="22" fillId="3" borderId="78" xfId="0" applyNumberFormat="1" applyFont="1" applyFill="1" applyBorder="1" applyAlignment="1">
      <alignment horizontal="center"/>
    </xf>
    <xf numFmtId="0" fontId="29" fillId="0" borderId="0" xfId="0" applyFont="1" applyFill="1" applyAlignment="1">
      <alignment horizontal="center" wrapText="1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center" wrapText="1"/>
    </xf>
    <xf numFmtId="3" fontId="23" fillId="0" borderId="86" xfId="0" applyNumberFormat="1" applyFont="1" applyFill="1" applyBorder="1" applyAlignment="1">
      <alignment horizontal="center"/>
    </xf>
    <xf numFmtId="0" fontId="22" fillId="2" borderId="97" xfId="0" applyFont="1" applyFill="1" applyBorder="1" applyAlignment="1">
      <alignment horizontal="center"/>
    </xf>
    <xf numFmtId="0" fontId="23" fillId="0" borderId="0" xfId="0" applyFont="1" applyFill="1" applyAlignment="1">
      <alignment wrapText="1"/>
    </xf>
    <xf numFmtId="1" fontId="22" fillId="3" borderId="77" xfId="0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right"/>
    </xf>
    <xf numFmtId="0" fontId="23" fillId="0" borderId="0" xfId="0" applyFont="1" applyFill="1" applyAlignment="1">
      <alignment horizontal="center"/>
    </xf>
    <xf numFmtId="0" fontId="23" fillId="0" borderId="0" xfId="0" applyFont="1" applyFill="1"/>
    <xf numFmtId="0" fontId="29" fillId="0" borderId="0" xfId="0" applyFont="1" applyFill="1" applyAlignment="1">
      <alignment wrapText="1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7" fontId="22" fillId="3" borderId="98" xfId="0" applyNumberFormat="1" applyFont="1" applyFill="1" applyBorder="1" applyAlignment="1">
      <alignment horizontal="center" vertical="center"/>
    </xf>
    <xf numFmtId="17" fontId="22" fillId="3" borderId="98" xfId="0" applyNumberFormat="1" applyFont="1" applyFill="1" applyBorder="1" applyAlignment="1">
      <alignment horizontal="center"/>
    </xf>
    <xf numFmtId="0" fontId="28" fillId="0" borderId="0" xfId="0" applyFont="1" applyFill="1" applyAlignment="1">
      <alignment horizontal="left"/>
    </xf>
    <xf numFmtId="2" fontId="31" fillId="0" borderId="0" xfId="0" applyNumberFormat="1" applyFont="1"/>
    <xf numFmtId="0" fontId="22" fillId="2" borderId="98" xfId="0" applyFont="1" applyFill="1" applyBorder="1" applyAlignment="1">
      <alignment horizontal="center"/>
    </xf>
    <xf numFmtId="0" fontId="23" fillId="0" borderId="87" xfId="0" applyFont="1" applyBorder="1" applyAlignment="1">
      <alignment horizontal="center" vertical="center"/>
    </xf>
    <xf numFmtId="0" fontId="27" fillId="0" borderId="0" xfId="0" applyFont="1" applyFill="1" applyAlignment="1">
      <alignment horizontal="center"/>
    </xf>
    <xf numFmtId="164" fontId="0" fillId="0" borderId="0" xfId="0" applyNumberFormat="1" applyFill="1"/>
    <xf numFmtId="3" fontId="23" fillId="0" borderId="1" xfId="0" applyNumberFormat="1" applyFont="1" applyFill="1" applyBorder="1" applyAlignment="1">
      <alignment horizontal="center"/>
    </xf>
    <xf numFmtId="2" fontId="23" fillId="0" borderId="2" xfId="0" applyNumberFormat="1" applyFont="1" applyFill="1" applyBorder="1" applyAlignment="1">
      <alignment horizontal="center"/>
    </xf>
    <xf numFmtId="3" fontId="23" fillId="0" borderId="3" xfId="0" applyNumberFormat="1" applyFont="1" applyFill="1" applyBorder="1" applyAlignment="1">
      <alignment horizontal="center"/>
    </xf>
    <xf numFmtId="2" fontId="23" fillId="0" borderId="4" xfId="0" applyNumberFormat="1" applyFont="1" applyFill="1" applyBorder="1" applyAlignment="1">
      <alignment horizontal="center"/>
    </xf>
    <xf numFmtId="3" fontId="23" fillId="0" borderId="5" xfId="0" applyNumberFormat="1" applyFont="1" applyFill="1" applyBorder="1" applyAlignment="1">
      <alignment horizontal="center"/>
    </xf>
    <xf numFmtId="2" fontId="23" fillId="0" borderId="6" xfId="0" applyNumberFormat="1" applyFont="1" applyFill="1" applyBorder="1" applyAlignment="1">
      <alignment horizontal="center"/>
    </xf>
    <xf numFmtId="0" fontId="15" fillId="0" borderId="7" xfId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0" xfId="0" applyFont="1"/>
    <xf numFmtId="0" fontId="32" fillId="0" borderId="0" xfId="0" applyFont="1"/>
    <xf numFmtId="0" fontId="2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center"/>
    </xf>
    <xf numFmtId="17" fontId="22" fillId="3" borderId="99" xfId="0" applyNumberFormat="1" applyFont="1" applyFill="1" applyBorder="1" applyAlignment="1">
      <alignment horizontal="center" vertical="center"/>
    </xf>
    <xf numFmtId="1" fontId="22" fillId="3" borderId="100" xfId="0" applyNumberFormat="1" applyFont="1" applyFill="1" applyBorder="1" applyAlignment="1">
      <alignment horizontal="center"/>
    </xf>
    <xf numFmtId="1" fontId="23" fillId="0" borderId="2" xfId="0" applyNumberFormat="1" applyFont="1" applyBorder="1" applyAlignment="1">
      <alignment horizontal="center"/>
    </xf>
    <xf numFmtId="1" fontId="23" fillId="0" borderId="4" xfId="0" applyNumberFormat="1" applyFont="1" applyBorder="1" applyAlignment="1">
      <alignment horizontal="center"/>
    </xf>
    <xf numFmtId="1" fontId="23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7" xfId="0" applyFont="1" applyFill="1" applyBorder="1" applyAlignment="1">
      <alignment horizont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34" fillId="0" borderId="0" xfId="0" applyFont="1"/>
    <xf numFmtId="0" fontId="23" fillId="0" borderId="7" xfId="0" applyFont="1" applyFill="1" applyBorder="1" applyAlignment="1">
      <alignment horizontal="center" vertical="center"/>
    </xf>
    <xf numFmtId="0" fontId="22" fillId="3" borderId="101" xfId="0" applyFont="1" applyFill="1" applyBorder="1" applyAlignment="1">
      <alignment horizontal="center" vertical="center"/>
    </xf>
    <xf numFmtId="1" fontId="22" fillId="3" borderId="102" xfId="0" applyNumberFormat="1" applyFont="1" applyFill="1" applyBorder="1" applyAlignment="1">
      <alignment horizontal="center"/>
    </xf>
    <xf numFmtId="2" fontId="33" fillId="0" borderId="0" xfId="0" applyNumberFormat="1" applyFont="1"/>
    <xf numFmtId="1" fontId="22" fillId="3" borderId="103" xfId="0" applyNumberFormat="1" applyFont="1" applyFill="1" applyBorder="1" applyAlignment="1">
      <alignment horizontal="center" vertical="center"/>
    </xf>
    <xf numFmtId="17" fontId="22" fillId="3" borderId="104" xfId="0" applyNumberFormat="1" applyFont="1" applyFill="1" applyBorder="1" applyAlignment="1">
      <alignment horizontal="center" vertical="center"/>
    </xf>
    <xf numFmtId="0" fontId="22" fillId="3" borderId="101" xfId="0" applyFont="1" applyFill="1" applyBorder="1" applyAlignment="1">
      <alignment horizontal="center"/>
    </xf>
    <xf numFmtId="0" fontId="22" fillId="3" borderId="102" xfId="0" applyFont="1" applyFill="1" applyBorder="1" applyAlignment="1">
      <alignment horizontal="center"/>
    </xf>
    <xf numFmtId="1" fontId="31" fillId="0" borderId="0" xfId="0" applyNumberFormat="1" applyFont="1"/>
    <xf numFmtId="3" fontId="24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1" fontId="22" fillId="0" borderId="12" xfId="0" applyNumberFormat="1" applyFont="1" applyBorder="1" applyAlignment="1">
      <alignment horizontal="center"/>
    </xf>
    <xf numFmtId="1" fontId="22" fillId="0" borderId="13" xfId="0" applyNumberFormat="1" applyFont="1" applyBorder="1" applyAlignment="1">
      <alignment horizontal="center"/>
    </xf>
    <xf numFmtId="164" fontId="22" fillId="0" borderId="84" xfId="0" applyNumberFormat="1" applyFont="1" applyBorder="1" applyAlignment="1">
      <alignment horizontal="center"/>
    </xf>
    <xf numFmtId="164" fontId="22" fillId="0" borderId="85" xfId="0" applyNumberFormat="1" applyFont="1" applyBorder="1" applyAlignment="1">
      <alignment horizontal="center"/>
    </xf>
    <xf numFmtId="1" fontId="22" fillId="0" borderId="85" xfId="0" applyNumberFormat="1" applyFont="1" applyBorder="1" applyAlignment="1">
      <alignment horizontal="center"/>
    </xf>
    <xf numFmtId="2" fontId="22" fillId="0" borderId="80" xfId="0" applyNumberFormat="1" applyFont="1" applyBorder="1" applyAlignment="1">
      <alignment horizontal="center"/>
    </xf>
    <xf numFmtId="2" fontId="22" fillId="0" borderId="92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2" fillId="0" borderId="85" xfId="0" applyNumberFormat="1" applyFont="1" applyBorder="1" applyAlignment="1">
      <alignment horizontal="center" vertical="center"/>
    </xf>
    <xf numFmtId="1" fontId="22" fillId="0" borderId="105" xfId="0" applyNumberFormat="1" applyFont="1" applyBorder="1" applyAlignment="1">
      <alignment horizontal="center" vertical="center"/>
    </xf>
    <xf numFmtId="3" fontId="23" fillId="0" borderId="106" xfId="0" applyNumberFormat="1" applyFont="1" applyFill="1" applyBorder="1" applyAlignment="1">
      <alignment horizontal="center"/>
    </xf>
    <xf numFmtId="3" fontId="23" fillId="0" borderId="87" xfId="0" applyNumberFormat="1" applyFont="1" applyFill="1" applyBorder="1" applyAlignment="1">
      <alignment horizontal="center"/>
    </xf>
    <xf numFmtId="3" fontId="23" fillId="0" borderId="107" xfId="0" applyNumberFormat="1" applyFont="1" applyFill="1" applyBorder="1" applyAlignment="1">
      <alignment horizontal="center"/>
    </xf>
    <xf numFmtId="3" fontId="23" fillId="0" borderId="108" xfId="0" applyNumberFormat="1" applyFont="1" applyFill="1" applyBorder="1" applyAlignment="1">
      <alignment horizontal="center"/>
    </xf>
    <xf numFmtId="2" fontId="23" fillId="0" borderId="109" xfId="0" applyNumberFormat="1" applyFont="1" applyFill="1" applyBorder="1" applyAlignment="1">
      <alignment horizontal="center"/>
    </xf>
    <xf numFmtId="2" fontId="23" fillId="0" borderId="110" xfId="0" applyNumberFormat="1" applyFont="1" applyFill="1" applyBorder="1" applyAlignment="1">
      <alignment horizontal="center"/>
    </xf>
    <xf numFmtId="2" fontId="23" fillId="0" borderId="111" xfId="0" applyNumberFormat="1" applyFont="1" applyFill="1" applyBorder="1" applyAlignment="1">
      <alignment horizontal="center"/>
    </xf>
    <xf numFmtId="1" fontId="22" fillId="0" borderId="14" xfId="0" applyNumberFormat="1" applyFont="1" applyBorder="1" applyAlignment="1">
      <alignment horizontal="center"/>
    </xf>
    <xf numFmtId="1" fontId="22" fillId="3" borderId="112" xfId="0" applyNumberFormat="1" applyFont="1" applyFill="1" applyBorder="1" applyAlignment="1">
      <alignment horizontal="center"/>
    </xf>
    <xf numFmtId="1" fontId="22" fillId="0" borderId="113" xfId="0" applyNumberFormat="1" applyFont="1" applyBorder="1" applyAlignment="1">
      <alignment horizontal="center"/>
    </xf>
    <xf numFmtId="1" fontId="22" fillId="0" borderId="114" xfId="0" applyNumberFormat="1" applyFont="1" applyBorder="1" applyAlignment="1">
      <alignment horizontal="center"/>
    </xf>
    <xf numFmtId="0" fontId="27" fillId="4" borderId="15" xfId="1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horizontal="center" vertical="center"/>
    </xf>
    <xf numFmtId="17" fontId="22" fillId="3" borderId="101" xfId="0" applyNumberFormat="1" applyFont="1" applyFill="1" applyBorder="1" applyAlignment="1">
      <alignment horizontal="center" vertical="center"/>
    </xf>
    <xf numFmtId="17" fontId="22" fillId="3" borderId="115" xfId="0" applyNumberFormat="1" applyFont="1" applyFill="1" applyBorder="1" applyAlignment="1">
      <alignment horizontal="center" vertical="center"/>
    </xf>
    <xf numFmtId="17" fontId="22" fillId="3" borderId="17" xfId="0" applyNumberFormat="1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right"/>
    </xf>
    <xf numFmtId="17" fontId="22" fillId="3" borderId="115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35" fillId="0" borderId="0" xfId="0" applyFont="1"/>
    <xf numFmtId="0" fontId="17" fillId="0" borderId="0" xfId="0" applyFont="1"/>
    <xf numFmtId="0" fontId="4" fillId="2" borderId="19" xfId="0" applyFont="1" applyFill="1" applyBorder="1" applyAlignment="1">
      <alignment horizontal="center"/>
    </xf>
    <xf numFmtId="17" fontId="4" fillId="5" borderId="12" xfId="0" applyNumberFormat="1" applyFont="1" applyFill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17" fontId="4" fillId="5" borderId="13" xfId="0" applyNumberFormat="1" applyFont="1" applyFill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3" fontId="2" fillId="0" borderId="22" xfId="0" applyNumberFormat="1" applyFont="1" applyBorder="1" applyAlignment="1">
      <alignment horizontal="center"/>
    </xf>
    <xf numFmtId="17" fontId="4" fillId="5" borderId="23" xfId="0" applyNumberFormat="1" applyFont="1" applyFill="1" applyBorder="1" applyAlignment="1">
      <alignment horizontal="center"/>
    </xf>
    <xf numFmtId="3" fontId="2" fillId="0" borderId="24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7" fontId="36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/>
    <xf numFmtId="3" fontId="24" fillId="0" borderId="0" xfId="0" applyNumberFormat="1" applyFont="1" applyFill="1" applyAlignment="1">
      <alignment horizontal="center" vertical="center"/>
    </xf>
    <xf numFmtId="0" fontId="37" fillId="3" borderId="116" xfId="0" applyFont="1" applyFill="1" applyBorder="1" applyAlignment="1">
      <alignment horizontal="left" vertical="center"/>
    </xf>
    <xf numFmtId="17" fontId="22" fillId="0" borderId="12" xfId="0" applyNumberFormat="1" applyFont="1" applyFill="1" applyBorder="1" applyAlignment="1">
      <alignment horizontal="center"/>
    </xf>
    <xf numFmtId="17" fontId="22" fillId="0" borderId="13" xfId="0" applyNumberFormat="1" applyFont="1" applyFill="1" applyBorder="1" applyAlignment="1">
      <alignment horizontal="center"/>
    </xf>
    <xf numFmtId="17" fontId="22" fillId="0" borderId="23" xfId="0" applyNumberFormat="1" applyFont="1" applyFill="1" applyBorder="1" applyAlignment="1">
      <alignment horizontal="center"/>
    </xf>
    <xf numFmtId="0" fontId="0" fillId="0" borderId="0" xfId="0"/>
    <xf numFmtId="2" fontId="38" fillId="3" borderId="77" xfId="0" applyNumberFormat="1" applyFont="1" applyFill="1" applyBorder="1" applyAlignment="1">
      <alignment horizontal="center" vertical="center" wrapText="1"/>
    </xf>
    <xf numFmtId="0" fontId="39" fillId="0" borderId="25" xfId="0" applyFont="1" applyBorder="1" applyAlignment="1">
      <alignment horizontal="center" vertical="center" wrapText="1"/>
    </xf>
    <xf numFmtId="17" fontId="38" fillId="6" borderId="77" xfId="0" applyNumberFormat="1" applyFont="1" applyFill="1" applyBorder="1" applyAlignment="1">
      <alignment horizontal="center" vertical="center" wrapText="1"/>
    </xf>
    <xf numFmtId="17" fontId="38" fillId="6" borderId="117" xfId="0" applyNumberFormat="1" applyFont="1" applyFill="1" applyBorder="1" applyAlignment="1">
      <alignment horizontal="center" vertical="center" wrapText="1"/>
    </xf>
    <xf numFmtId="17" fontId="38" fillId="6" borderId="98" xfId="0" applyNumberFormat="1" applyFont="1" applyFill="1" applyBorder="1" applyAlignment="1">
      <alignment horizontal="center" vertical="center" wrapText="1"/>
    </xf>
    <xf numFmtId="17" fontId="38" fillId="3" borderId="77" xfId="0" applyNumberFormat="1" applyFont="1" applyFill="1" applyBorder="1" applyAlignment="1">
      <alignment horizontal="center" vertical="center" wrapText="1"/>
    </xf>
    <xf numFmtId="0" fontId="38" fillId="3" borderId="117" xfId="0" applyNumberFormat="1" applyFont="1" applyFill="1" applyBorder="1" applyAlignment="1">
      <alignment horizontal="center" vertical="center" wrapText="1"/>
    </xf>
    <xf numFmtId="0" fontId="39" fillId="0" borderId="25" xfId="0" applyFont="1" applyBorder="1" applyAlignment="1">
      <alignment horizontal="center"/>
    </xf>
    <xf numFmtId="0" fontId="40" fillId="7" borderId="26" xfId="0" applyFont="1" applyFill="1" applyBorder="1"/>
    <xf numFmtId="0" fontId="40" fillId="7" borderId="27" xfId="0" applyFont="1" applyFill="1" applyBorder="1"/>
    <xf numFmtId="0" fontId="40" fillId="7" borderId="19" xfId="0" applyFont="1" applyFill="1" applyBorder="1"/>
    <xf numFmtId="1" fontId="40" fillId="7" borderId="28" xfId="0" applyNumberFormat="1" applyFont="1" applyFill="1" applyBorder="1"/>
    <xf numFmtId="2" fontId="40" fillId="7" borderId="19" xfId="0" applyNumberFormat="1" applyFont="1" applyFill="1" applyBorder="1"/>
    <xf numFmtId="2" fontId="40" fillId="7" borderId="29" xfId="0" applyNumberFormat="1" applyFont="1" applyFill="1" applyBorder="1"/>
    <xf numFmtId="0" fontId="40" fillId="0" borderId="30" xfId="0" applyFont="1" applyBorder="1" applyAlignment="1">
      <alignment vertical="center"/>
    </xf>
    <xf numFmtId="0" fontId="40" fillId="0" borderId="1" xfId="0" applyFont="1" applyBorder="1"/>
    <xf numFmtId="0" fontId="40" fillId="0" borderId="8" xfId="0" applyFont="1" applyBorder="1"/>
    <xf numFmtId="0" fontId="41" fillId="0" borderId="23" xfId="0" applyFont="1" applyBorder="1"/>
    <xf numFmtId="2" fontId="41" fillId="0" borderId="24" xfId="0" applyNumberFormat="1" applyFont="1" applyBorder="1"/>
    <xf numFmtId="1" fontId="41" fillId="0" borderId="18" xfId="0" applyNumberFormat="1" applyFont="1" applyBorder="1"/>
    <xf numFmtId="0" fontId="40" fillId="7" borderId="31" xfId="0" applyFont="1" applyFill="1" applyBorder="1"/>
    <xf numFmtId="0" fontId="40" fillId="7" borderId="32" xfId="0" applyFont="1" applyFill="1" applyBorder="1"/>
    <xf numFmtId="0" fontId="40" fillId="7" borderId="0" xfId="0" applyFont="1" applyFill="1" applyBorder="1"/>
    <xf numFmtId="0" fontId="40" fillId="7" borderId="33" xfId="0" applyFont="1" applyFill="1" applyBorder="1"/>
    <xf numFmtId="1" fontId="40" fillId="7" borderId="34" xfId="0" applyNumberFormat="1" applyFont="1" applyFill="1" applyBorder="1"/>
    <xf numFmtId="2" fontId="40" fillId="7" borderId="33" xfId="0" applyNumberFormat="1" applyFont="1" applyFill="1" applyBorder="1"/>
    <xf numFmtId="2" fontId="40" fillId="7" borderId="35" xfId="0" applyNumberFormat="1" applyFont="1" applyFill="1" applyBorder="1"/>
    <xf numFmtId="0" fontId="39" fillId="0" borderId="18" xfId="0" applyFont="1" applyBorder="1" applyAlignment="1">
      <alignment horizontal="center"/>
    </xf>
    <xf numFmtId="0" fontId="40" fillId="7" borderId="29" xfId="0" applyFont="1" applyFill="1" applyBorder="1"/>
    <xf numFmtId="0" fontId="40" fillId="7" borderId="13" xfId="0" applyFont="1" applyFill="1" applyBorder="1"/>
    <xf numFmtId="1" fontId="40" fillId="7" borderId="36" xfId="0" applyNumberFormat="1" applyFont="1" applyFill="1" applyBorder="1"/>
    <xf numFmtId="2" fontId="40" fillId="7" borderId="13" xfId="0" applyNumberFormat="1" applyFont="1" applyFill="1" applyBorder="1"/>
    <xf numFmtId="2" fontId="40" fillId="7" borderId="21" xfId="0" applyNumberFormat="1" applyFont="1" applyFill="1" applyBorder="1"/>
    <xf numFmtId="0" fontId="40" fillId="0" borderId="31" xfId="0" applyFont="1" applyBorder="1"/>
    <xf numFmtId="0" fontId="40" fillId="0" borderId="37" xfId="0" applyFont="1" applyBorder="1"/>
    <xf numFmtId="0" fontId="40" fillId="0" borderId="38" xfId="0" applyFont="1" applyBorder="1"/>
    <xf numFmtId="0" fontId="40" fillId="0" borderId="39" xfId="0" applyFont="1" applyBorder="1"/>
    <xf numFmtId="0" fontId="41" fillId="0" borderId="22" xfId="0" applyFont="1" applyBorder="1"/>
    <xf numFmtId="1" fontId="41" fillId="0" borderId="40" xfId="0" applyNumberFormat="1" applyFont="1" applyBorder="1"/>
    <xf numFmtId="2" fontId="41" fillId="0" borderId="22" xfId="0" applyNumberFormat="1" applyFont="1" applyBorder="1"/>
    <xf numFmtId="0" fontId="41" fillId="7" borderId="33" xfId="0" applyFont="1" applyFill="1" applyBorder="1"/>
    <xf numFmtId="1" fontId="41" fillId="7" borderId="0" xfId="0" applyNumberFormat="1" applyFont="1" applyFill="1" applyBorder="1"/>
    <xf numFmtId="2" fontId="41" fillId="7" borderId="41" xfId="0" applyNumberFormat="1" applyFont="1" applyFill="1" applyBorder="1"/>
    <xf numFmtId="2" fontId="41" fillId="7" borderId="35" xfId="0" applyNumberFormat="1" applyFont="1" applyFill="1" applyBorder="1"/>
    <xf numFmtId="0" fontId="39" fillId="8" borderId="18" xfId="0" applyFont="1" applyFill="1" applyBorder="1" applyAlignment="1">
      <alignment horizontal="left"/>
    </xf>
    <xf numFmtId="1" fontId="23" fillId="0" borderId="1" xfId="0" applyNumberFormat="1" applyFont="1" applyFill="1" applyBorder="1" applyAlignment="1">
      <alignment horizontal="center" vertical="center"/>
    </xf>
    <xf numFmtId="1" fontId="23" fillId="0" borderId="8" xfId="0" applyNumberFormat="1" applyFont="1" applyFill="1" applyBorder="1" applyAlignment="1">
      <alignment horizontal="center" vertical="center"/>
    </xf>
    <xf numFmtId="1" fontId="23" fillId="0" borderId="3" xfId="0" applyNumberFormat="1" applyFont="1" applyFill="1" applyBorder="1" applyAlignment="1">
      <alignment horizontal="center" vertical="center"/>
    </xf>
    <xf numFmtId="1" fontId="23" fillId="0" borderId="7" xfId="0" applyNumberFormat="1" applyFont="1" applyFill="1" applyBorder="1" applyAlignment="1">
      <alignment horizontal="center" vertical="center"/>
    </xf>
    <xf numFmtId="1" fontId="23" fillId="0" borderId="5" xfId="0" applyNumberFormat="1" applyFont="1" applyFill="1" applyBorder="1" applyAlignment="1">
      <alignment horizontal="center" vertical="center"/>
    </xf>
    <xf numFmtId="1" fontId="23" fillId="0" borderId="9" xfId="0" applyNumberFormat="1" applyFont="1" applyFill="1" applyBorder="1" applyAlignment="1">
      <alignment horizontal="center" vertical="center"/>
    </xf>
    <xf numFmtId="17" fontId="22" fillId="3" borderId="117" xfId="0" applyNumberFormat="1" applyFont="1" applyFill="1" applyBorder="1" applyAlignment="1">
      <alignment horizontal="center" vertical="center"/>
    </xf>
    <xf numFmtId="164" fontId="22" fillId="3" borderId="77" xfId="0" applyNumberFormat="1" applyFont="1" applyFill="1" applyBorder="1" applyAlignment="1">
      <alignment horizontal="center" vertical="center"/>
    </xf>
    <xf numFmtId="0" fontId="22" fillId="3" borderId="78" xfId="0" applyFont="1" applyFill="1" applyBorder="1" applyAlignment="1">
      <alignment horizontal="center" vertical="center" wrapText="1"/>
    </xf>
    <xf numFmtId="0" fontId="22" fillId="3" borderId="77" xfId="0" applyFont="1" applyFill="1" applyBorder="1" applyAlignment="1">
      <alignment horizontal="left" vertical="center"/>
    </xf>
    <xf numFmtId="0" fontId="22" fillId="3" borderId="77" xfId="0" applyFont="1" applyFill="1" applyBorder="1" applyAlignment="1">
      <alignment horizontal="center" vertical="center"/>
    </xf>
    <xf numFmtId="0" fontId="0" fillId="0" borderId="0" xfId="0" applyFont="1"/>
    <xf numFmtId="0" fontId="27" fillId="0" borderId="30" xfId="0" applyFont="1" applyBorder="1" applyAlignment="1">
      <alignment horizontal="left"/>
    </xf>
    <xf numFmtId="0" fontId="27" fillId="0" borderId="14" xfId="0" applyFont="1" applyBorder="1" applyAlignment="1">
      <alignment horizontal="left"/>
    </xf>
    <xf numFmtId="0" fontId="27" fillId="0" borderId="42" xfId="0" applyFont="1" applyBorder="1" applyAlignment="1">
      <alignment horizontal="left"/>
    </xf>
    <xf numFmtId="0" fontId="22" fillId="0" borderId="91" xfId="0" applyFont="1" applyBorder="1"/>
    <xf numFmtId="0" fontId="22" fillId="0" borderId="80" xfId="0" applyFont="1" applyBorder="1"/>
    <xf numFmtId="0" fontId="42" fillId="0" borderId="0" xfId="0" applyFont="1"/>
    <xf numFmtId="0" fontId="22" fillId="3" borderId="118" xfId="0" applyFont="1" applyFill="1" applyBorder="1" applyAlignment="1">
      <alignment horizontal="center" vertical="center"/>
    </xf>
    <xf numFmtId="0" fontId="38" fillId="2" borderId="78" xfId="0" applyFont="1" applyFill="1" applyBorder="1" applyAlignment="1">
      <alignment horizontal="center"/>
    </xf>
    <xf numFmtId="0" fontId="40" fillId="0" borderId="0" xfId="0" applyFont="1"/>
    <xf numFmtId="0" fontId="38" fillId="2" borderId="77" xfId="0" applyFont="1" applyFill="1" applyBorder="1" applyAlignment="1">
      <alignment horizontal="center"/>
    </xf>
    <xf numFmtId="3" fontId="29" fillId="0" borderId="79" xfId="0" applyNumberFormat="1" applyFont="1" applyFill="1" applyBorder="1" applyAlignment="1">
      <alignment horizontal="center"/>
    </xf>
    <xf numFmtId="2" fontId="29" fillId="0" borderId="80" xfId="0" applyNumberFormat="1" applyFont="1" applyFill="1" applyBorder="1" applyAlignment="1">
      <alignment horizontal="center"/>
    </xf>
    <xf numFmtId="3" fontId="29" fillId="0" borderId="81" xfId="0" applyNumberFormat="1" applyFont="1" applyFill="1" applyBorder="1" applyAlignment="1">
      <alignment horizontal="center"/>
    </xf>
    <xf numFmtId="3" fontId="29" fillId="0" borderId="119" xfId="0" applyNumberFormat="1" applyFont="1" applyFill="1" applyBorder="1" applyAlignment="1">
      <alignment horizontal="center"/>
    </xf>
    <xf numFmtId="3" fontId="29" fillId="0" borderId="82" xfId="0" applyNumberFormat="1" applyFont="1" applyFill="1" applyBorder="1" applyAlignment="1">
      <alignment horizontal="center"/>
    </xf>
    <xf numFmtId="2" fontId="29" fillId="0" borderId="83" xfId="0" applyNumberFormat="1" applyFont="1" applyFill="1" applyBorder="1" applyAlignment="1">
      <alignment horizontal="center"/>
    </xf>
    <xf numFmtId="0" fontId="43" fillId="0" borderId="0" xfId="0" applyFont="1" applyAlignment="1">
      <alignment wrapText="1"/>
    </xf>
    <xf numFmtId="0" fontId="39" fillId="0" borderId="37" xfId="0" applyFont="1" applyBorder="1" applyAlignment="1">
      <alignment horizontal="left" wrapText="1"/>
    </xf>
    <xf numFmtId="0" fontId="39" fillId="0" borderId="38" xfId="0" applyFont="1" applyBorder="1" applyAlignment="1">
      <alignment horizontal="left" wrapText="1"/>
    </xf>
    <xf numFmtId="0" fontId="39" fillId="0" borderId="43" xfId="0" applyFont="1" applyBorder="1" applyAlignment="1">
      <alignment horizontal="left" wrapText="1"/>
    </xf>
    <xf numFmtId="0" fontId="39" fillId="0" borderId="18" xfId="0" applyFont="1" applyBorder="1" applyAlignment="1">
      <alignment wrapText="1"/>
    </xf>
    <xf numFmtId="0" fontId="43" fillId="7" borderId="44" xfId="0" applyFont="1" applyFill="1" applyBorder="1" applyAlignment="1">
      <alignment wrapText="1"/>
    </xf>
    <xf numFmtId="0" fontId="39" fillId="4" borderId="37" xfId="0" applyFont="1" applyFill="1" applyBorder="1" applyAlignment="1">
      <alignment horizontal="center"/>
    </xf>
    <xf numFmtId="0" fontId="39" fillId="4" borderId="18" xfId="0" applyFont="1" applyFill="1" applyBorder="1" applyAlignment="1">
      <alignment horizontal="center"/>
    </xf>
    <xf numFmtId="0" fontId="43" fillId="7" borderId="44" xfId="0" applyFont="1" applyFill="1" applyBorder="1" applyAlignment="1">
      <alignment horizontal="left" wrapText="1"/>
    </xf>
    <xf numFmtId="0" fontId="43" fillId="7" borderId="16" xfId="0" applyFont="1" applyFill="1" applyBorder="1"/>
    <xf numFmtId="0" fontId="43" fillId="7" borderId="45" xfId="0" applyFont="1" applyFill="1" applyBorder="1"/>
    <xf numFmtId="0" fontId="43" fillId="7" borderId="46" xfId="0" applyFont="1" applyFill="1" applyBorder="1"/>
    <xf numFmtId="0" fontId="43" fillId="7" borderId="44" xfId="0" applyFont="1" applyFill="1" applyBorder="1"/>
    <xf numFmtId="0" fontId="39" fillId="9" borderId="37" xfId="0" applyFont="1" applyFill="1" applyBorder="1" applyAlignment="1">
      <alignment horizontal="center"/>
    </xf>
    <xf numFmtId="0" fontId="39" fillId="9" borderId="18" xfId="0" applyFont="1" applyFill="1" applyBorder="1" applyAlignment="1">
      <alignment horizontal="center"/>
    </xf>
    <xf numFmtId="2" fontId="44" fillId="3" borderId="77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5" fillId="0" borderId="0" xfId="0" applyFont="1" applyAlignment="1">
      <alignment horizontal="left"/>
    </xf>
    <xf numFmtId="0" fontId="23" fillId="0" borderId="16" xfId="0" applyFont="1" applyBorder="1" applyAlignment="1">
      <alignment horizontal="center"/>
    </xf>
    <xf numFmtId="2" fontId="41" fillId="0" borderId="20" xfId="0" applyNumberFormat="1" applyFont="1" applyBorder="1"/>
    <xf numFmtId="0" fontId="43" fillId="7" borderId="47" xfId="0" applyFont="1" applyFill="1" applyBorder="1" applyAlignment="1">
      <alignment horizontal="left" wrapText="1"/>
    </xf>
    <xf numFmtId="0" fontId="39" fillId="4" borderId="48" xfId="0" applyFont="1" applyFill="1" applyBorder="1" applyAlignment="1">
      <alignment horizontal="center"/>
    </xf>
    <xf numFmtId="0" fontId="39" fillId="4" borderId="49" xfId="0" applyFont="1" applyFill="1" applyBorder="1" applyAlignment="1">
      <alignment horizontal="center"/>
    </xf>
    <xf numFmtId="0" fontId="43" fillId="0" borderId="12" xfId="0" applyFont="1" applyFill="1" applyBorder="1" applyAlignment="1">
      <alignment wrapText="1"/>
    </xf>
    <xf numFmtId="0" fontId="43" fillId="0" borderId="13" xfId="0" applyFont="1" applyFill="1" applyBorder="1" applyAlignment="1">
      <alignment wrapText="1"/>
    </xf>
    <xf numFmtId="0" fontId="43" fillId="0" borderId="23" xfId="0" applyFont="1" applyFill="1" applyBorder="1" applyAlignment="1">
      <alignment wrapText="1"/>
    </xf>
    <xf numFmtId="0" fontId="43" fillId="0" borderId="8" xfId="0" applyFont="1" applyFill="1" applyBorder="1" applyAlignment="1">
      <alignment horizontal="center" wrapText="1"/>
    </xf>
    <xf numFmtId="0" fontId="43" fillId="0" borderId="10" xfId="0" applyFont="1" applyFill="1" applyBorder="1" applyAlignment="1">
      <alignment horizontal="center" wrapText="1"/>
    </xf>
    <xf numFmtId="0" fontId="43" fillId="0" borderId="7" xfId="0" applyFont="1" applyFill="1" applyBorder="1" applyAlignment="1">
      <alignment horizontal="center" wrapText="1"/>
    </xf>
    <xf numFmtId="0" fontId="43" fillId="0" borderId="11" xfId="0" applyFont="1" applyFill="1" applyBorder="1" applyAlignment="1">
      <alignment horizontal="center" wrapText="1"/>
    </xf>
    <xf numFmtId="0" fontId="43" fillId="0" borderId="9" xfId="0" applyFont="1" applyFill="1" applyBorder="1" applyAlignment="1">
      <alignment horizontal="center" wrapText="1"/>
    </xf>
    <xf numFmtId="0" fontId="43" fillId="0" borderId="50" xfId="0" applyFont="1" applyFill="1" applyBorder="1" applyAlignment="1">
      <alignment horizontal="center" wrapText="1"/>
    </xf>
    <xf numFmtId="0" fontId="43" fillId="0" borderId="8" xfId="0" applyFont="1" applyFill="1" applyBorder="1" applyAlignment="1">
      <alignment horizontal="center"/>
    </xf>
    <xf numFmtId="0" fontId="43" fillId="0" borderId="7" xfId="0" applyFont="1" applyFill="1" applyBorder="1" applyAlignment="1">
      <alignment horizontal="center"/>
    </xf>
    <xf numFmtId="0" fontId="43" fillId="0" borderId="9" xfId="0" applyFont="1" applyFill="1" applyBorder="1" applyAlignment="1">
      <alignment horizontal="center"/>
    </xf>
    <xf numFmtId="0" fontId="43" fillId="0" borderId="10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43" fillId="0" borderId="50" xfId="0" applyFont="1" applyFill="1" applyBorder="1" applyAlignment="1">
      <alignment horizontal="center"/>
    </xf>
    <xf numFmtId="0" fontId="43" fillId="0" borderId="12" xfId="0" applyFont="1" applyFill="1" applyBorder="1"/>
    <xf numFmtId="0" fontId="43" fillId="0" borderId="13" xfId="0" applyFont="1" applyFill="1" applyBorder="1"/>
    <xf numFmtId="0" fontId="43" fillId="0" borderId="23" xfId="0" applyFont="1" applyFill="1" applyBorder="1"/>
    <xf numFmtId="0" fontId="39" fillId="4" borderId="51" xfId="0" applyFont="1" applyFill="1" applyBorder="1" applyAlignment="1">
      <alignment horizontal="center"/>
    </xf>
    <xf numFmtId="0" fontId="46" fillId="10" borderId="18" xfId="0" applyFont="1" applyFill="1" applyBorder="1" applyAlignment="1">
      <alignment horizontal="right" vertical="center" wrapText="1"/>
    </xf>
    <xf numFmtId="0" fontId="27" fillId="0" borderId="13" xfId="1" applyFont="1" applyFill="1" applyBorder="1" applyAlignment="1">
      <alignment horizontal="center" vertical="center"/>
    </xf>
    <xf numFmtId="2" fontId="23" fillId="0" borderId="81" xfId="0" applyNumberFormat="1" applyFont="1" applyFill="1" applyBorder="1" applyAlignment="1">
      <alignment horizontal="center"/>
    </xf>
    <xf numFmtId="2" fontId="23" fillId="0" borderId="82" xfId="0" applyNumberFormat="1" applyFont="1" applyFill="1" applyBorder="1" applyAlignment="1">
      <alignment horizontal="center"/>
    </xf>
    <xf numFmtId="17" fontId="22" fillId="3" borderId="18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2" fontId="41" fillId="7" borderId="52" xfId="0" applyNumberFormat="1" applyFont="1" applyFill="1" applyBorder="1"/>
    <xf numFmtId="2" fontId="41" fillId="7" borderId="22" xfId="0" applyNumberFormat="1" applyFont="1" applyFill="1" applyBorder="1"/>
    <xf numFmtId="2" fontId="41" fillId="7" borderId="18" xfId="0" applyNumberFormat="1" applyFont="1" applyFill="1" applyBorder="1"/>
    <xf numFmtId="0" fontId="39" fillId="8" borderId="53" xfId="0" applyFont="1" applyFill="1" applyBorder="1"/>
    <xf numFmtId="0" fontId="39" fillId="8" borderId="54" xfId="0" applyFont="1" applyFill="1" applyBorder="1"/>
    <xf numFmtId="0" fontId="41" fillId="0" borderId="48" xfId="0" applyFont="1" applyBorder="1"/>
    <xf numFmtId="0" fontId="40" fillId="0" borderId="7" xfId="0" applyFont="1" applyBorder="1"/>
    <xf numFmtId="0" fontId="40" fillId="0" borderId="3" xfId="0" applyFont="1" applyBorder="1"/>
    <xf numFmtId="0" fontId="40" fillId="0" borderId="5" xfId="0" applyFont="1" applyBorder="1"/>
    <xf numFmtId="0" fontId="40" fillId="0" borderId="9" xfId="0" applyFont="1" applyBorder="1"/>
    <xf numFmtId="1" fontId="41" fillId="0" borderId="12" xfId="0" applyNumberFormat="1" applyFont="1" applyBorder="1"/>
    <xf numFmtId="1" fontId="41" fillId="0" borderId="48" xfId="0" applyNumberFormat="1" applyFont="1" applyBorder="1"/>
    <xf numFmtId="0" fontId="40" fillId="0" borderId="10" xfId="0" applyFont="1" applyBorder="1"/>
    <xf numFmtId="0" fontId="40" fillId="0" borderId="11" xfId="0" applyFont="1" applyBorder="1"/>
    <xf numFmtId="0" fontId="40" fillId="0" borderId="50" xfId="0" applyFont="1" applyBorder="1"/>
    <xf numFmtId="0" fontId="40" fillId="4" borderId="55" xfId="0" applyFont="1" applyFill="1" applyBorder="1"/>
    <xf numFmtId="0" fontId="40" fillId="4" borderId="54" xfId="0" applyFont="1" applyFill="1" applyBorder="1"/>
    <xf numFmtId="2" fontId="41" fillId="4" borderId="22" xfId="0" applyNumberFormat="1" applyFont="1" applyFill="1" applyBorder="1"/>
    <xf numFmtId="0" fontId="0" fillId="0" borderId="0" xfId="0"/>
    <xf numFmtId="3" fontId="36" fillId="0" borderId="18" xfId="0" applyNumberFormat="1" applyFont="1" applyBorder="1"/>
    <xf numFmtId="1" fontId="22" fillId="0" borderId="56" xfId="0" applyNumberFormat="1" applyFont="1" applyBorder="1" applyAlignment="1">
      <alignment horizontal="center"/>
    </xf>
    <xf numFmtId="1" fontId="22" fillId="0" borderId="57" xfId="0" applyNumberFormat="1" applyFont="1" applyBorder="1" applyAlignment="1">
      <alignment horizontal="center"/>
    </xf>
    <xf numFmtId="0" fontId="22" fillId="3" borderId="15" xfId="0" applyFont="1" applyFill="1" applyBorder="1" applyAlignment="1">
      <alignment horizontal="center" vertical="center"/>
    </xf>
    <xf numFmtId="0" fontId="22" fillId="3" borderId="102" xfId="0" applyFont="1" applyFill="1" applyBorder="1" applyAlignment="1">
      <alignment horizontal="center" vertical="center"/>
    </xf>
    <xf numFmtId="0" fontId="22" fillId="0" borderId="109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6" borderId="18" xfId="0" applyFont="1" applyFill="1" applyBorder="1" applyAlignment="1">
      <alignment horizontal="center"/>
    </xf>
    <xf numFmtId="0" fontId="0" fillId="0" borderId="0" xfId="0"/>
    <xf numFmtId="0" fontId="21" fillId="11" borderId="120" xfId="0" applyFont="1" applyFill="1" applyBorder="1" applyAlignment="1">
      <alignment wrapText="1"/>
    </xf>
    <xf numFmtId="0" fontId="21" fillId="11" borderId="120" xfId="0" applyFont="1" applyFill="1" applyBorder="1"/>
    <xf numFmtId="0" fontId="20" fillId="8" borderId="76" xfId="9" applyFill="1" applyAlignment="1">
      <alignment horizontal="left" wrapText="1"/>
    </xf>
    <xf numFmtId="0" fontId="20" fillId="8" borderId="76" xfId="9" applyFill="1"/>
    <xf numFmtId="0" fontId="20" fillId="0" borderId="76" xfId="9" applyAlignment="1">
      <alignment horizontal="left" wrapText="1"/>
    </xf>
    <xf numFmtId="0" fontId="20" fillId="12" borderId="76" xfId="9" applyFill="1" applyAlignment="1">
      <alignment horizontal="left" wrapText="1"/>
    </xf>
    <xf numFmtId="0" fontId="21" fillId="11" borderId="121" xfId="0" applyFont="1" applyFill="1" applyBorder="1" applyAlignment="1">
      <alignment horizontal="left" wrapText="1"/>
    </xf>
    <xf numFmtId="0" fontId="21" fillId="11" borderId="121" xfId="0" applyNumberFormat="1" applyFont="1" applyFill="1" applyBorder="1"/>
    <xf numFmtId="0" fontId="0" fillId="0" borderId="0" xfId="0"/>
    <xf numFmtId="0" fontId="0" fillId="13" borderId="13" xfId="0" applyFill="1" applyBorder="1" applyAlignment="1">
      <alignment wrapText="1"/>
    </xf>
    <xf numFmtId="0" fontId="0" fillId="14" borderId="12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0" borderId="52" xfId="0" applyFill="1" applyBorder="1" applyAlignment="1">
      <alignment wrapText="1"/>
    </xf>
    <xf numFmtId="0" fontId="0" fillId="14" borderId="12" xfId="0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13" borderId="13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27" fillId="0" borderId="14" xfId="0" applyFont="1" applyFill="1" applyBorder="1" applyAlignment="1">
      <alignment horizontal="center" wrapText="1"/>
    </xf>
    <xf numFmtId="0" fontId="27" fillId="13" borderId="14" xfId="0" applyFont="1" applyFill="1" applyBorder="1" applyAlignment="1">
      <alignment horizontal="center" wrapText="1"/>
    </xf>
    <xf numFmtId="0" fontId="27" fillId="0" borderId="42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7" fillId="3" borderId="18" xfId="0" applyFont="1" applyFill="1" applyBorder="1" applyAlignment="1">
      <alignment horizontal="center"/>
    </xf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center" vertical="center"/>
    </xf>
    <xf numFmtId="0" fontId="0" fillId="0" borderId="0" xfId="0" applyBorder="1"/>
    <xf numFmtId="0" fontId="23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5" fillId="0" borderId="0" xfId="1" applyFont="1"/>
    <xf numFmtId="0" fontId="31" fillId="0" borderId="0" xfId="1" applyFont="1"/>
    <xf numFmtId="0" fontId="27" fillId="0" borderId="0" xfId="0" applyFont="1" applyAlignment="1">
      <alignment horizontal="right"/>
    </xf>
    <xf numFmtId="0" fontId="3" fillId="0" borderId="0" xfId="0" applyFont="1"/>
    <xf numFmtId="0" fontId="1" fillId="0" borderId="0" xfId="1" applyFont="1"/>
    <xf numFmtId="0" fontId="32" fillId="0" borderId="0" xfId="0" applyFont="1" applyAlignment="1">
      <alignment wrapText="1"/>
    </xf>
    <xf numFmtId="0" fontId="32" fillId="0" borderId="0" xfId="0" applyFont="1" applyAlignment="1">
      <alignment horizontal="center" vertical="center"/>
    </xf>
    <xf numFmtId="0" fontId="47" fillId="0" borderId="0" xfId="0" applyFont="1" applyAlignment="1">
      <alignment wrapText="1"/>
    </xf>
    <xf numFmtId="0" fontId="47" fillId="0" borderId="0" xfId="0" applyFont="1" applyAlignment="1">
      <alignment horizontal="center" wrapText="1"/>
    </xf>
    <xf numFmtId="0" fontId="47" fillId="0" borderId="0" xfId="0" applyFont="1"/>
    <xf numFmtId="0" fontId="47" fillId="0" borderId="0" xfId="0" applyFont="1" applyAlignment="1">
      <alignment horizontal="center"/>
    </xf>
    <xf numFmtId="164" fontId="22" fillId="0" borderId="109" xfId="0" applyNumberFormat="1" applyFont="1" applyBorder="1" applyAlignment="1">
      <alignment horizontal="center" vertical="center"/>
    </xf>
    <xf numFmtId="164" fontId="22" fillId="0" borderId="110" xfId="0" applyNumberFormat="1" applyFont="1" applyBorder="1" applyAlignment="1">
      <alignment horizontal="center" vertical="center"/>
    </xf>
    <xf numFmtId="164" fontId="22" fillId="3" borderId="122" xfId="0" applyNumberFormat="1" applyFont="1" applyFill="1" applyBorder="1" applyAlignment="1">
      <alignment horizontal="center"/>
    </xf>
    <xf numFmtId="0" fontId="48" fillId="15" borderId="58" xfId="0" applyFont="1" applyFill="1" applyBorder="1" applyAlignment="1">
      <alignment horizontal="center" wrapText="1"/>
    </xf>
    <xf numFmtId="0" fontId="48" fillId="15" borderId="18" xfId="0" applyFont="1" applyFill="1" applyBorder="1" applyAlignment="1">
      <alignment horizontal="center" wrapText="1"/>
    </xf>
    <xf numFmtId="0" fontId="48" fillId="15" borderId="18" xfId="0" applyFont="1" applyFill="1" applyBorder="1" applyAlignment="1">
      <alignment wrapText="1"/>
    </xf>
    <xf numFmtId="0" fontId="32" fillId="15" borderId="18" xfId="0" applyFont="1" applyFill="1" applyBorder="1" applyAlignment="1">
      <alignment wrapText="1"/>
    </xf>
    <xf numFmtId="0" fontId="32" fillId="15" borderId="59" xfId="0" applyFont="1" applyFill="1" applyBorder="1" applyAlignment="1">
      <alignment horizontal="center" wrapText="1"/>
    </xf>
    <xf numFmtId="164" fontId="38" fillId="4" borderId="77" xfId="0" applyNumberFormat="1" applyFont="1" applyFill="1" applyBorder="1" applyAlignment="1">
      <alignment horizontal="center" vertical="center" wrapText="1"/>
    </xf>
    <xf numFmtId="164" fontId="22" fillId="4" borderId="12" xfId="0" applyNumberFormat="1" applyFont="1" applyFill="1" applyBorder="1" applyAlignment="1">
      <alignment horizontal="center" vertical="center" wrapText="1"/>
    </xf>
    <xf numFmtId="2" fontId="27" fillId="4" borderId="12" xfId="0" applyNumberFormat="1" applyFont="1" applyFill="1" applyBorder="1" applyAlignment="1">
      <alignment horizontal="center" vertical="center"/>
    </xf>
    <xf numFmtId="1" fontId="22" fillId="16" borderId="123" xfId="0" applyNumberFormat="1" applyFont="1" applyFill="1" applyBorder="1" applyAlignment="1">
      <alignment horizontal="center"/>
    </xf>
    <xf numFmtId="0" fontId="32" fillId="0" borderId="0" xfId="0" applyFont="1" applyFill="1"/>
    <xf numFmtId="1" fontId="22" fillId="16" borderId="78" xfId="0" applyNumberFormat="1" applyFont="1" applyFill="1" applyBorder="1" applyAlignment="1">
      <alignment horizontal="center"/>
    </xf>
    <xf numFmtId="0" fontId="33" fillId="0" borderId="0" xfId="0" applyFont="1" applyFill="1"/>
    <xf numFmtId="3" fontId="33" fillId="0" borderId="0" xfId="0" applyNumberFormat="1" applyFont="1" applyFill="1"/>
    <xf numFmtId="1" fontId="49" fillId="16" borderId="77" xfId="0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>
      <alignment wrapText="1"/>
    </xf>
    <xf numFmtId="0" fontId="0" fillId="0" borderId="0" xfId="0"/>
    <xf numFmtId="1" fontId="49" fillId="3" borderId="98" xfId="0" applyNumberFormat="1" applyFont="1" applyFill="1" applyBorder="1" applyAlignment="1">
      <alignment horizontal="center" vertical="center" wrapText="1"/>
    </xf>
    <xf numFmtId="0" fontId="36" fillId="0" borderId="15" xfId="0" applyFont="1" applyBorder="1" applyAlignment="1">
      <alignment horizontal="right"/>
    </xf>
    <xf numFmtId="0" fontId="0" fillId="0" borderId="0" xfId="0"/>
    <xf numFmtId="0" fontId="0" fillId="0" borderId="0" xfId="0"/>
    <xf numFmtId="164" fontId="38" fillId="3" borderId="98" xfId="0" applyNumberFormat="1" applyFont="1" applyFill="1" applyBorder="1" applyAlignment="1">
      <alignment horizontal="center" wrapText="1"/>
    </xf>
    <xf numFmtId="17" fontId="38" fillId="3" borderId="18" xfId="0" applyNumberFormat="1" applyFont="1" applyFill="1" applyBorder="1" applyAlignment="1">
      <alignment horizontal="center" vertical="center"/>
    </xf>
    <xf numFmtId="17" fontId="38" fillId="3" borderId="115" xfId="0" applyNumberFormat="1" applyFont="1" applyFill="1" applyBorder="1" applyAlignment="1">
      <alignment horizontal="center" vertical="center"/>
    </xf>
    <xf numFmtId="17" fontId="38" fillId="3" borderId="60" xfId="0" applyNumberFormat="1" applyFont="1" applyFill="1" applyBorder="1" applyAlignment="1">
      <alignment horizontal="center" vertical="center"/>
    </xf>
    <xf numFmtId="17" fontId="38" fillId="3" borderId="102" xfId="0" applyNumberFormat="1" applyFont="1" applyFill="1" applyBorder="1" applyAlignment="1">
      <alignment horizontal="center" vertical="center"/>
    </xf>
    <xf numFmtId="0" fontId="23" fillId="0" borderId="46" xfId="0" applyFont="1" applyBorder="1" applyAlignment="1">
      <alignment horizontal="center"/>
    </xf>
    <xf numFmtId="1" fontId="22" fillId="0" borderId="124" xfId="0" applyNumberFormat="1" applyFont="1" applyBorder="1" applyAlignment="1">
      <alignment horizontal="center" vertical="center"/>
    </xf>
    <xf numFmtId="0" fontId="22" fillId="3" borderId="123" xfId="0" applyFont="1" applyFill="1" applyBorder="1" applyAlignment="1">
      <alignment horizontal="center" vertical="center"/>
    </xf>
    <xf numFmtId="1" fontId="22" fillId="16" borderId="103" xfId="0" applyNumberFormat="1" applyFont="1" applyFill="1" applyBorder="1" applyAlignment="1">
      <alignment horizontal="center" vertical="center"/>
    </xf>
    <xf numFmtId="2" fontId="29" fillId="0" borderId="0" xfId="0" applyNumberFormat="1" applyFont="1" applyFill="1" applyBorder="1" applyAlignment="1">
      <alignment horizontal="center"/>
    </xf>
    <xf numFmtId="0" fontId="36" fillId="4" borderId="15" xfId="0" applyFont="1" applyFill="1" applyBorder="1" applyAlignment="1">
      <alignment horizontal="right"/>
    </xf>
    <xf numFmtId="0" fontId="36" fillId="4" borderId="18" xfId="0" applyFont="1" applyFill="1" applyBorder="1" applyAlignment="1">
      <alignment horizontal="right"/>
    </xf>
    <xf numFmtId="0" fontId="34" fillId="0" borderId="0" xfId="0" applyFont="1" applyAlignment="1">
      <alignment wrapText="1"/>
    </xf>
    <xf numFmtId="0" fontId="50" fillId="0" borderId="0" xfId="0" applyFont="1" applyAlignment="1">
      <alignment horizontal="right"/>
    </xf>
    <xf numFmtId="0" fontId="50" fillId="0" borderId="0" xfId="0" applyFont="1" applyAlignment="1">
      <alignment horizontal="center"/>
    </xf>
    <xf numFmtId="0" fontId="22" fillId="3" borderId="118" xfId="0" applyFont="1" applyFill="1" applyBorder="1" applyAlignment="1">
      <alignment horizontal="right"/>
    </xf>
    <xf numFmtId="0" fontId="30" fillId="0" borderId="0" xfId="0" applyFont="1" applyAlignment="1">
      <alignment wrapText="1"/>
    </xf>
    <xf numFmtId="0" fontId="0" fillId="0" borderId="0" xfId="0"/>
    <xf numFmtId="0" fontId="0" fillId="0" borderId="0" xfId="0"/>
    <xf numFmtId="0" fontId="21" fillId="0" borderId="18" xfId="0" applyFont="1" applyBorder="1" applyAlignment="1">
      <alignment horizontal="right"/>
    </xf>
    <xf numFmtId="0" fontId="0" fillId="0" borderId="46" xfId="0" applyFill="1" applyBorder="1" applyAlignment="1">
      <alignment horizontal="center" vertical="center"/>
    </xf>
    <xf numFmtId="0" fontId="27" fillId="6" borderId="18" xfId="0" applyFont="1" applyFill="1" applyBorder="1" applyAlignment="1">
      <alignment horizontal="right"/>
    </xf>
    <xf numFmtId="0" fontId="40" fillId="0" borderId="11" xfId="0" applyFont="1" applyBorder="1" applyAlignment="1">
      <alignment vertical="center"/>
    </xf>
    <xf numFmtId="0" fontId="40" fillId="0" borderId="31" xfId="0" applyFont="1" applyBorder="1" applyAlignment="1">
      <alignment horizontal="left"/>
    </xf>
    <xf numFmtId="0" fontId="51" fillId="4" borderId="18" xfId="0" applyFont="1" applyFill="1" applyBorder="1" applyAlignment="1">
      <alignment horizontal="left" wrapText="1"/>
    </xf>
    <xf numFmtId="0" fontId="21" fillId="0" borderId="48" xfId="0" applyFont="1" applyBorder="1" applyAlignment="1">
      <alignment horizontal="right"/>
    </xf>
    <xf numFmtId="0" fontId="15" fillId="0" borderId="46" xfId="1" applyFont="1" applyFill="1" applyBorder="1" applyAlignment="1">
      <alignment horizontal="center" vertical="center"/>
    </xf>
    <xf numFmtId="0" fontId="27" fillId="0" borderId="52" xfId="1" applyFont="1" applyFill="1" applyBorder="1" applyAlignment="1">
      <alignment horizontal="center" vertical="center"/>
    </xf>
    <xf numFmtId="2" fontId="27" fillId="4" borderId="18" xfId="0" applyNumberFormat="1" applyFont="1" applyFill="1" applyBorder="1" applyAlignment="1">
      <alignment horizontal="center" vertical="center"/>
    </xf>
    <xf numFmtId="3" fontId="23" fillId="0" borderId="20" xfId="0" applyNumberFormat="1" applyFont="1" applyFill="1" applyBorder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24" xfId="0" applyNumberFormat="1" applyFont="1" applyFill="1" applyBorder="1" applyAlignment="1">
      <alignment horizontal="center"/>
    </xf>
    <xf numFmtId="17" fontId="22" fillId="2" borderId="12" xfId="0" applyNumberFormat="1" applyFont="1" applyFill="1" applyBorder="1" applyAlignment="1">
      <alignment horizontal="center"/>
    </xf>
    <xf numFmtId="17" fontId="22" fillId="2" borderId="13" xfId="0" applyNumberFormat="1" applyFont="1" applyFill="1" applyBorder="1" applyAlignment="1">
      <alignment horizontal="center"/>
    </xf>
    <xf numFmtId="17" fontId="22" fillId="2" borderId="23" xfId="0" applyNumberFormat="1" applyFont="1" applyFill="1" applyBorder="1" applyAlignment="1">
      <alignment horizontal="center"/>
    </xf>
    <xf numFmtId="1" fontId="22" fillId="0" borderId="109" xfId="0" applyNumberFormat="1" applyFont="1" applyBorder="1" applyAlignment="1">
      <alignment horizontal="center" vertical="center"/>
    </xf>
    <xf numFmtId="1" fontId="22" fillId="0" borderId="110" xfId="0" applyNumberFormat="1" applyFont="1" applyBorder="1" applyAlignment="1">
      <alignment horizontal="center" vertical="center"/>
    </xf>
    <xf numFmtId="1" fontId="22" fillId="0" borderId="111" xfId="0" applyNumberFormat="1" applyFont="1" applyBorder="1" applyAlignment="1">
      <alignment horizontal="center" vertical="center"/>
    </xf>
    <xf numFmtId="0" fontId="36" fillId="4" borderId="48" xfId="0" applyFont="1" applyFill="1" applyBorder="1" applyAlignment="1">
      <alignment horizontal="right"/>
    </xf>
    <xf numFmtId="17" fontId="38" fillId="2" borderId="12" xfId="0" applyNumberFormat="1" applyFont="1" applyFill="1" applyBorder="1" applyAlignment="1">
      <alignment horizontal="center"/>
    </xf>
    <xf numFmtId="17" fontId="38" fillId="2" borderId="13" xfId="0" applyNumberFormat="1" applyFont="1" applyFill="1" applyBorder="1" applyAlignment="1">
      <alignment horizontal="center"/>
    </xf>
    <xf numFmtId="17" fontId="38" fillId="2" borderId="23" xfId="0" applyNumberFormat="1" applyFont="1" applyFill="1" applyBorder="1" applyAlignment="1">
      <alignment horizontal="center"/>
    </xf>
    <xf numFmtId="0" fontId="22" fillId="0" borderId="0" xfId="5" applyFont="1" applyFill="1" applyAlignment="1"/>
    <xf numFmtId="1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17" fontId="7" fillId="4" borderId="19" xfId="0" applyNumberFormat="1" applyFont="1" applyFill="1" applyBorder="1" applyAlignment="1">
      <alignment horizontal="center" vertical="center" wrapText="1"/>
    </xf>
    <xf numFmtId="17" fontId="53" fillId="4" borderId="19" xfId="0" applyNumberFormat="1" applyFont="1" applyFill="1" applyBorder="1" applyAlignment="1">
      <alignment horizontal="center" vertical="center" wrapText="1"/>
    </xf>
    <xf numFmtId="1" fontId="53" fillId="4" borderId="58" xfId="0" applyNumberFormat="1" applyFont="1" applyFill="1" applyBorder="1" applyAlignment="1">
      <alignment horizontal="center" vertical="center" wrapText="1"/>
    </xf>
    <xf numFmtId="164" fontId="53" fillId="4" borderId="18" xfId="0" applyNumberFormat="1" applyFont="1" applyFill="1" applyBorder="1" applyAlignment="1">
      <alignment horizontal="center" vertical="center" wrapText="1"/>
    </xf>
    <xf numFmtId="164" fontId="54" fillId="0" borderId="13" xfId="0" applyNumberFormat="1" applyFont="1" applyBorder="1" applyAlignment="1">
      <alignment horizontal="center" vertical="center"/>
    </xf>
    <xf numFmtId="1" fontId="7" fillId="4" borderId="15" xfId="0" applyNumberFormat="1" applyFont="1" applyFill="1" applyBorder="1" applyAlignment="1">
      <alignment horizontal="center" vertical="center"/>
    </xf>
    <xf numFmtId="164" fontId="53" fillId="4" borderId="18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/>
    </xf>
    <xf numFmtId="0" fontId="35" fillId="0" borderId="48" xfId="0" applyFont="1" applyBorder="1" applyAlignment="1">
      <alignment horizontal="right"/>
    </xf>
    <xf numFmtId="0" fontId="7" fillId="4" borderId="19" xfId="0" applyFont="1" applyFill="1" applyBorder="1" applyAlignment="1">
      <alignment horizontal="left" vertical="center" wrapText="1"/>
    </xf>
    <xf numFmtId="0" fontId="7" fillId="4" borderId="48" xfId="0" applyFont="1" applyFill="1" applyBorder="1" applyAlignment="1">
      <alignment horizontal="right" vertical="center" wrapText="1"/>
    </xf>
    <xf numFmtId="0" fontId="35" fillId="0" borderId="0" xfId="0" applyFont="1" applyFill="1"/>
    <xf numFmtId="0" fontId="17" fillId="0" borderId="0" xfId="0" applyFont="1" applyFill="1"/>
    <xf numFmtId="0" fontId="23" fillId="0" borderId="124" xfId="0" applyFont="1" applyFill="1" applyBorder="1" applyAlignment="1">
      <alignment horizontal="center"/>
    </xf>
    <xf numFmtId="0" fontId="23" fillId="0" borderId="46" xfId="0" applyFont="1" applyFill="1" applyBorder="1" applyAlignment="1">
      <alignment horizontal="center"/>
    </xf>
    <xf numFmtId="0" fontId="23" fillId="0" borderId="46" xfId="0" applyFont="1" applyBorder="1" applyAlignment="1">
      <alignment horizontal="center" vertical="center"/>
    </xf>
    <xf numFmtId="0" fontId="23" fillId="0" borderId="61" xfId="0" applyFont="1" applyBorder="1" applyAlignment="1">
      <alignment horizontal="center"/>
    </xf>
    <xf numFmtId="0" fontId="22" fillId="0" borderId="52" xfId="0" applyFont="1" applyBorder="1" applyAlignment="1">
      <alignment horizontal="center"/>
    </xf>
    <xf numFmtId="164" fontId="22" fillId="0" borderId="124" xfId="0" applyNumberFormat="1" applyFont="1" applyBorder="1" applyAlignment="1">
      <alignment horizontal="center"/>
    </xf>
    <xf numFmtId="1" fontId="22" fillId="0" borderId="52" xfId="0" applyNumberFormat="1" applyFont="1" applyBorder="1" applyAlignment="1">
      <alignment horizontal="center"/>
    </xf>
    <xf numFmtId="0" fontId="22" fillId="3" borderId="115" xfId="0" applyFont="1" applyFill="1" applyBorder="1" applyAlignment="1">
      <alignment horizontal="center" vertical="center"/>
    </xf>
    <xf numFmtId="1" fontId="22" fillId="4" borderId="103" xfId="0" applyNumberFormat="1" applyFont="1" applyFill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32" fillId="0" borderId="0" xfId="1" applyFont="1" applyAlignment="1">
      <alignment horizontal="center" vertical="center"/>
    </xf>
    <xf numFmtId="1" fontId="22" fillId="0" borderId="125" xfId="0" applyNumberFormat="1" applyFont="1" applyBorder="1" applyAlignment="1">
      <alignment horizontal="center"/>
    </xf>
    <xf numFmtId="0" fontId="7" fillId="4" borderId="48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4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7" fillId="0" borderId="0" xfId="0" applyFont="1" applyBorder="1"/>
    <xf numFmtId="17" fontId="17" fillId="0" borderId="0" xfId="0" applyNumberFormat="1" applyFont="1" applyBorder="1" applyAlignment="1">
      <alignment horizontal="center"/>
    </xf>
    <xf numFmtId="17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7" borderId="126" xfId="0" applyFill="1" applyBorder="1"/>
    <xf numFmtId="1" fontId="0" fillId="7" borderId="127" xfId="0" applyNumberFormat="1" applyFill="1" applyBorder="1"/>
    <xf numFmtId="0" fontId="6" fillId="4" borderId="62" xfId="0" applyFont="1" applyFill="1" applyBorder="1" applyAlignment="1">
      <alignment horizontal="justify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63" xfId="0" applyFont="1" applyFill="1" applyBorder="1" applyAlignment="1">
      <alignment horizontal="center" vertical="center" wrapText="1"/>
    </xf>
    <xf numFmtId="0" fontId="0" fillId="0" borderId="128" xfId="0" applyBorder="1"/>
    <xf numFmtId="1" fontId="0" fillId="0" borderId="129" xfId="0" applyNumberFormat="1" applyBorder="1"/>
    <xf numFmtId="0" fontId="35" fillId="7" borderId="3" xfId="0" applyFont="1" applyFill="1" applyBorder="1"/>
    <xf numFmtId="0" fontId="35" fillId="7" borderId="7" xfId="0" applyFont="1" applyFill="1" applyBorder="1"/>
    <xf numFmtId="0" fontId="35" fillId="7" borderId="11" xfId="0" applyFont="1" applyFill="1" applyBorder="1"/>
    <xf numFmtId="0" fontId="35" fillId="7" borderId="64" xfId="0" applyFont="1" applyFill="1" applyBorder="1"/>
    <xf numFmtId="0" fontId="0" fillId="7" borderId="130" xfId="0" applyFill="1" applyBorder="1"/>
    <xf numFmtId="1" fontId="0" fillId="7" borderId="131" xfId="0" applyNumberFormat="1" applyFill="1" applyBorder="1"/>
    <xf numFmtId="0" fontId="0" fillId="7" borderId="132" xfId="0" applyFill="1" applyBorder="1"/>
    <xf numFmtId="1" fontId="0" fillId="7" borderId="133" xfId="0" applyNumberFormat="1" applyFill="1" applyBorder="1"/>
    <xf numFmtId="0" fontId="6" fillId="17" borderId="134" xfId="0" applyFont="1" applyFill="1" applyBorder="1" applyAlignment="1">
      <alignment horizontal="justify" vertical="center" wrapText="1"/>
    </xf>
    <xf numFmtId="0" fontId="6" fillId="17" borderId="135" xfId="0" applyFont="1" applyFill="1" applyBorder="1" applyAlignment="1">
      <alignment horizontal="center" vertical="center" wrapText="1"/>
    </xf>
    <xf numFmtId="0" fontId="6" fillId="17" borderId="136" xfId="0" applyFont="1" applyFill="1" applyBorder="1" applyAlignment="1">
      <alignment horizontal="center" vertical="center" wrapText="1"/>
    </xf>
    <xf numFmtId="0" fontId="0" fillId="0" borderId="137" xfId="0" applyBorder="1"/>
    <xf numFmtId="0" fontId="5" fillId="17" borderId="138" xfId="0" applyFont="1" applyFill="1" applyBorder="1" applyAlignment="1">
      <alignment horizontal="right" vertical="center" wrapText="1"/>
    </xf>
    <xf numFmtId="0" fontId="5" fillId="17" borderId="139" xfId="0" applyFont="1" applyFill="1" applyBorder="1" applyAlignment="1">
      <alignment horizontal="center" vertical="center" wrapText="1"/>
    </xf>
    <xf numFmtId="0" fontId="5" fillId="17" borderId="140" xfId="0" applyFont="1" applyFill="1" applyBorder="1" applyAlignment="1">
      <alignment horizontal="center" vertical="center" wrapText="1"/>
    </xf>
    <xf numFmtId="0" fontId="5" fillId="17" borderId="141" xfId="0" applyFont="1" applyFill="1" applyBorder="1" applyAlignment="1">
      <alignment horizontal="center" vertical="center" wrapText="1"/>
    </xf>
    <xf numFmtId="0" fontId="5" fillId="17" borderId="142" xfId="0" applyFont="1" applyFill="1" applyBorder="1" applyAlignment="1">
      <alignment horizontal="center" vertical="center" wrapText="1"/>
    </xf>
    <xf numFmtId="0" fontId="0" fillId="0" borderId="143" xfId="0" applyBorder="1"/>
    <xf numFmtId="1" fontId="0" fillId="0" borderId="144" xfId="0" applyNumberFormat="1" applyBorder="1"/>
    <xf numFmtId="0" fontId="5" fillId="17" borderId="145" xfId="0" applyFont="1" applyFill="1" applyBorder="1" applyAlignment="1">
      <alignment horizontal="right" vertical="center" wrapText="1"/>
    </xf>
    <xf numFmtId="0" fontId="5" fillId="17" borderId="146" xfId="0" applyFont="1" applyFill="1" applyBorder="1" applyAlignment="1">
      <alignment horizontal="center" vertical="center" wrapText="1"/>
    </xf>
    <xf numFmtId="0" fontId="5" fillId="17" borderId="147" xfId="0" applyFont="1" applyFill="1" applyBorder="1" applyAlignment="1">
      <alignment horizontal="center" vertical="center" wrapText="1"/>
    </xf>
    <xf numFmtId="0" fontId="5" fillId="17" borderId="148" xfId="0" applyFont="1" applyFill="1" applyBorder="1" applyAlignment="1">
      <alignment horizontal="center" vertical="center" wrapText="1"/>
    </xf>
    <xf numFmtId="0" fontId="5" fillId="17" borderId="149" xfId="0" applyFont="1" applyFill="1" applyBorder="1" applyAlignment="1">
      <alignment horizontal="center" vertical="center" wrapText="1"/>
    </xf>
    <xf numFmtId="0" fontId="0" fillId="0" borderId="150" xfId="0" applyBorder="1"/>
    <xf numFmtId="1" fontId="0" fillId="0" borderId="151" xfId="0" applyNumberFormat="1" applyBorder="1"/>
    <xf numFmtId="0" fontId="35" fillId="7" borderId="65" xfId="0" applyFont="1" applyFill="1" applyBorder="1"/>
    <xf numFmtId="0" fontId="35" fillId="7" borderId="44" xfId="0" applyFont="1" applyFill="1" applyBorder="1"/>
    <xf numFmtId="0" fontId="35" fillId="7" borderId="66" xfId="0" applyFont="1" applyFill="1" applyBorder="1"/>
    <xf numFmtId="0" fontId="6" fillId="18" borderId="152" xfId="0" applyFont="1" applyFill="1" applyBorder="1" applyAlignment="1">
      <alignment horizontal="left" vertical="center"/>
    </xf>
    <xf numFmtId="0" fontId="6" fillId="18" borderId="153" xfId="0" applyFont="1" applyFill="1" applyBorder="1" applyAlignment="1">
      <alignment horizontal="center" vertical="center"/>
    </xf>
    <xf numFmtId="0" fontId="6" fillId="18" borderId="154" xfId="0" applyFont="1" applyFill="1" applyBorder="1" applyAlignment="1">
      <alignment horizontal="center" vertical="center"/>
    </xf>
    <xf numFmtId="0" fontId="6" fillId="18" borderId="154" xfId="0" applyFont="1" applyFill="1" applyBorder="1" applyAlignment="1">
      <alignment horizontal="center" vertical="center" wrapText="1"/>
    </xf>
    <xf numFmtId="0" fontId="6" fillId="18" borderId="155" xfId="0" applyFont="1" applyFill="1" applyBorder="1" applyAlignment="1">
      <alignment horizontal="center" vertical="center" wrapText="1"/>
    </xf>
    <xf numFmtId="0" fontId="6" fillId="19" borderId="152" xfId="0" applyFont="1" applyFill="1" applyBorder="1" applyAlignment="1">
      <alignment horizontal="justify" vertical="center" wrapText="1"/>
    </xf>
    <xf numFmtId="0" fontId="6" fillId="19" borderId="155" xfId="0" applyFont="1" applyFill="1" applyBorder="1" applyAlignment="1">
      <alignment horizontal="center" vertical="center" wrapText="1"/>
    </xf>
    <xf numFmtId="0" fontId="5" fillId="19" borderId="156" xfId="0" applyFont="1" applyFill="1" applyBorder="1" applyAlignment="1">
      <alignment horizontal="right" vertical="center" wrapText="1"/>
    </xf>
    <xf numFmtId="0" fontId="5" fillId="19" borderId="157" xfId="0" applyFont="1" applyFill="1" applyBorder="1" applyAlignment="1">
      <alignment horizontal="center" vertical="center" wrapText="1"/>
    </xf>
    <xf numFmtId="0" fontId="5" fillId="19" borderId="158" xfId="0" applyFont="1" applyFill="1" applyBorder="1" applyAlignment="1">
      <alignment horizontal="center" vertical="center" wrapText="1"/>
    </xf>
    <xf numFmtId="0" fontId="5" fillId="19" borderId="159" xfId="0" applyFont="1" applyFill="1" applyBorder="1" applyAlignment="1">
      <alignment horizontal="center" vertical="center" wrapText="1"/>
    </xf>
    <xf numFmtId="0" fontId="5" fillId="19" borderId="160" xfId="0" applyFont="1" applyFill="1" applyBorder="1" applyAlignment="1">
      <alignment horizontal="center" vertical="center" wrapText="1"/>
    </xf>
    <xf numFmtId="0" fontId="5" fillId="19" borderId="161" xfId="0" applyFont="1" applyFill="1" applyBorder="1" applyAlignment="1">
      <alignment horizontal="center" vertical="center" wrapText="1"/>
    </xf>
    <xf numFmtId="0" fontId="0" fillId="0" borderId="162" xfId="0" applyBorder="1"/>
    <xf numFmtId="1" fontId="0" fillId="0" borderId="162" xfId="0" applyNumberFormat="1" applyBorder="1"/>
    <xf numFmtId="0" fontId="5" fillId="19" borderId="163" xfId="0" applyFont="1" applyFill="1" applyBorder="1" applyAlignment="1">
      <alignment horizontal="right" vertical="center" wrapText="1"/>
    </xf>
    <xf numFmtId="0" fontId="5" fillId="19" borderId="164" xfId="0" applyFont="1" applyFill="1" applyBorder="1" applyAlignment="1">
      <alignment horizontal="center" vertical="center" wrapText="1"/>
    </xf>
    <xf numFmtId="0" fontId="5" fillId="19" borderId="165" xfId="0" applyFont="1" applyFill="1" applyBorder="1" applyAlignment="1">
      <alignment horizontal="center" vertical="center" wrapText="1"/>
    </xf>
    <xf numFmtId="0" fontId="5" fillId="19" borderId="166" xfId="0" applyFont="1" applyFill="1" applyBorder="1" applyAlignment="1">
      <alignment horizontal="center" vertical="center" wrapText="1"/>
    </xf>
    <xf numFmtId="0" fontId="5" fillId="19" borderId="167" xfId="0" applyFont="1" applyFill="1" applyBorder="1" applyAlignment="1">
      <alignment horizontal="center" vertical="center" wrapText="1"/>
    </xf>
    <xf numFmtId="0" fontId="0" fillId="0" borderId="168" xfId="0" applyBorder="1"/>
    <xf numFmtId="1" fontId="0" fillId="0" borderId="169" xfId="0" applyNumberFormat="1" applyBorder="1"/>
    <xf numFmtId="0" fontId="6" fillId="20" borderId="170" xfId="0" applyFont="1" applyFill="1" applyBorder="1" applyAlignment="1">
      <alignment horizontal="justify" vertical="center" wrapText="1"/>
    </xf>
    <xf numFmtId="0" fontId="6" fillId="20" borderId="171" xfId="0" applyFont="1" applyFill="1" applyBorder="1" applyAlignment="1">
      <alignment horizontal="center" vertical="center" wrapText="1"/>
    </xf>
    <xf numFmtId="0" fontId="6" fillId="20" borderId="172" xfId="0" applyFont="1" applyFill="1" applyBorder="1" applyAlignment="1">
      <alignment horizontal="center" vertical="center" wrapText="1"/>
    </xf>
    <xf numFmtId="0" fontId="6" fillId="20" borderId="173" xfId="0" applyFont="1" applyFill="1" applyBorder="1" applyAlignment="1">
      <alignment horizontal="center" vertical="center" wrapText="1"/>
    </xf>
    <xf numFmtId="0" fontId="0" fillId="0" borderId="129" xfId="0" applyBorder="1"/>
    <xf numFmtId="0" fontId="6" fillId="21" borderId="174" xfId="0" applyFont="1" applyFill="1" applyBorder="1" applyAlignment="1">
      <alignment horizontal="justify" vertical="center" wrapText="1"/>
    </xf>
    <xf numFmtId="0" fontId="6" fillId="21" borderId="172" xfId="0" applyFont="1" applyFill="1" applyBorder="1" applyAlignment="1">
      <alignment horizontal="center" vertical="center" wrapText="1"/>
    </xf>
    <xf numFmtId="0" fontId="6" fillId="21" borderId="173" xfId="0" applyFont="1" applyFill="1" applyBorder="1" applyAlignment="1">
      <alignment horizontal="center" vertical="center" wrapText="1"/>
    </xf>
    <xf numFmtId="0" fontId="0" fillId="0" borderId="137" xfId="0" applyBorder="1" applyAlignment="1">
      <alignment horizontal="right"/>
    </xf>
    <xf numFmtId="1" fontId="0" fillId="0" borderId="129" xfId="0" applyNumberFormat="1" applyBorder="1" applyAlignment="1">
      <alignment horizontal="right"/>
    </xf>
    <xf numFmtId="0" fontId="5" fillId="21" borderId="175" xfId="0" applyFont="1" applyFill="1" applyBorder="1" applyAlignment="1">
      <alignment horizontal="right" vertical="center" wrapText="1"/>
    </xf>
    <xf numFmtId="0" fontId="5" fillId="21" borderId="176" xfId="0" applyFont="1" applyFill="1" applyBorder="1" applyAlignment="1">
      <alignment horizontal="center" vertical="center" wrapText="1"/>
    </xf>
    <xf numFmtId="0" fontId="5" fillId="21" borderId="177" xfId="0" applyFont="1" applyFill="1" applyBorder="1" applyAlignment="1">
      <alignment horizontal="center" vertical="center" wrapText="1"/>
    </xf>
    <xf numFmtId="0" fontId="5" fillId="21" borderId="178" xfId="0" applyFont="1" applyFill="1" applyBorder="1" applyAlignment="1">
      <alignment horizontal="center" vertical="center" wrapText="1"/>
    </xf>
    <xf numFmtId="0" fontId="5" fillId="21" borderId="179" xfId="0" applyFont="1" applyFill="1" applyBorder="1" applyAlignment="1">
      <alignment horizontal="center" vertical="center" wrapText="1"/>
    </xf>
    <xf numFmtId="0" fontId="0" fillId="0" borderId="162" xfId="0" applyBorder="1" applyAlignment="1">
      <alignment horizontal="right"/>
    </xf>
    <xf numFmtId="1" fontId="0" fillId="0" borderId="162" xfId="0" applyNumberFormat="1" applyBorder="1" applyAlignment="1">
      <alignment horizontal="right"/>
    </xf>
    <xf numFmtId="0" fontId="5" fillId="21" borderId="180" xfId="0" applyFont="1" applyFill="1" applyBorder="1" applyAlignment="1">
      <alignment horizontal="right" vertical="center" wrapText="1"/>
    </xf>
    <xf numFmtId="0" fontId="5" fillId="21" borderId="181" xfId="0" applyFont="1" applyFill="1" applyBorder="1" applyAlignment="1">
      <alignment horizontal="center" vertical="center" wrapText="1"/>
    </xf>
    <xf numFmtId="0" fontId="5" fillId="21" borderId="182" xfId="0" applyFont="1" applyFill="1" applyBorder="1" applyAlignment="1">
      <alignment horizontal="center" vertical="center" wrapText="1"/>
    </xf>
    <xf numFmtId="0" fontId="5" fillId="21" borderId="183" xfId="0" applyFont="1" applyFill="1" applyBorder="1" applyAlignment="1">
      <alignment horizontal="center" vertical="center" wrapText="1"/>
    </xf>
    <xf numFmtId="0" fontId="0" fillId="0" borderId="168" xfId="0" applyBorder="1" applyAlignment="1">
      <alignment horizontal="right"/>
    </xf>
    <xf numFmtId="1" fontId="0" fillId="0" borderId="169" xfId="0" applyNumberFormat="1" applyBorder="1" applyAlignment="1">
      <alignment horizontal="right"/>
    </xf>
    <xf numFmtId="0" fontId="6" fillId="20" borderId="184" xfId="0" applyFont="1" applyFill="1" applyBorder="1" applyAlignment="1">
      <alignment horizontal="justify" vertical="center" wrapText="1"/>
    </xf>
    <xf numFmtId="0" fontId="0" fillId="0" borderId="129" xfId="0" applyBorder="1" applyAlignment="1">
      <alignment horizontal="right"/>
    </xf>
    <xf numFmtId="1" fontId="0" fillId="0" borderId="185" xfId="0" applyNumberFormat="1" applyBorder="1" applyAlignment="1">
      <alignment horizontal="right"/>
    </xf>
    <xf numFmtId="0" fontId="35" fillId="20" borderId="186" xfId="0" applyFont="1" applyFill="1" applyBorder="1"/>
    <xf numFmtId="0" fontId="35" fillId="20" borderId="186" xfId="0" applyFont="1" applyFill="1" applyBorder="1" applyAlignment="1">
      <alignment horizontal="center"/>
    </xf>
    <xf numFmtId="0" fontId="35" fillId="20" borderId="187" xfId="0" applyFont="1" applyFill="1" applyBorder="1" applyAlignment="1">
      <alignment horizontal="center"/>
    </xf>
    <xf numFmtId="0" fontId="0" fillId="0" borderId="150" xfId="0" applyBorder="1" applyAlignment="1">
      <alignment horizontal="right"/>
    </xf>
    <xf numFmtId="0" fontId="35" fillId="7" borderId="62" xfId="0" applyFont="1" applyFill="1" applyBorder="1"/>
    <xf numFmtId="0" fontId="35" fillId="7" borderId="16" xfId="0" applyFont="1" applyFill="1" applyBorder="1"/>
    <xf numFmtId="0" fontId="35" fillId="7" borderId="63" xfId="0" applyFont="1" applyFill="1" applyBorder="1"/>
    <xf numFmtId="0" fontId="0" fillId="7" borderId="132" xfId="0" applyFill="1" applyBorder="1" applyAlignment="1">
      <alignment horizontal="right"/>
    </xf>
    <xf numFmtId="1" fontId="0" fillId="7" borderId="127" xfId="0" applyNumberFormat="1" applyFill="1" applyBorder="1" applyAlignment="1">
      <alignment horizontal="right"/>
    </xf>
    <xf numFmtId="0" fontId="0" fillId="7" borderId="188" xfId="0" applyFill="1" applyBorder="1" applyAlignment="1">
      <alignment horizontal="right"/>
    </xf>
    <xf numFmtId="1" fontId="0" fillId="7" borderId="189" xfId="0" applyNumberFormat="1" applyFill="1" applyBorder="1" applyAlignment="1">
      <alignment horizontal="right"/>
    </xf>
    <xf numFmtId="0" fontId="6" fillId="22" borderId="190" xfId="0" applyFont="1" applyFill="1" applyBorder="1" applyAlignment="1">
      <alignment horizontal="justify" vertical="center" wrapText="1"/>
    </xf>
    <xf numFmtId="0" fontId="6" fillId="22" borderId="191" xfId="0" applyFont="1" applyFill="1" applyBorder="1" applyAlignment="1">
      <alignment horizontal="center" vertical="center" wrapText="1"/>
    </xf>
    <xf numFmtId="0" fontId="6" fillId="22" borderId="192" xfId="0" applyFont="1" applyFill="1" applyBorder="1" applyAlignment="1">
      <alignment horizontal="center" vertical="center" wrapText="1"/>
    </xf>
    <xf numFmtId="0" fontId="6" fillId="22" borderId="193" xfId="0" applyFont="1" applyFill="1" applyBorder="1" applyAlignment="1">
      <alignment horizontal="center" vertical="center" wrapText="1"/>
    </xf>
    <xf numFmtId="0" fontId="6" fillId="22" borderId="194" xfId="0" applyFont="1" applyFill="1" applyBorder="1" applyAlignment="1">
      <alignment horizontal="center" vertical="center" wrapText="1"/>
    </xf>
    <xf numFmtId="0" fontId="0" fillId="0" borderId="195" xfId="0" applyBorder="1" applyAlignment="1">
      <alignment horizontal="right"/>
    </xf>
    <xf numFmtId="0" fontId="6" fillId="14" borderId="196" xfId="0" applyFont="1" applyFill="1" applyBorder="1" applyAlignment="1">
      <alignment horizontal="justify" vertical="center" wrapText="1"/>
    </xf>
    <xf numFmtId="0" fontId="6" fillId="14" borderId="194" xfId="0" applyFont="1" applyFill="1" applyBorder="1" applyAlignment="1">
      <alignment horizontal="center" vertical="center" wrapText="1"/>
    </xf>
    <xf numFmtId="0" fontId="6" fillId="14" borderId="197" xfId="0" applyFont="1" applyFill="1" applyBorder="1" applyAlignment="1">
      <alignment horizontal="center" vertical="center" wrapText="1"/>
    </xf>
    <xf numFmtId="0" fontId="6" fillId="14" borderId="198" xfId="0" applyFont="1" applyFill="1" applyBorder="1" applyAlignment="1">
      <alignment horizontal="center" vertical="center" wrapText="1"/>
    </xf>
    <xf numFmtId="0" fontId="5" fillId="14" borderId="199" xfId="0" applyFont="1" applyFill="1" applyBorder="1" applyAlignment="1">
      <alignment horizontal="right" vertical="center" wrapText="1"/>
    </xf>
    <xf numFmtId="0" fontId="5" fillId="14" borderId="200" xfId="0" applyFont="1" applyFill="1" applyBorder="1" applyAlignment="1">
      <alignment horizontal="center" vertical="center" wrapText="1"/>
    </xf>
    <xf numFmtId="0" fontId="5" fillId="14" borderId="201" xfId="0" applyFont="1" applyFill="1" applyBorder="1" applyAlignment="1">
      <alignment horizontal="center" vertical="center" wrapText="1"/>
    </xf>
    <xf numFmtId="0" fontId="5" fillId="14" borderId="202" xfId="0" applyFont="1" applyFill="1" applyBorder="1" applyAlignment="1">
      <alignment horizontal="center" vertical="center" wrapText="1"/>
    </xf>
    <xf numFmtId="0" fontId="5" fillId="14" borderId="203" xfId="0" applyFont="1" applyFill="1" applyBorder="1" applyAlignment="1">
      <alignment horizontal="center" vertical="center" wrapText="1"/>
    </xf>
    <xf numFmtId="0" fontId="5" fillId="14" borderId="204" xfId="0" applyFont="1" applyFill="1" applyBorder="1" applyAlignment="1">
      <alignment horizontal="right" vertical="center" wrapText="1"/>
    </xf>
    <xf numFmtId="0" fontId="5" fillId="14" borderId="205" xfId="0" applyFont="1" applyFill="1" applyBorder="1" applyAlignment="1">
      <alignment horizontal="center" vertical="center" wrapText="1"/>
    </xf>
    <xf numFmtId="0" fontId="5" fillId="14" borderId="206" xfId="0" applyFont="1" applyFill="1" applyBorder="1" applyAlignment="1">
      <alignment horizontal="center" vertical="center" wrapText="1"/>
    </xf>
    <xf numFmtId="0" fontId="5" fillId="14" borderId="207" xfId="0" applyFont="1" applyFill="1" applyBorder="1" applyAlignment="1">
      <alignment horizontal="center" vertical="center" wrapText="1"/>
    </xf>
    <xf numFmtId="0" fontId="5" fillId="14" borderId="208" xfId="0" applyFont="1" applyFill="1" applyBorder="1" applyAlignment="1">
      <alignment horizontal="center" vertical="center" wrapText="1"/>
    </xf>
    <xf numFmtId="0" fontId="6" fillId="7" borderId="65" xfId="0" applyFont="1" applyFill="1" applyBorder="1" applyAlignment="1">
      <alignment horizontal="center" vertical="center" wrapText="1"/>
    </xf>
    <xf numFmtId="17" fontId="6" fillId="0" borderId="44" xfId="0" applyNumberFormat="1" applyFont="1" applyBorder="1" applyAlignment="1">
      <alignment horizontal="center" vertical="center" wrapText="1"/>
    </xf>
    <xf numFmtId="17" fontId="3" fillId="0" borderId="66" xfId="0" applyNumberFormat="1" applyFont="1" applyBorder="1" applyAlignment="1">
      <alignment horizontal="center" vertical="center" wrapText="1"/>
    </xf>
    <xf numFmtId="0" fontId="21" fillId="0" borderId="169" xfId="0" applyFont="1" applyBorder="1" applyAlignment="1">
      <alignment horizontal="center"/>
    </xf>
    <xf numFmtId="1" fontId="21" fillId="0" borderId="169" xfId="0" applyNumberFormat="1" applyFont="1" applyBorder="1" applyAlignment="1">
      <alignment horizontal="center"/>
    </xf>
    <xf numFmtId="0" fontId="0" fillId="0" borderId="0" xfId="0"/>
    <xf numFmtId="1" fontId="23" fillId="0" borderId="11" xfId="0" applyNumberFormat="1" applyFont="1" applyFill="1" applyBorder="1" applyAlignment="1">
      <alignment horizontal="center" vertical="center"/>
    </xf>
    <xf numFmtId="1" fontId="23" fillId="0" borderId="64" xfId="0" applyNumberFormat="1" applyFont="1" applyFill="1" applyBorder="1" applyAlignment="1">
      <alignment horizontal="center" vertical="center"/>
    </xf>
    <xf numFmtId="0" fontId="11" fillId="20" borderId="209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64" fontId="54" fillId="0" borderId="12" xfId="0" applyNumberFormat="1" applyFont="1" applyBorder="1" applyAlignment="1">
      <alignment horizontal="center" vertical="center"/>
    </xf>
    <xf numFmtId="164" fontId="54" fillId="0" borderId="23" xfId="0" applyNumberFormat="1" applyFont="1" applyBorder="1" applyAlignment="1">
      <alignment horizontal="center" vertical="center"/>
    </xf>
    <xf numFmtId="0" fontId="16" fillId="0" borderId="0" xfId="0" applyFont="1" applyFill="1"/>
    <xf numFmtId="0" fontId="34" fillId="0" borderId="0" xfId="0" applyFont="1" applyFill="1" applyAlignment="1">
      <alignment horizontal="center" vertical="center"/>
    </xf>
    <xf numFmtId="1" fontId="16" fillId="0" borderId="0" xfId="0" applyNumberFormat="1" applyFont="1" applyFill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16" fillId="0" borderId="0" xfId="0" applyFont="1"/>
    <xf numFmtId="0" fontId="32" fillId="0" borderId="0" xfId="0" applyFont="1" applyAlignment="1">
      <alignment horizontal="left"/>
    </xf>
    <xf numFmtId="0" fontId="32" fillId="0" borderId="0" xfId="0" applyFont="1" applyFill="1" applyAlignment="1">
      <alignment horizontal="center" vertical="center"/>
    </xf>
    <xf numFmtId="1" fontId="23" fillId="0" borderId="8" xfId="0" applyNumberFormat="1" applyFont="1" applyBorder="1" applyAlignment="1">
      <alignment horizontal="center"/>
    </xf>
    <xf numFmtId="1" fontId="23" fillId="0" borderId="16" xfId="0" applyNumberFormat="1" applyFont="1" applyBorder="1" applyAlignment="1">
      <alignment horizontal="center"/>
    </xf>
    <xf numFmtId="1" fontId="23" fillId="0" borderId="7" xfId="0" applyNumberFormat="1" applyFont="1" applyBorder="1" applyAlignment="1">
      <alignment horizontal="center"/>
    </xf>
    <xf numFmtId="1" fontId="23" fillId="0" borderId="7" xfId="0" applyNumberFormat="1" applyFont="1" applyFill="1" applyBorder="1" applyAlignment="1">
      <alignment horizontal="center"/>
    </xf>
    <xf numFmtId="1" fontId="23" fillId="0" borderId="9" xfId="0" applyNumberFormat="1" applyFont="1" applyBorder="1" applyAlignment="1">
      <alignment horizontal="center"/>
    </xf>
    <xf numFmtId="0" fontId="0" fillId="0" borderId="0" xfId="0"/>
    <xf numFmtId="0" fontId="27" fillId="3" borderId="18" xfId="0" applyFont="1" applyFill="1" applyBorder="1" applyAlignment="1">
      <alignment horizontal="right"/>
    </xf>
    <xf numFmtId="1" fontId="22" fillId="0" borderId="12" xfId="0" applyNumberFormat="1" applyFont="1" applyBorder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1" fontId="22" fillId="0" borderId="23" xfId="0" applyNumberFormat="1" applyFont="1" applyBorder="1" applyAlignment="1">
      <alignment horizontal="center" vertical="center"/>
    </xf>
    <xf numFmtId="1" fontId="35" fillId="0" borderId="0" xfId="0" applyNumberFormat="1" applyFont="1"/>
    <xf numFmtId="1" fontId="17" fillId="0" borderId="0" xfId="0" applyNumberFormat="1" applyFont="1"/>
    <xf numFmtId="0" fontId="54" fillId="0" borderId="11" xfId="0" applyFont="1" applyBorder="1" applyAlignment="1">
      <alignment horizontal="center"/>
    </xf>
    <xf numFmtId="1" fontId="54" fillId="0" borderId="67" xfId="0" applyNumberFormat="1" applyFont="1" applyBorder="1" applyAlignment="1">
      <alignment horizontal="center" vertical="center"/>
    </xf>
    <xf numFmtId="1" fontId="54" fillId="0" borderId="36" xfId="0" applyNumberFormat="1" applyFont="1" applyBorder="1" applyAlignment="1">
      <alignment horizontal="center" vertical="center"/>
    </xf>
    <xf numFmtId="1" fontId="54" fillId="0" borderId="68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64" fontId="53" fillId="0" borderId="0" xfId="0" applyNumberFormat="1" applyFont="1" applyFill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1" fontId="56" fillId="0" borderId="0" xfId="0" applyNumberFormat="1" applyFont="1" applyBorder="1" applyAlignment="1">
      <alignment horizontal="center" vertical="center"/>
    </xf>
    <xf numFmtId="0" fontId="0" fillId="0" borderId="0" xfId="0"/>
    <xf numFmtId="1" fontId="22" fillId="0" borderId="67" xfId="0" applyNumberFormat="1" applyFont="1" applyBorder="1" applyAlignment="1">
      <alignment horizontal="center" vertical="center"/>
    </xf>
    <xf numFmtId="1" fontId="22" fillId="0" borderId="36" xfId="0" applyNumberFormat="1" applyFont="1" applyBorder="1" applyAlignment="1">
      <alignment horizontal="center" vertical="center"/>
    </xf>
    <xf numFmtId="1" fontId="22" fillId="0" borderId="68" xfId="0" applyNumberFormat="1" applyFont="1" applyBorder="1" applyAlignment="1">
      <alignment horizontal="center" vertical="center"/>
    </xf>
    <xf numFmtId="1" fontId="54" fillId="0" borderId="40" xfId="0" applyNumberFormat="1" applyFont="1" applyBorder="1" applyAlignment="1">
      <alignment horizontal="center" vertical="center"/>
    </xf>
    <xf numFmtId="164" fontId="54" fillId="0" borderId="52" xfId="0" applyNumberFormat="1" applyFont="1" applyBorder="1" applyAlignment="1">
      <alignment horizontal="center" vertical="center"/>
    </xf>
    <xf numFmtId="0" fontId="8" fillId="0" borderId="30" xfId="7" applyFont="1" applyFill="1" applyBorder="1" applyAlignment="1">
      <alignment horizontal="center" wrapText="1"/>
    </xf>
    <xf numFmtId="0" fontId="8" fillId="0" borderId="14" xfId="7" applyFont="1" applyFill="1" applyBorder="1" applyAlignment="1">
      <alignment horizontal="center" wrapText="1"/>
    </xf>
    <xf numFmtId="0" fontId="8" fillId="0" borderId="11" xfId="7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wrapText="1"/>
    </xf>
    <xf numFmtId="0" fontId="8" fillId="0" borderId="0" xfId="7" applyFont="1" applyFill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0" fontId="54" fillId="0" borderId="46" xfId="0" applyFont="1" applyBorder="1" applyAlignment="1">
      <alignment horizontal="center"/>
    </xf>
    <xf numFmtId="17" fontId="22" fillId="3" borderId="101" xfId="0" applyNumberFormat="1" applyFont="1" applyFill="1" applyBorder="1"/>
    <xf numFmtId="0" fontId="15" fillId="0" borderId="69" xfId="1" applyFont="1" applyFill="1" applyBorder="1" applyAlignment="1">
      <alignment horizontal="center" vertical="center"/>
    </xf>
    <xf numFmtId="0" fontId="15" fillId="0" borderId="64" xfId="1" applyFont="1" applyFill="1" applyBorder="1" applyAlignment="1">
      <alignment horizontal="center" vertical="center"/>
    </xf>
    <xf numFmtId="1" fontId="27" fillId="3" borderId="17" xfId="0" applyNumberFormat="1" applyFont="1" applyFill="1" applyBorder="1" applyAlignment="1">
      <alignment horizontal="center" vertical="center"/>
    </xf>
    <xf numFmtId="1" fontId="27" fillId="3" borderId="15" xfId="0" applyNumberFormat="1" applyFont="1" applyFill="1" applyBorder="1" applyAlignment="1">
      <alignment horizontal="center"/>
    </xf>
    <xf numFmtId="0" fontId="42" fillId="0" borderId="0" xfId="0" applyFont="1" applyAlignment="1">
      <alignment horizontal="center"/>
    </xf>
    <xf numFmtId="0" fontId="27" fillId="14" borderId="19" xfId="0" applyFont="1" applyFill="1" applyBorder="1" applyAlignment="1">
      <alignment horizontal="center" vertical="center" wrapText="1"/>
    </xf>
    <xf numFmtId="164" fontId="17" fillId="0" borderId="0" xfId="0" applyNumberFormat="1" applyFont="1" applyBorder="1" applyAlignment="1">
      <alignment horizontal="center" vertical="center"/>
    </xf>
    <xf numFmtId="0" fontId="0" fillId="0" borderId="0" xfId="0"/>
    <xf numFmtId="164" fontId="22" fillId="4" borderId="18" xfId="0" applyNumberFormat="1" applyFont="1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/>
    </xf>
    <xf numFmtId="0" fontId="27" fillId="0" borderId="33" xfId="1" applyFont="1" applyFill="1" applyBorder="1" applyAlignment="1">
      <alignment horizontal="center" vertical="center"/>
    </xf>
    <xf numFmtId="17" fontId="22" fillId="6" borderId="102" xfId="0" applyNumberFormat="1" applyFont="1" applyFill="1" applyBorder="1" applyAlignment="1">
      <alignment horizontal="center" vertical="center"/>
    </xf>
    <xf numFmtId="17" fontId="22" fillId="6" borderId="123" xfId="0" applyNumberFormat="1" applyFont="1" applyFill="1" applyBorder="1" applyAlignment="1">
      <alignment horizontal="center" vertical="center"/>
    </xf>
    <xf numFmtId="17" fontId="22" fillId="6" borderId="115" xfId="0" applyNumberFormat="1" applyFont="1" applyFill="1" applyBorder="1" applyAlignment="1">
      <alignment horizontal="center" vertical="center"/>
    </xf>
    <xf numFmtId="17" fontId="22" fillId="3" borderId="10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left"/>
    </xf>
    <xf numFmtId="0" fontId="27" fillId="6" borderId="116" xfId="0" applyFont="1" applyFill="1" applyBorder="1" applyAlignment="1">
      <alignment horizontal="left"/>
    </xf>
    <xf numFmtId="0" fontId="0" fillId="0" borderId="45" xfId="0" applyFill="1" applyBorder="1" applyAlignment="1">
      <alignment horizontal="center" vertical="center"/>
    </xf>
    <xf numFmtId="0" fontId="27" fillId="3" borderId="115" xfId="0" applyFont="1" applyFill="1" applyBorder="1" applyAlignment="1">
      <alignment horizontal="center" vertical="center"/>
    </xf>
    <xf numFmtId="0" fontId="27" fillId="3" borderId="60" xfId="0" applyFont="1" applyFill="1" applyBorder="1" applyAlignment="1">
      <alignment horizontal="center" vertical="center"/>
    </xf>
    <xf numFmtId="17" fontId="22" fillId="3" borderId="70" xfId="0" applyNumberFormat="1" applyFont="1" applyFill="1" applyBorder="1" applyAlignment="1">
      <alignment horizontal="center" vertical="center"/>
    </xf>
    <xf numFmtId="17" fontId="22" fillId="3" borderId="60" xfId="0" applyNumberFormat="1" applyFont="1" applyFill="1" applyBorder="1" applyAlignment="1">
      <alignment horizontal="center" vertical="center"/>
    </xf>
    <xf numFmtId="17" fontId="22" fillId="3" borderId="37" xfId="0" applyNumberFormat="1" applyFont="1" applyFill="1" applyBorder="1" applyAlignment="1">
      <alignment horizontal="center" vertical="center"/>
    </xf>
    <xf numFmtId="17" fontId="22" fillId="3" borderId="38" xfId="0" applyNumberFormat="1" applyFont="1" applyFill="1" applyBorder="1" applyAlignment="1">
      <alignment horizontal="center" vertical="center"/>
    </xf>
    <xf numFmtId="17" fontId="22" fillId="3" borderId="39" xfId="0" applyNumberFormat="1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/>
    </xf>
    <xf numFmtId="0" fontId="22" fillId="3" borderId="123" xfId="0" applyFont="1" applyFill="1" applyBorder="1" applyAlignment="1">
      <alignment horizontal="center"/>
    </xf>
    <xf numFmtId="0" fontId="51" fillId="0" borderId="97" xfId="0" applyFont="1" applyFill="1" applyBorder="1" applyAlignment="1">
      <alignment horizontal="left" vertical="center" wrapText="1"/>
    </xf>
    <xf numFmtId="0" fontId="54" fillId="0" borderId="71" xfId="0" applyFont="1" applyBorder="1"/>
    <xf numFmtId="0" fontId="54" fillId="0" borderId="46" xfId="0" applyFont="1" applyBorder="1"/>
    <xf numFmtId="0" fontId="0" fillId="0" borderId="0" xfId="0"/>
    <xf numFmtId="0" fontId="43" fillId="0" borderId="72" xfId="0" applyFont="1" applyFill="1" applyBorder="1" applyAlignment="1">
      <alignment horizontal="center" wrapText="1"/>
    </xf>
    <xf numFmtId="0" fontId="43" fillId="0" borderId="64" xfId="0" applyFont="1" applyFill="1" applyBorder="1" applyAlignment="1">
      <alignment horizontal="center" wrapText="1"/>
    </xf>
    <xf numFmtId="0" fontId="43" fillId="0" borderId="73" xfId="0" applyFont="1" applyFill="1" applyBorder="1" applyAlignment="1">
      <alignment horizontal="center" wrapText="1"/>
    </xf>
    <xf numFmtId="0" fontId="46" fillId="8" borderId="19" xfId="0" applyFont="1" applyFill="1" applyBorder="1" applyAlignment="1">
      <alignment horizontal="center" wrapText="1"/>
    </xf>
    <xf numFmtId="0" fontId="39" fillId="4" borderId="74" xfId="0" applyFont="1" applyFill="1" applyBorder="1" applyAlignment="1">
      <alignment horizontal="right" wrapText="1"/>
    </xf>
    <xf numFmtId="17" fontId="39" fillId="8" borderId="12" xfId="0" applyNumberFormat="1" applyFont="1" applyFill="1" applyBorder="1" applyAlignment="1">
      <alignment horizontal="center" wrapText="1"/>
    </xf>
    <xf numFmtId="17" fontId="39" fillId="8" borderId="13" xfId="0" applyNumberFormat="1" applyFont="1" applyFill="1" applyBorder="1" applyAlignment="1">
      <alignment horizontal="center" wrapText="1"/>
    </xf>
    <xf numFmtId="17" fontId="39" fillId="8" borderId="23" xfId="0" applyNumberFormat="1" applyFont="1" applyFill="1" applyBorder="1" applyAlignment="1">
      <alignment horizontal="center" wrapText="1"/>
    </xf>
    <xf numFmtId="0" fontId="43" fillId="0" borderId="72" xfId="0" applyFont="1" applyFill="1" applyBorder="1" applyAlignment="1">
      <alignment horizontal="center"/>
    </xf>
    <xf numFmtId="0" fontId="43" fillId="0" borderId="64" xfId="0" applyFont="1" applyFill="1" applyBorder="1" applyAlignment="1">
      <alignment horizontal="center"/>
    </xf>
    <xf numFmtId="0" fontId="43" fillId="0" borderId="73" xfId="0" applyFont="1" applyFill="1" applyBorder="1" applyAlignment="1">
      <alignment horizontal="center"/>
    </xf>
    <xf numFmtId="0" fontId="39" fillId="4" borderId="48" xfId="0" applyFont="1" applyFill="1" applyBorder="1" applyAlignment="1">
      <alignment horizontal="right" vertical="center" wrapText="1"/>
    </xf>
    <xf numFmtId="0" fontId="15" fillId="0" borderId="13" xfId="1" applyFont="1" applyFill="1" applyBorder="1" applyAlignment="1"/>
    <xf numFmtId="0" fontId="0" fillId="0" borderId="13" xfId="0" applyFill="1" applyBorder="1"/>
    <xf numFmtId="0" fontId="0" fillId="0" borderId="23" xfId="0" applyFill="1" applyBorder="1"/>
    <xf numFmtId="0" fontId="15" fillId="0" borderId="33" xfId="1" applyFont="1" applyFill="1" applyBorder="1" applyAlignment="1"/>
    <xf numFmtId="164" fontId="54" fillId="0" borderId="0" xfId="0" applyNumberFormat="1" applyFont="1" applyBorder="1" applyAlignment="1">
      <alignment horizontal="center" vertical="center"/>
    </xf>
    <xf numFmtId="0" fontId="51" fillId="0" borderId="0" xfId="0" applyFont="1" applyAlignment="1">
      <alignment horizontal="center" wrapText="1"/>
    </xf>
    <xf numFmtId="0" fontId="8" fillId="0" borderId="14" xfId="7" applyFont="1" applyFill="1" applyBorder="1" applyAlignment="1">
      <alignment horizontal="center" vertical="center" wrapText="1"/>
    </xf>
    <xf numFmtId="164" fontId="53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left"/>
    </xf>
    <xf numFmtId="1" fontId="34" fillId="0" borderId="0" xfId="0" applyNumberFormat="1" applyFont="1" applyAlignment="1">
      <alignment horizontal="left" vertical="center"/>
    </xf>
    <xf numFmtId="1" fontId="34" fillId="0" borderId="0" xfId="0" applyNumberFormat="1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1" fontId="16" fillId="0" borderId="0" xfId="0" applyNumberFormat="1" applyFont="1"/>
    <xf numFmtId="1" fontId="23" fillId="0" borderId="10" xfId="0" applyNumberFormat="1" applyFont="1" applyFill="1" applyBorder="1" applyAlignment="1">
      <alignment horizontal="center" vertical="center"/>
    </xf>
    <xf numFmtId="1" fontId="23" fillId="0" borderId="50" xfId="0" applyNumberFormat="1" applyFont="1" applyFill="1" applyBorder="1" applyAlignment="1">
      <alignment horizontal="center" vertical="center"/>
    </xf>
    <xf numFmtId="1" fontId="23" fillId="0" borderId="72" xfId="0" applyNumberFormat="1" applyFont="1" applyFill="1" applyBorder="1" applyAlignment="1">
      <alignment horizontal="center" vertical="center"/>
    </xf>
    <xf numFmtId="1" fontId="23" fillId="0" borderId="73" xfId="0" applyNumberFormat="1" applyFont="1" applyFill="1" applyBorder="1" applyAlignment="1">
      <alignment horizontal="center" vertical="center"/>
    </xf>
    <xf numFmtId="0" fontId="0" fillId="0" borderId="0" xfId="0"/>
    <xf numFmtId="17" fontId="22" fillId="3" borderId="27" xfId="0" applyNumberFormat="1" applyFont="1" applyFill="1" applyBorder="1" applyAlignment="1">
      <alignment horizontal="center" vertical="center"/>
    </xf>
    <xf numFmtId="0" fontId="41" fillId="0" borderId="30" xfId="0" applyFont="1" applyBorder="1"/>
    <xf numFmtId="0" fontId="41" fillId="0" borderId="14" xfId="0" applyFont="1" applyBorder="1"/>
    <xf numFmtId="0" fontId="41" fillId="0" borderId="42" xfId="0" applyFont="1" applyBorder="1"/>
    <xf numFmtId="0" fontId="40" fillId="4" borderId="74" xfId="0" applyFont="1" applyFill="1" applyBorder="1"/>
    <xf numFmtId="2" fontId="41" fillId="7" borderId="32" xfId="0" applyNumberFormat="1" applyFont="1" applyFill="1" applyBorder="1"/>
    <xf numFmtId="1" fontId="41" fillId="0" borderId="13" xfId="0" applyNumberFormat="1" applyFont="1" applyBorder="1"/>
    <xf numFmtId="1" fontId="41" fillId="0" borderId="23" xfId="0" applyNumberFormat="1" applyFont="1" applyBorder="1"/>
    <xf numFmtId="0" fontId="57" fillId="0" borderId="0" xfId="0" applyFont="1"/>
    <xf numFmtId="1" fontId="49" fillId="16" borderId="19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1" fontId="15" fillId="0" borderId="16" xfId="1" applyNumberFormat="1" applyFont="1" applyFill="1" applyBorder="1" applyAlignment="1">
      <alignment horizontal="center" vertical="center"/>
    </xf>
    <xf numFmtId="1" fontId="15" fillId="0" borderId="7" xfId="1" applyNumberFormat="1" applyFon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0" fillId="0" borderId="46" xfId="0" applyNumberFormat="1" applyFill="1" applyBorder="1" applyAlignment="1">
      <alignment horizontal="center" vertical="center"/>
    </xf>
    <xf numFmtId="1" fontId="27" fillId="3" borderId="1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/>
    </xf>
    <xf numFmtId="1" fontId="54" fillId="0" borderId="46" xfId="0" applyNumberFormat="1" applyFont="1" applyBorder="1" applyAlignment="1">
      <alignment horizontal="center"/>
    </xf>
    <xf numFmtId="1" fontId="7" fillId="0" borderId="9" xfId="0" applyNumberFormat="1" applyFont="1" applyFill="1" applyBorder="1" applyAlignment="1">
      <alignment horizontal="center" vertical="center"/>
    </xf>
    <xf numFmtId="1" fontId="55" fillId="0" borderId="0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16" xfId="0" applyBorder="1"/>
    <xf numFmtId="17" fontId="22" fillId="3" borderId="18" xfId="0" applyNumberFormat="1" applyFont="1" applyFill="1" applyBorder="1" applyAlignment="1">
      <alignment horizontal="center" vertical="center"/>
    </xf>
    <xf numFmtId="3" fontId="22" fillId="3" borderId="74" xfId="0" applyNumberFormat="1" applyFont="1" applyFill="1" applyBorder="1" applyAlignment="1">
      <alignment horizontal="center" vertical="center"/>
    </xf>
    <xf numFmtId="0" fontId="0" fillId="0" borderId="46" xfId="0" applyBorder="1"/>
    <xf numFmtId="3" fontId="22" fillId="3" borderId="18" xfId="0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9" fillId="0" borderId="7" xfId="0" applyFont="1" applyBorder="1"/>
    <xf numFmtId="0" fontId="27" fillId="3" borderId="15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17" fontId="22" fillId="6" borderId="60" xfId="0" applyNumberFormat="1" applyFont="1" applyFill="1" applyBorder="1" applyAlignment="1">
      <alignment horizontal="center" vertical="center"/>
    </xf>
    <xf numFmtId="17" fontId="22" fillId="6" borderId="18" xfId="0" applyNumberFormat="1" applyFont="1" applyFill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22" fillId="3" borderId="112" xfId="0" applyFont="1" applyFill="1" applyBorder="1" applyAlignment="1">
      <alignment horizontal="center" vertical="center"/>
    </xf>
    <xf numFmtId="0" fontId="23" fillId="0" borderId="16" xfId="0" applyFont="1" applyBorder="1"/>
    <xf numFmtId="0" fontId="23" fillId="0" borderId="7" xfId="0" applyFont="1" applyBorder="1"/>
    <xf numFmtId="0" fontId="23" fillId="0" borderId="46" xfId="0" applyFont="1" applyBorder="1"/>
    <xf numFmtId="1" fontId="23" fillId="0" borderId="64" xfId="0" applyNumberFormat="1" applyFont="1" applyBorder="1"/>
    <xf numFmtId="1" fontId="23" fillId="0" borderId="7" xfId="0" applyNumberFormat="1" applyFont="1" applyBorder="1" applyAlignment="1">
      <alignment horizontal="center" vertical="center"/>
    </xf>
    <xf numFmtId="1" fontId="23" fillId="0" borderId="7" xfId="0" applyNumberFormat="1" applyFont="1" applyBorder="1"/>
    <xf numFmtId="1" fontId="23" fillId="0" borderId="45" xfId="0" applyNumberFormat="1" applyFont="1" applyBorder="1"/>
    <xf numFmtId="1" fontId="23" fillId="0" borderId="46" xfId="0" applyNumberFormat="1" applyFont="1" applyBorder="1" applyAlignment="1">
      <alignment horizontal="center"/>
    </xf>
    <xf numFmtId="1" fontId="22" fillId="0" borderId="124" xfId="0" applyNumberFormat="1" applyFont="1" applyBorder="1" applyAlignment="1">
      <alignment horizontal="center"/>
    </xf>
    <xf numFmtId="0" fontId="22" fillId="3" borderId="103" xfId="0" applyFont="1" applyFill="1" applyBorder="1" applyAlignment="1">
      <alignment horizontal="center" vertical="center"/>
    </xf>
    <xf numFmtId="1" fontId="22" fillId="3" borderId="18" xfId="0" applyNumberFormat="1" applyFont="1" applyFill="1" applyBorder="1" applyAlignment="1">
      <alignment horizontal="center" vertical="center"/>
    </xf>
    <xf numFmtId="1" fontId="22" fillId="3" borderId="115" xfId="0" applyNumberFormat="1" applyFont="1" applyFill="1" applyBorder="1" applyAlignment="1">
      <alignment horizontal="center"/>
    </xf>
    <xf numFmtId="1" fontId="22" fillId="16" borderId="103" xfId="0" applyNumberFormat="1" applyFont="1" applyFill="1" applyBorder="1" applyAlignment="1">
      <alignment horizontal="center"/>
    </xf>
    <xf numFmtId="1" fontId="23" fillId="0" borderId="69" xfId="0" applyNumberFormat="1" applyFont="1" applyBorder="1"/>
    <xf numFmtId="1" fontId="23" fillId="0" borderId="16" xfId="0" applyNumberFormat="1" applyFont="1" applyBorder="1" applyAlignment="1">
      <alignment horizontal="center" vertical="center"/>
    </xf>
    <xf numFmtId="17" fontId="22" fillId="3" borderId="15" xfId="0" applyNumberFormat="1" applyFont="1" applyFill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17" fontId="7" fillId="4" borderId="18" xfId="0" applyNumberFormat="1" applyFont="1" applyFill="1" applyBorder="1" applyAlignment="1">
      <alignment horizontal="center" vertical="center" wrapText="1"/>
    </xf>
    <xf numFmtId="1" fontId="58" fillId="0" borderId="0" xfId="0" applyNumberFormat="1" applyFont="1" applyFill="1" applyBorder="1" applyAlignment="1">
      <alignment horizontal="center" vertical="center"/>
    </xf>
    <xf numFmtId="0" fontId="59" fillId="0" borderId="0" xfId="7" applyFont="1" applyFill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164" fontId="56" fillId="0" borderId="0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1" fontId="17" fillId="0" borderId="0" xfId="0" applyNumberFormat="1" applyFont="1" applyBorder="1" applyAlignment="1">
      <alignment horizontal="center" vertical="center"/>
    </xf>
    <xf numFmtId="1" fontId="27" fillId="0" borderId="57" xfId="0" applyNumberFormat="1" applyFont="1" applyBorder="1" applyAlignment="1">
      <alignment horizontal="center" vertical="center"/>
    </xf>
    <xf numFmtId="1" fontId="27" fillId="4" borderId="15" xfId="0" applyNumberFormat="1" applyFont="1" applyFill="1" applyBorder="1" applyAlignment="1">
      <alignment horizontal="center" vertical="center"/>
    </xf>
    <xf numFmtId="1" fontId="22" fillId="3" borderId="123" xfId="0" applyNumberFormat="1" applyFont="1" applyFill="1" applyBorder="1" applyAlignment="1">
      <alignment horizontal="center" vertical="center"/>
    </xf>
    <xf numFmtId="1" fontId="27" fillId="0" borderId="56" xfId="0" applyNumberFormat="1" applyFont="1" applyBorder="1" applyAlignment="1">
      <alignment horizontal="center" vertical="center"/>
    </xf>
    <xf numFmtId="1" fontId="27" fillId="0" borderId="14" xfId="0" applyNumberFormat="1" applyFont="1" applyBorder="1" applyAlignment="1">
      <alignment horizontal="center" vertical="center"/>
    </xf>
    <xf numFmtId="2" fontId="22" fillId="3" borderId="210" xfId="0" applyNumberFormat="1" applyFont="1" applyFill="1" applyBorder="1" applyAlignment="1">
      <alignment horizontal="center" vertical="center"/>
    </xf>
    <xf numFmtId="2" fontId="27" fillId="0" borderId="211" xfId="1" applyNumberFormat="1" applyFont="1" applyFill="1" applyBorder="1" applyAlignment="1">
      <alignment horizontal="center" vertical="center"/>
    </xf>
    <xf numFmtId="2" fontId="27" fillId="0" borderId="41" xfId="1" applyNumberFormat="1" applyFont="1" applyFill="1" applyBorder="1" applyAlignment="1">
      <alignment horizontal="center" vertical="center"/>
    </xf>
    <xf numFmtId="2" fontId="27" fillId="0" borderId="52" xfId="1" applyNumberFormat="1" applyFont="1" applyFill="1" applyBorder="1" applyAlignment="1">
      <alignment horizontal="center" vertical="center"/>
    </xf>
    <xf numFmtId="2" fontId="27" fillId="3" borderId="18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22" fillId="3" borderId="19" xfId="0" applyFont="1" applyFill="1" applyBorder="1" applyAlignment="1">
      <alignment horizontal="center"/>
    </xf>
    <xf numFmtId="17" fontId="22" fillId="3" borderId="29" xfId="0" applyNumberFormat="1" applyFont="1" applyFill="1" applyBorder="1" applyAlignment="1">
      <alignment horizontal="center" vertical="center"/>
    </xf>
    <xf numFmtId="0" fontId="60" fillId="0" borderId="0" xfId="0" applyFont="1"/>
    <xf numFmtId="0" fontId="60" fillId="0" borderId="0" xfId="0" applyFont="1" applyAlignment="1">
      <alignment horizontal="center"/>
    </xf>
    <xf numFmtId="0" fontId="57" fillId="0" borderId="0" xfId="0" applyFont="1" applyFill="1"/>
    <xf numFmtId="2" fontId="12" fillId="0" borderId="0" xfId="0" applyNumberFormat="1" applyFont="1" applyFill="1" applyBorder="1" applyAlignment="1">
      <alignment horizontal="center"/>
    </xf>
    <xf numFmtId="0" fontId="13" fillId="0" borderId="0" xfId="0" applyFont="1"/>
    <xf numFmtId="0" fontId="51" fillId="0" borderId="16" xfId="0" applyFont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1" fontId="23" fillId="0" borderId="0" xfId="0" applyNumberFormat="1" applyFont="1" applyBorder="1" applyAlignment="1">
      <alignment horizontal="center"/>
    </xf>
    <xf numFmtId="0" fontId="0" fillId="0" borderId="0" xfId="0"/>
    <xf numFmtId="0" fontId="32" fillId="0" borderId="0" xfId="0" applyFont="1" applyBorder="1"/>
    <xf numFmtId="17" fontId="22" fillId="6" borderId="15" xfId="0" applyNumberFormat="1" applyFont="1" applyFill="1" applyBorder="1" applyAlignment="1">
      <alignment horizontal="center"/>
    </xf>
    <xf numFmtId="3" fontId="36" fillId="0" borderId="18" xfId="0" applyNumberFormat="1" applyFont="1" applyBorder="1" applyAlignment="1">
      <alignment horizontal="center"/>
    </xf>
    <xf numFmtId="0" fontId="27" fillId="3" borderId="18" xfId="1" applyFont="1" applyFill="1" applyBorder="1" applyAlignment="1">
      <alignment horizontal="center" vertical="center"/>
    </xf>
    <xf numFmtId="17" fontId="22" fillId="4" borderId="18" xfId="0" applyNumberFormat="1" applyFont="1" applyFill="1" applyBorder="1" applyAlignment="1">
      <alignment horizontal="center"/>
    </xf>
    <xf numFmtId="0" fontId="22" fillId="3" borderId="18" xfId="0" applyFont="1" applyFill="1" applyBorder="1" applyAlignment="1">
      <alignment horizontal="center"/>
    </xf>
    <xf numFmtId="1" fontId="22" fillId="3" borderId="18" xfId="0" applyNumberFormat="1" applyFont="1" applyFill="1" applyBorder="1" applyAlignment="1">
      <alignment horizontal="center"/>
    </xf>
    <xf numFmtId="1" fontId="22" fillId="0" borderId="15" xfId="0" applyNumberFormat="1" applyFont="1" applyBorder="1" applyAlignment="1">
      <alignment horizontal="center"/>
    </xf>
    <xf numFmtId="1" fontId="22" fillId="0" borderId="103" xfId="0" applyNumberFormat="1" applyFont="1" applyBorder="1" applyAlignment="1">
      <alignment horizontal="center"/>
    </xf>
    <xf numFmtId="0" fontId="22" fillId="3" borderId="60" xfId="0" applyFont="1" applyFill="1" applyBorder="1" applyAlignment="1">
      <alignment horizontal="center"/>
    </xf>
    <xf numFmtId="1" fontId="22" fillId="3" borderId="17" xfId="0" applyNumberFormat="1" applyFont="1" applyFill="1" applyBorder="1" applyAlignment="1">
      <alignment horizontal="center"/>
    </xf>
    <xf numFmtId="1" fontId="22" fillId="3" borderId="51" xfId="0" applyNumberFormat="1" applyFont="1" applyFill="1" applyBorder="1" applyAlignment="1">
      <alignment horizontal="center" vertical="center"/>
    </xf>
    <xf numFmtId="1" fontId="22" fillId="16" borderId="18" xfId="0" applyNumberFormat="1" applyFont="1" applyFill="1" applyBorder="1" applyAlignment="1">
      <alignment horizontal="center" vertical="center"/>
    </xf>
    <xf numFmtId="0" fontId="35" fillId="20" borderId="212" xfId="0" applyFont="1" applyFill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61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58" fillId="0" borderId="0" xfId="0" applyFont="1" applyFill="1" applyBorder="1" applyAlignment="1">
      <alignment horizontal="right" vertical="center" wrapText="1"/>
    </xf>
    <xf numFmtId="0" fontId="58" fillId="0" borderId="0" xfId="0" applyFont="1" applyFill="1" applyBorder="1" applyAlignment="1">
      <alignment horizontal="center" vertical="center"/>
    </xf>
    <xf numFmtId="164" fontId="62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vertical="center" wrapText="1"/>
    </xf>
    <xf numFmtId="1" fontId="2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0" fontId="0" fillId="0" borderId="213" xfId="0" applyBorder="1" applyAlignment="1">
      <alignment horizontal="left"/>
    </xf>
    <xf numFmtId="0" fontId="0" fillId="0" borderId="9" xfId="0" applyFill="1" applyBorder="1" applyAlignment="1">
      <alignment horizontal="center" vertical="center"/>
    </xf>
    <xf numFmtId="0" fontId="22" fillId="0" borderId="214" xfId="0" applyFont="1" applyBorder="1" applyAlignment="1">
      <alignment horizontal="center" vertical="center"/>
    </xf>
    <xf numFmtId="0" fontId="23" fillId="0" borderId="215" xfId="0" applyFont="1" applyBorder="1" applyAlignment="1">
      <alignment horizontal="center"/>
    </xf>
    <xf numFmtId="0" fontId="15" fillId="0" borderId="1" xfId="8" applyBorder="1"/>
    <xf numFmtId="0" fontId="15" fillId="0" borderId="3" xfId="8" applyBorder="1" applyAlignment="1">
      <alignment horizontal="left"/>
    </xf>
    <xf numFmtId="0" fontId="15" fillId="0" borderId="3" xfId="8" applyBorder="1"/>
    <xf numFmtId="0" fontId="15" fillId="0" borderId="5" xfId="8" applyBorder="1"/>
    <xf numFmtId="0" fontId="15" fillId="0" borderId="8" xfId="8" applyBorder="1" applyAlignment="1">
      <alignment horizontal="center" vertical="center"/>
    </xf>
    <xf numFmtId="0" fontId="15" fillId="0" borderId="7" xfId="8" applyBorder="1" applyAlignment="1">
      <alignment horizontal="center" vertical="center"/>
    </xf>
    <xf numFmtId="0" fontId="15" fillId="0" borderId="9" xfId="8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2" fillId="0" borderId="7" xfId="0" applyNumberFormat="1" applyFont="1" applyFill="1" applyBorder="1" applyAlignment="1">
      <alignment horizontal="center"/>
    </xf>
    <xf numFmtId="1" fontId="22" fillId="0" borderId="20" xfId="0" applyNumberFormat="1" applyFont="1" applyBorder="1" applyAlignment="1">
      <alignment horizontal="center"/>
    </xf>
    <xf numFmtId="1" fontId="22" fillId="0" borderId="21" xfId="0" applyNumberFormat="1" applyFont="1" applyBorder="1" applyAlignment="1">
      <alignment horizontal="center"/>
    </xf>
    <xf numFmtId="1" fontId="22" fillId="0" borderId="24" xfId="0" applyNumberFormat="1" applyFont="1" applyBorder="1" applyAlignment="1">
      <alignment horizontal="center"/>
    </xf>
    <xf numFmtId="17" fontId="22" fillId="3" borderId="99" xfId="0" applyNumberFormat="1" applyFont="1" applyFill="1" applyBorder="1" applyAlignment="1">
      <alignment horizontal="center"/>
    </xf>
    <xf numFmtId="0" fontId="22" fillId="3" borderId="116" xfId="0" applyFont="1" applyFill="1" applyBorder="1" applyAlignment="1">
      <alignment horizontal="center"/>
    </xf>
    <xf numFmtId="0" fontId="23" fillId="0" borderId="72" xfId="0" applyFont="1" applyBorder="1" applyAlignment="1">
      <alignment horizontal="center"/>
    </xf>
    <xf numFmtId="0" fontId="23" fillId="0" borderId="69" xfId="0" applyFont="1" applyBorder="1" applyAlignment="1">
      <alignment horizontal="center"/>
    </xf>
    <xf numFmtId="0" fontId="23" fillId="0" borderId="64" xfId="0" applyFont="1" applyBorder="1" applyAlignment="1">
      <alignment horizontal="center"/>
    </xf>
    <xf numFmtId="0" fontId="23" fillId="0" borderId="64" xfId="0" applyFont="1" applyFill="1" applyBorder="1" applyAlignment="1">
      <alignment horizontal="center"/>
    </xf>
    <xf numFmtId="0" fontId="23" fillId="0" borderId="73" xfId="0" applyFont="1" applyBorder="1" applyAlignment="1">
      <alignment horizontal="center"/>
    </xf>
    <xf numFmtId="0" fontId="23" fillId="0" borderId="7" xfId="0" applyFont="1" applyBorder="1" applyAlignment="1">
      <alignment horizontal="left"/>
    </xf>
    <xf numFmtId="0" fontId="23" fillId="0" borderId="46" xfId="0" applyFont="1" applyBorder="1" applyAlignment="1">
      <alignment horizontal="left"/>
    </xf>
    <xf numFmtId="0" fontId="22" fillId="3" borderId="18" xfId="0" applyFont="1" applyFill="1" applyBorder="1" applyAlignment="1">
      <alignment horizontal="left"/>
    </xf>
    <xf numFmtId="0" fontId="23" fillId="0" borderId="16" xfId="0" applyFont="1" applyBorder="1" applyAlignment="1">
      <alignment horizontal="left"/>
    </xf>
    <xf numFmtId="1" fontId="23" fillId="0" borderId="64" xfId="0" applyNumberFormat="1" applyFont="1" applyFill="1" applyBorder="1" applyAlignment="1">
      <alignment horizontal="center"/>
    </xf>
    <xf numFmtId="1" fontId="23" fillId="0" borderId="12" xfId="0" applyNumberFormat="1" applyFont="1" applyBorder="1" applyAlignment="1">
      <alignment horizontal="center"/>
    </xf>
    <xf numFmtId="1" fontId="23" fillId="0" borderId="13" xfId="0" applyNumberFormat="1" applyFont="1" applyBorder="1" applyAlignment="1">
      <alignment horizontal="center"/>
    </xf>
    <xf numFmtId="1" fontId="23" fillId="0" borderId="23" xfId="0" applyNumberFormat="1" applyFont="1" applyBorder="1" applyAlignment="1">
      <alignment horizontal="center"/>
    </xf>
    <xf numFmtId="0" fontId="2" fillId="0" borderId="0" xfId="0" applyFont="1" applyFill="1"/>
    <xf numFmtId="0" fontId="23" fillId="0" borderId="11" xfId="0" applyFont="1" applyBorder="1" applyAlignment="1">
      <alignment horizontal="left"/>
    </xf>
    <xf numFmtId="0" fontId="23" fillId="0" borderId="61" xfId="0" applyFont="1" applyBorder="1" applyAlignment="1">
      <alignment horizontal="left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17" fontId="38" fillId="3" borderId="17" xfId="0" applyNumberFormat="1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left"/>
    </xf>
    <xf numFmtId="1" fontId="22" fillId="3" borderId="17" xfId="0" applyNumberFormat="1" applyFont="1" applyFill="1" applyBorder="1" applyAlignment="1">
      <alignment horizontal="center" vertical="center"/>
    </xf>
    <xf numFmtId="0" fontId="23" fillId="0" borderId="63" xfId="0" applyFont="1" applyBorder="1" applyAlignment="1">
      <alignment horizontal="center"/>
    </xf>
    <xf numFmtId="0" fontId="27" fillId="2" borderId="15" xfId="0" applyFont="1" applyFill="1" applyBorder="1" applyAlignment="1">
      <alignment horizontal="right"/>
    </xf>
    <xf numFmtId="1" fontId="22" fillId="2" borderId="18" xfId="0" applyNumberFormat="1" applyFont="1" applyFill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3" fontId="22" fillId="0" borderId="18" xfId="0" applyNumberFormat="1" applyFont="1" applyFill="1" applyBorder="1" applyAlignment="1">
      <alignment horizontal="center" vertical="center"/>
    </xf>
    <xf numFmtId="3" fontId="22" fillId="0" borderId="17" xfId="0" applyNumberFormat="1" applyFont="1" applyFill="1" applyBorder="1" applyAlignment="1">
      <alignment horizontal="center" vertical="center"/>
    </xf>
    <xf numFmtId="2" fontId="22" fillId="0" borderId="18" xfId="0" applyNumberFormat="1" applyFont="1" applyFill="1" applyBorder="1" applyAlignment="1">
      <alignment horizontal="center" vertical="center"/>
    </xf>
    <xf numFmtId="3" fontId="22" fillId="16" borderId="18" xfId="0" applyNumberFormat="1" applyFont="1" applyFill="1" applyBorder="1" applyAlignment="1">
      <alignment horizontal="center" vertical="center"/>
    </xf>
    <xf numFmtId="3" fontId="22" fillId="4" borderId="17" xfId="0" applyNumberFormat="1" applyFont="1" applyFill="1" applyBorder="1" applyAlignment="1">
      <alignment horizontal="center" vertical="center"/>
    </xf>
    <xf numFmtId="2" fontId="22" fillId="4" borderId="18" xfId="0" applyNumberFormat="1" applyFont="1" applyFill="1" applyBorder="1" applyAlignment="1">
      <alignment horizontal="center" vertical="center"/>
    </xf>
    <xf numFmtId="3" fontId="22" fillId="4" borderId="18" xfId="0" applyNumberFormat="1" applyFont="1" applyFill="1" applyBorder="1" applyAlignment="1">
      <alignment horizontal="center" vertical="center"/>
    </xf>
    <xf numFmtId="3" fontId="22" fillId="16" borderId="59" xfId="0" applyNumberFormat="1" applyFont="1" applyFill="1" applyBorder="1" applyAlignment="1">
      <alignment horizontal="center" vertical="center"/>
    </xf>
    <xf numFmtId="3" fontId="23" fillId="0" borderId="17" xfId="0" applyNumberFormat="1" applyFont="1" applyBorder="1" applyAlignment="1">
      <alignment horizontal="center"/>
    </xf>
    <xf numFmtId="3" fontId="23" fillId="0" borderId="59" xfId="0" applyNumberFormat="1" applyFont="1" applyBorder="1" applyAlignment="1">
      <alignment horizontal="center"/>
    </xf>
    <xf numFmtId="0" fontId="15" fillId="0" borderId="10" xfId="8" applyBorder="1" applyAlignment="1">
      <alignment horizontal="center"/>
    </xf>
    <xf numFmtId="0" fontId="15" fillId="0" borderId="11" xfId="8" applyBorder="1" applyAlignment="1">
      <alignment horizontal="center"/>
    </xf>
    <xf numFmtId="0" fontId="15" fillId="0" borderId="50" xfId="8" applyBorder="1" applyAlignment="1">
      <alignment horizontal="center"/>
    </xf>
    <xf numFmtId="1" fontId="27" fillId="0" borderId="93" xfId="0" applyNumberFormat="1" applyFont="1" applyBorder="1" applyAlignment="1">
      <alignment horizontal="center" vertical="center"/>
    </xf>
    <xf numFmtId="1" fontId="27" fillId="0" borderId="18" xfId="0" applyNumberFormat="1" applyFont="1" applyBorder="1" applyAlignment="1">
      <alignment horizontal="center" vertical="center"/>
    </xf>
    <xf numFmtId="0" fontId="15" fillId="0" borderId="12" xfId="1" applyFont="1" applyFill="1" applyBorder="1" applyAlignment="1">
      <alignment horizontal="center"/>
    </xf>
    <xf numFmtId="0" fontId="15" fillId="0" borderId="18" xfId="1" applyFont="1" applyFill="1" applyBorder="1" applyAlignment="1">
      <alignment horizontal="center"/>
    </xf>
    <xf numFmtId="2" fontId="22" fillId="4" borderId="12" xfId="0" applyNumberFormat="1" applyFont="1" applyFill="1" applyBorder="1" applyAlignment="1">
      <alignment horizontal="center" vertical="center"/>
    </xf>
    <xf numFmtId="0" fontId="23" fillId="0" borderId="44" xfId="0" applyFont="1" applyFill="1" applyBorder="1" applyAlignment="1">
      <alignment horizontal="left"/>
    </xf>
    <xf numFmtId="0" fontId="23" fillId="0" borderId="66" xfId="0" applyFont="1" applyBorder="1" applyAlignment="1">
      <alignment horizontal="left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7" fontId="53" fillId="4" borderId="18" xfId="0" applyNumberFormat="1" applyFont="1" applyFill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 wrapText="1"/>
    </xf>
    <xf numFmtId="0" fontId="51" fillId="0" borderId="46" xfId="0" applyFont="1" applyBorder="1" applyAlignment="1">
      <alignment horizontal="center" vertical="center" wrapText="1"/>
    </xf>
    <xf numFmtId="164" fontId="19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57" fillId="0" borderId="0" xfId="0" applyFont="1" applyAlignment="1">
      <alignment horizontal="left" vertical="center"/>
    </xf>
    <xf numFmtId="0" fontId="57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center" wrapText="1"/>
    </xf>
    <xf numFmtId="0" fontId="35" fillId="0" borderId="1" xfId="0" applyFont="1" applyFill="1" applyBorder="1" applyAlignment="1">
      <alignment horizontal="left"/>
    </xf>
    <xf numFmtId="0" fontId="35" fillId="0" borderId="3" xfId="0" applyFont="1" applyFill="1" applyBorder="1" applyAlignment="1">
      <alignment horizontal="left"/>
    </xf>
    <xf numFmtId="0" fontId="35" fillId="0" borderId="5" xfId="0" applyFont="1" applyFill="1" applyBorder="1" applyAlignment="1">
      <alignment horizontal="left"/>
    </xf>
    <xf numFmtId="0" fontId="35" fillId="0" borderId="2" xfId="0" applyNumberFormat="1" applyFont="1" applyFill="1" applyBorder="1" applyAlignment="1">
      <alignment horizontal="center"/>
    </xf>
    <xf numFmtId="0" fontId="35" fillId="0" borderId="4" xfId="0" applyNumberFormat="1" applyFont="1" applyFill="1" applyBorder="1" applyAlignment="1">
      <alignment horizontal="center"/>
    </xf>
    <xf numFmtId="0" fontId="35" fillId="0" borderId="6" xfId="0" applyNumberFormat="1" applyFont="1" applyFill="1" applyBorder="1" applyAlignment="1">
      <alignment horizontal="center"/>
    </xf>
    <xf numFmtId="0" fontId="63" fillId="0" borderId="0" xfId="0" applyFont="1" applyAlignment="1">
      <alignment horizontal="center"/>
    </xf>
    <xf numFmtId="0" fontId="63" fillId="0" borderId="0" xfId="0" applyFont="1"/>
    <xf numFmtId="0" fontId="0" fillId="0" borderId="7" xfId="0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22" fillId="0" borderId="0" xfId="5" applyFont="1" applyFill="1"/>
    <xf numFmtId="0" fontId="0" fillId="0" borderId="0" xfId="0" applyFill="1" applyBorder="1"/>
    <xf numFmtId="0" fontId="0" fillId="0" borderId="0" xfId="0" applyFill="1" applyAlignment="1">
      <alignment horizontal="left" wrapText="1"/>
    </xf>
    <xf numFmtId="0" fontId="30" fillId="0" borderId="0" xfId="0" applyFont="1" applyAlignment="1">
      <alignment wrapText="1"/>
    </xf>
    <xf numFmtId="0" fontId="0" fillId="0" borderId="0" xfId="0" applyAlignment="1"/>
    <xf numFmtId="0" fontId="12" fillId="0" borderId="0" xfId="0" applyFont="1" applyAlignment="1">
      <alignment wrapText="1"/>
    </xf>
    <xf numFmtId="0" fontId="1" fillId="0" borderId="0" xfId="0" applyFont="1" applyAlignment="1"/>
    <xf numFmtId="2" fontId="22" fillId="0" borderId="78" xfId="0" applyNumberFormat="1" applyFont="1" applyFill="1" applyBorder="1" applyAlignment="1">
      <alignment horizontal="center" vertical="center" wrapText="1"/>
    </xf>
    <xf numFmtId="2" fontId="22" fillId="0" borderId="78" xfId="0" applyNumberFormat="1" applyFont="1" applyFill="1" applyBorder="1" applyAlignment="1">
      <alignment horizontal="center" vertical="center"/>
    </xf>
    <xf numFmtId="0" fontId="23" fillId="0" borderId="91" xfId="0" applyFont="1" applyFill="1" applyBorder="1" applyAlignment="1"/>
    <xf numFmtId="0" fontId="22" fillId="0" borderId="78" xfId="0" applyFont="1" applyFill="1" applyBorder="1" applyAlignment="1">
      <alignment horizontal="center" vertical="center" wrapText="1"/>
    </xf>
    <xf numFmtId="0" fontId="29" fillId="0" borderId="0" xfId="0" applyFont="1" applyAlignment="1">
      <alignment wrapText="1"/>
    </xf>
    <xf numFmtId="0" fontId="0" fillId="0" borderId="0" xfId="0"/>
    <xf numFmtId="0" fontId="22" fillId="0" borderId="78" xfId="0" applyFont="1" applyFill="1" applyBorder="1" applyAlignment="1">
      <alignment horizontal="center"/>
    </xf>
    <xf numFmtId="0" fontId="0" fillId="0" borderId="0" xfId="0" applyFill="1"/>
    <xf numFmtId="0" fontId="41" fillId="0" borderId="78" xfId="0" applyFont="1" applyFill="1" applyBorder="1" applyAlignment="1">
      <alignment horizontal="center"/>
    </xf>
    <xf numFmtId="0" fontId="36" fillId="23" borderId="71" xfId="0" applyFont="1" applyFill="1" applyBorder="1" applyAlignment="1">
      <alignment horizontal="center"/>
    </xf>
    <xf numFmtId="0" fontId="21" fillId="23" borderId="46" xfId="0" applyFont="1" applyFill="1" applyBorder="1" applyAlignment="1">
      <alignment horizontal="center"/>
    </xf>
    <xf numFmtId="0" fontId="21" fillId="23" borderId="61" xfId="0" applyFont="1" applyFill="1" applyBorder="1" applyAlignment="1">
      <alignment horizontal="center"/>
    </xf>
    <xf numFmtId="0" fontId="21" fillId="0" borderId="137" xfId="0" applyFont="1" applyBorder="1" applyAlignment="1">
      <alignment horizontal="center"/>
    </xf>
    <xf numFmtId="0" fontId="0" fillId="0" borderId="216" xfId="0" applyBorder="1" applyAlignment="1">
      <alignment horizontal="center"/>
    </xf>
    <xf numFmtId="0" fontId="0" fillId="0" borderId="216" xfId="0" applyBorder="1"/>
    <xf numFmtId="0" fontId="0" fillId="0" borderId="217" xfId="0" applyBorder="1"/>
    <xf numFmtId="0" fontId="36" fillId="0" borderId="15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21" fillId="9" borderId="37" xfId="0" applyFont="1" applyFill="1" applyBorder="1" applyAlignment="1">
      <alignment horizontal="center"/>
    </xf>
    <xf numFmtId="0" fontId="21" fillId="9" borderId="38" xfId="0" applyFont="1" applyFill="1" applyBorder="1" applyAlignment="1">
      <alignment horizontal="center"/>
    </xf>
    <xf numFmtId="0" fontId="21" fillId="9" borderId="43" xfId="0" applyFont="1" applyFill="1" applyBorder="1" applyAlignment="1">
      <alignment horizontal="center"/>
    </xf>
    <xf numFmtId="0" fontId="21" fillId="24" borderId="218" xfId="0" applyFont="1" applyFill="1" applyBorder="1" applyAlignment="1">
      <alignment horizontal="center"/>
    </xf>
    <xf numFmtId="0" fontId="21" fillId="24" borderId="46" xfId="0" applyFont="1" applyFill="1" applyBorder="1" applyAlignment="1">
      <alignment horizontal="center"/>
    </xf>
    <xf numFmtId="0" fontId="21" fillId="24" borderId="61" xfId="0" applyFont="1" applyFill="1" applyBorder="1" applyAlignment="1">
      <alignment horizontal="center"/>
    </xf>
    <xf numFmtId="0" fontId="36" fillId="25" borderId="25" xfId="0" applyFont="1" applyFill="1" applyBorder="1" applyAlignment="1">
      <alignment horizontal="center" vertical="center"/>
    </xf>
    <xf numFmtId="0" fontId="21" fillId="25" borderId="75" xfId="0" applyFont="1" applyFill="1" applyBorder="1" applyAlignment="1">
      <alignment horizontal="center" vertical="center"/>
    </xf>
    <xf numFmtId="0" fontId="21" fillId="25" borderId="27" xfId="0" applyFont="1" applyFill="1" applyBorder="1" applyAlignment="1">
      <alignment horizontal="center" vertical="center"/>
    </xf>
    <xf numFmtId="0" fontId="36" fillId="26" borderId="25" xfId="0" applyFont="1" applyFill="1" applyBorder="1" applyAlignment="1">
      <alignment horizontal="center"/>
    </xf>
    <xf numFmtId="0" fontId="21" fillId="26" borderId="75" xfId="0" applyFont="1" applyFill="1" applyBorder="1" applyAlignment="1">
      <alignment horizontal="center"/>
    </xf>
    <xf numFmtId="0" fontId="21" fillId="26" borderId="27" xfId="0" applyFont="1" applyFill="1" applyBorder="1" applyAlignment="1">
      <alignment horizontal="center"/>
    </xf>
  </cellXfs>
  <cellStyles count="11">
    <cellStyle name="Normal" xfId="0" builtinId="0" customBuiltin="1"/>
    <cellStyle name="Normal 2" xfId="1"/>
    <cellStyle name="Normal 2 2" xfId="2"/>
    <cellStyle name="Normal 3" xfId="3"/>
    <cellStyle name="Normal 3 2" xfId="4"/>
    <cellStyle name="Normal 4" xfId="5"/>
    <cellStyle name="Normal 5" xfId="6"/>
    <cellStyle name="Normal 6" xfId="7"/>
    <cellStyle name="Normal 7" xfId="8"/>
    <cellStyle name="Título 3" xfId="9" builtinId="18"/>
    <cellStyle name="Vírgula 2" xfId="10"/>
  </cellStyles>
  <dxfs count="4"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Canais de entrada - JANEIRO/2023</a:t>
            </a:r>
          </a:p>
        </c:rich>
      </c:tx>
      <c:layout/>
      <c:overlay val="0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0987897346165063"/>
          <c:y val="0.19418903602958718"/>
          <c:w val="0.51925561388159813"/>
          <c:h val="0.72232164161298018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Canais_atendimento!$M$4</c:f>
              <c:numCache>
                <c:formatCode>mmm\-yy</c:formatCode>
                <c:ptCount val="1"/>
                <c:pt idx="0">
                  <c:v>44927</c:v>
                </c:pt>
              </c:numCache>
            </c:numRef>
          </c:cat>
          <c:val>
            <c:numRef>
              <c:f>Canais_atendimento!$M$5</c:f>
              <c:numCache>
                <c:formatCode>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A-430F-A5DC-6FCA7E2CCD54}"/>
            </c:ext>
          </c:extLst>
        </c:ser>
        <c:ser>
          <c:idx val="0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Canais_atendimento!$M$4</c:f>
              <c:numCache>
                <c:formatCode>mmm\-yy</c:formatCode>
                <c:ptCount val="1"/>
                <c:pt idx="0">
                  <c:v>44927</c:v>
                </c:pt>
              </c:numCache>
            </c:numRef>
          </c:cat>
          <c:val>
            <c:numRef>
              <c:f>Canais_atendimento!$M$6</c:f>
              <c:numCache>
                <c:formatCode>0</c:formatCode>
                <c:ptCount val="1"/>
                <c:pt idx="0">
                  <c:v>1490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A-430F-A5DC-6FCA7E2CCD54}"/>
            </c:ext>
          </c:extLst>
        </c:ser>
        <c:ser>
          <c:idx val="1"/>
          <c:order val="2"/>
          <c:tx>
            <c:strRef>
              <c:f>Canais_atendimento!$A$7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Canais_atendimento!$M$4</c:f>
              <c:numCache>
                <c:formatCode>mmm\-yy</c:formatCode>
                <c:ptCount val="1"/>
                <c:pt idx="0">
                  <c:v>44927</c:v>
                </c:pt>
              </c:numCache>
            </c:numRef>
          </c:cat>
          <c:val>
            <c:numRef>
              <c:f>Canais_atendimento!$M$7</c:f>
              <c:numCache>
                <c:formatCode>0</c:formatCode>
                <c:ptCount val="1"/>
                <c:pt idx="0">
                  <c:v>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A-430F-A5DC-6FCA7E2CCD54}"/>
            </c:ext>
          </c:extLst>
        </c:ser>
        <c:ser>
          <c:idx val="2"/>
          <c:order val="3"/>
          <c:tx>
            <c:strRef>
              <c:f>Canais_atendimento!$A$8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invertIfNegative val="0"/>
          <c:cat>
            <c:numRef>
              <c:f>Canais_atendimento!$M$4</c:f>
              <c:numCache>
                <c:formatCode>mmm\-yy</c:formatCode>
                <c:ptCount val="1"/>
                <c:pt idx="0">
                  <c:v>44927</c:v>
                </c:pt>
              </c:numCache>
            </c:numRef>
          </c:cat>
          <c:val>
            <c:numRef>
              <c:f>Canais_atendimento!$M$8</c:f>
              <c:numCache>
                <c:formatCode>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A-430F-A5DC-6FCA7E2CCD54}"/>
            </c:ext>
          </c:extLst>
        </c:ser>
        <c:ser>
          <c:idx val="3"/>
          <c:order val="4"/>
          <c:tx>
            <c:strRef>
              <c:f>Canais_atendimento!$A$9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</c:spPr>
          <c:invertIfNegative val="0"/>
          <c:cat>
            <c:numRef>
              <c:f>Canais_atendimento!$M$4</c:f>
              <c:numCache>
                <c:formatCode>mmm\-yy</c:formatCode>
                <c:ptCount val="1"/>
                <c:pt idx="0">
                  <c:v>44927</c:v>
                </c:pt>
              </c:numCache>
            </c:numRef>
          </c:cat>
          <c:val>
            <c:numRef>
              <c:f>Canais_atendimento!$M$9</c:f>
              <c:numCache>
                <c:formatCode>0</c:formatCode>
                <c:ptCount val="1"/>
                <c:pt idx="0">
                  <c:v>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A-430F-A5DC-6FCA7E2CCD54}"/>
            </c:ext>
          </c:extLst>
        </c:ser>
        <c:ser>
          <c:idx val="4"/>
          <c:order val="5"/>
          <c:tx>
            <c:strRef>
              <c:f>Canais_atendimento!$A$10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numRef>
              <c:f>Canais_atendimento!$M$4</c:f>
              <c:numCache>
                <c:formatCode>mmm\-yy</c:formatCode>
                <c:ptCount val="1"/>
                <c:pt idx="0">
                  <c:v>44927</c:v>
                </c:pt>
              </c:numCache>
            </c:numRef>
          </c:cat>
          <c:val>
            <c:numRef>
              <c:f>Canais_atendimento!$M$10</c:f>
              <c:numCache>
                <c:formatCode>0</c:formatCode>
                <c:ptCount val="1"/>
                <c:pt idx="0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A-430F-A5DC-6FCA7E2CC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027616"/>
        <c:axId val="1"/>
      </c:barChart>
      <c:dateAx>
        <c:axId val="791027616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  <c:max val="1600"/>
          <c:min val="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91027616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89581852809908"/>
          <c:y val="0.17317349905252874"/>
          <c:w val="0.32595374134189914"/>
          <c:h val="0.8173675599967045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10 assuntos mais demandados 3 últimos meses</a:t>
            </a:r>
          </a:p>
        </c:rich>
      </c:tx>
      <c:layout>
        <c:manualLayout>
          <c:xMode val="edge"/>
          <c:yMode val="edge"/>
          <c:x val="0.20952996413296943"/>
          <c:y val="1.1173184357541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'ASSUNTOS_10+_últimos_3_meses'!$A$7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44927</c:v>
                </c:pt>
                <c:pt idx="1">
                  <c:v>44896</c:v>
                </c:pt>
                <c:pt idx="2">
                  <c:v>44866</c:v>
                </c:pt>
              </c:numCache>
            </c:numRef>
          </c:cat>
          <c:val>
            <c:numRef>
              <c:f>'ASSUNTOS_10+_últimos_3_meses'!$B$7:$D$7</c:f>
              <c:numCache>
                <c:formatCode>General</c:formatCode>
                <c:ptCount val="3"/>
                <c:pt idx="0">
                  <c:v>501</c:v>
                </c:pt>
                <c:pt idx="1">
                  <c:v>372</c:v>
                </c:pt>
                <c:pt idx="2">
                  <c:v>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7E-44B4-BCF9-6456AFC03080}"/>
            </c:ext>
          </c:extLst>
        </c:ser>
        <c:ser>
          <c:idx val="1"/>
          <c:order val="1"/>
          <c:tx>
            <c:strRef>
              <c:f>'ASSUNTOS_10+_últimos_3_meses'!$A$8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44927</c:v>
                </c:pt>
                <c:pt idx="1">
                  <c:v>44896</c:v>
                </c:pt>
                <c:pt idx="2">
                  <c:v>44866</c:v>
                </c:pt>
              </c:numCache>
            </c:numRef>
          </c:cat>
          <c:val>
            <c:numRef>
              <c:f>'ASSUNTOS_10+_últimos_3_meses'!$B$8:$D$8</c:f>
              <c:numCache>
                <c:formatCode>General</c:formatCode>
                <c:ptCount val="3"/>
                <c:pt idx="0">
                  <c:v>337</c:v>
                </c:pt>
                <c:pt idx="1">
                  <c:v>286</c:v>
                </c:pt>
                <c:pt idx="2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7E-44B4-BCF9-6456AFC03080}"/>
            </c:ext>
          </c:extLst>
        </c:ser>
        <c:ser>
          <c:idx val="2"/>
          <c:order val="2"/>
          <c:tx>
            <c:strRef>
              <c:f>'ASSUNTOS_10+_últimos_3_meses'!$A$9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44927</c:v>
                </c:pt>
                <c:pt idx="1">
                  <c:v>44896</c:v>
                </c:pt>
                <c:pt idx="2">
                  <c:v>44866</c:v>
                </c:pt>
              </c:numCache>
            </c:numRef>
          </c:cat>
          <c:val>
            <c:numRef>
              <c:f>'ASSUNTOS_10+_últimos_3_meses'!$B$9:$D$9</c:f>
              <c:numCache>
                <c:formatCode>General</c:formatCode>
                <c:ptCount val="3"/>
                <c:pt idx="0">
                  <c:v>301</c:v>
                </c:pt>
                <c:pt idx="1">
                  <c:v>182</c:v>
                </c:pt>
                <c:pt idx="2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7E-44B4-BCF9-6456AFC03080}"/>
            </c:ext>
          </c:extLst>
        </c:ser>
        <c:ser>
          <c:idx val="3"/>
          <c:order val="3"/>
          <c:tx>
            <c:strRef>
              <c:f>'ASSUNTOS_10+_últimos_3_meses'!$A$10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44927</c:v>
                </c:pt>
                <c:pt idx="1">
                  <c:v>44896</c:v>
                </c:pt>
                <c:pt idx="2">
                  <c:v>44866</c:v>
                </c:pt>
              </c:numCache>
            </c:numRef>
          </c:cat>
          <c:val>
            <c:numRef>
              <c:f>'ASSUNTOS_10+_últimos_3_meses'!$B$10:$D$10</c:f>
              <c:numCache>
                <c:formatCode>General</c:formatCode>
                <c:ptCount val="3"/>
                <c:pt idx="0">
                  <c:v>263</c:v>
                </c:pt>
                <c:pt idx="1">
                  <c:v>196</c:v>
                </c:pt>
                <c:pt idx="2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7E-44B4-BCF9-6456AFC03080}"/>
            </c:ext>
          </c:extLst>
        </c:ser>
        <c:ser>
          <c:idx val="4"/>
          <c:order val="4"/>
          <c:tx>
            <c:strRef>
              <c:f>'ASSUNTOS_10+_últimos_3_meses'!$A$11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9933FF"/>
            </a:solidFill>
            <a:ln w="25400"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44927</c:v>
                </c:pt>
                <c:pt idx="1">
                  <c:v>44896</c:v>
                </c:pt>
                <c:pt idx="2">
                  <c:v>44866</c:v>
                </c:pt>
              </c:numCache>
            </c:numRef>
          </c:cat>
          <c:val>
            <c:numRef>
              <c:f>'ASSUNTOS_10+_últimos_3_meses'!$B$11:$D$11</c:f>
              <c:numCache>
                <c:formatCode>General</c:formatCode>
                <c:ptCount val="3"/>
                <c:pt idx="0">
                  <c:v>239</c:v>
                </c:pt>
                <c:pt idx="1">
                  <c:v>192</c:v>
                </c:pt>
                <c:pt idx="2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7E-44B4-BCF9-6456AFC03080}"/>
            </c:ext>
          </c:extLst>
        </c:ser>
        <c:ser>
          <c:idx val="5"/>
          <c:order val="5"/>
          <c:tx>
            <c:strRef>
              <c:f>'ASSUNTOS_10+_últimos_3_meses'!$A$12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44927</c:v>
                </c:pt>
                <c:pt idx="1">
                  <c:v>44896</c:v>
                </c:pt>
                <c:pt idx="2">
                  <c:v>44866</c:v>
                </c:pt>
              </c:numCache>
            </c:numRef>
          </c:cat>
          <c:val>
            <c:numRef>
              <c:f>'ASSUNTOS_10+_últimos_3_meses'!$B$12:$D$12</c:f>
              <c:numCache>
                <c:formatCode>General</c:formatCode>
                <c:ptCount val="3"/>
                <c:pt idx="0">
                  <c:v>138</c:v>
                </c:pt>
                <c:pt idx="1">
                  <c:v>117</c:v>
                </c:pt>
                <c:pt idx="2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7E-44B4-BCF9-6456AFC03080}"/>
            </c:ext>
          </c:extLst>
        </c:ser>
        <c:ser>
          <c:idx val="6"/>
          <c:order val="6"/>
          <c:tx>
            <c:strRef>
              <c:f>'ASSUNTOS_10+_últimos_3_meses'!$A$13</c:f>
              <c:strCache>
                <c:ptCount val="1"/>
                <c:pt idx="0">
                  <c:v>Multas de trânsito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44927</c:v>
                </c:pt>
                <c:pt idx="1">
                  <c:v>44896</c:v>
                </c:pt>
                <c:pt idx="2">
                  <c:v>44866</c:v>
                </c:pt>
              </c:numCache>
            </c:numRef>
          </c:cat>
          <c:val>
            <c:numRef>
              <c:f>'ASSUNTOS_10+_últimos_3_meses'!$B$13:$D$13</c:f>
              <c:numCache>
                <c:formatCode>General</c:formatCode>
                <c:ptCount val="3"/>
                <c:pt idx="0">
                  <c:v>151</c:v>
                </c:pt>
                <c:pt idx="1">
                  <c:v>108</c:v>
                </c:pt>
                <c:pt idx="2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7E-44B4-BCF9-6456AFC03080}"/>
            </c:ext>
          </c:extLst>
        </c:ser>
        <c:ser>
          <c:idx val="7"/>
          <c:order val="7"/>
          <c:tx>
            <c:strRef>
              <c:f>'ASSUNTOS_10+_últimos_3_meses'!$A$14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44927</c:v>
                </c:pt>
                <c:pt idx="1">
                  <c:v>44896</c:v>
                </c:pt>
                <c:pt idx="2">
                  <c:v>44866</c:v>
                </c:pt>
              </c:numCache>
            </c:numRef>
          </c:cat>
          <c:val>
            <c:numRef>
              <c:f>'ASSUNTOS_10+_últimos_3_meses'!$B$14:$D$14</c:f>
              <c:numCache>
                <c:formatCode>General</c:formatCode>
                <c:ptCount val="3"/>
                <c:pt idx="0">
                  <c:v>129</c:v>
                </c:pt>
                <c:pt idx="1">
                  <c:v>89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47E-44B4-BCF9-6456AFC03080}"/>
            </c:ext>
          </c:extLst>
        </c:ser>
        <c:ser>
          <c:idx val="8"/>
          <c:order val="8"/>
          <c:tx>
            <c:strRef>
              <c:f>'ASSUNTOS_10+_últimos_3_meses'!$A$15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44927</c:v>
                </c:pt>
                <c:pt idx="1">
                  <c:v>44896</c:v>
                </c:pt>
                <c:pt idx="2">
                  <c:v>44866</c:v>
                </c:pt>
              </c:numCache>
            </c:numRef>
          </c:cat>
          <c:val>
            <c:numRef>
              <c:f>'ASSUNTOS_10+_últimos_3_meses'!$B$15:$D$15</c:f>
              <c:numCache>
                <c:formatCode>General</c:formatCode>
                <c:ptCount val="3"/>
                <c:pt idx="0">
                  <c:v>113</c:v>
                </c:pt>
                <c:pt idx="1">
                  <c:v>99</c:v>
                </c:pt>
                <c:pt idx="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47E-44B4-BCF9-6456AFC03080}"/>
            </c:ext>
          </c:extLst>
        </c:ser>
        <c:ser>
          <c:idx val="9"/>
          <c:order val="9"/>
          <c:tx>
            <c:strRef>
              <c:f>'ASSUNTOS_10+_últimos_3_meses'!$A$16</c:f>
              <c:strCache>
                <c:ptCount val="1"/>
                <c:pt idx="0">
                  <c:v>Veículos abandonados</c:v>
                </c:pt>
              </c:strCache>
            </c:strRef>
          </c:tx>
          <c:spPr>
            <a:solidFill>
              <a:srgbClr val="00FFFF"/>
            </a:solidFill>
            <a:ln w="25400"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44927</c:v>
                </c:pt>
                <c:pt idx="1">
                  <c:v>44896</c:v>
                </c:pt>
                <c:pt idx="2">
                  <c:v>44866</c:v>
                </c:pt>
              </c:numCache>
            </c:numRef>
          </c:cat>
          <c:val>
            <c:numRef>
              <c:f>'ASSUNTOS_10+_últimos_3_meses'!$B$16:$D$16</c:f>
              <c:numCache>
                <c:formatCode>General</c:formatCode>
                <c:ptCount val="3"/>
                <c:pt idx="0">
                  <c:v>107</c:v>
                </c:pt>
                <c:pt idx="1">
                  <c:v>92</c:v>
                </c:pt>
                <c:pt idx="2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7E-44B4-BCF9-6456AFC03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91027200"/>
        <c:axId val="1"/>
      </c:barChart>
      <c:dateAx>
        <c:axId val="791027200"/>
        <c:scaling>
          <c:orientation val="minMax"/>
        </c:scaling>
        <c:delete val="0"/>
        <c:axPos val="l"/>
        <c:numFmt formatCode="mmm\-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  <c:max val="9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91027200"/>
        <c:crosses val="autoZero"/>
        <c:crossBetween val="between"/>
        <c:majorUnit val="100"/>
        <c:min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845991362633451"/>
          <c:y val="0.10407513306646725"/>
          <c:w val="0.32154008637366549"/>
          <c:h val="0.895924866933532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4"/>
      <c:rotY val="19"/>
      <c:depthPercent val="100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2772827918047531E-2"/>
          <c:y val="0.12575583740655172"/>
          <c:w val="0.61624317061462186"/>
          <c:h val="0.81586957318957876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'10_ASSUNTOS + demandados_JAN_23'!$B$24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4572A7"/>
            </a:solidFill>
            <a:ln>
              <a:noFill/>
            </a:ln>
          </c:spPr>
          <c:invertIfNegative val="0"/>
          <c:val>
            <c:numRef>
              <c:f>'10_ASSUNTOS + demandados_JAN_23'!$B$26:$B$26</c:f>
              <c:numCache>
                <c:formatCode>General</c:formatCode>
                <c:ptCount val="1"/>
                <c:pt idx="0">
                  <c:v>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E-4498-9E57-0F6ECF1782E8}"/>
            </c:ext>
          </c:extLst>
        </c:ser>
        <c:ser>
          <c:idx val="1"/>
          <c:order val="1"/>
          <c:tx>
            <c:strRef>
              <c:f>'10_ASSUNTOS + demandados_JAN_23'!$C$24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'10_ASSUNTOS + demandados_JAN_23'!$C$25:$C$26</c:f>
              <c:numCache>
                <c:formatCode>General</c:formatCode>
                <c:ptCount val="2"/>
                <c:pt idx="0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5E-4498-9E57-0F6ECF1782E8}"/>
            </c:ext>
          </c:extLst>
        </c:ser>
        <c:ser>
          <c:idx val="2"/>
          <c:order val="2"/>
          <c:tx>
            <c:strRef>
              <c:f>'10_ASSUNTOS + demandados_JAN_23'!$D$24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89A54E"/>
            </a:solidFill>
            <a:ln>
              <a:noFill/>
            </a:ln>
          </c:spPr>
          <c:invertIfNegative val="0"/>
          <c:val>
            <c:numRef>
              <c:f>'10_ASSUNTOS + demandados_JAN_23'!$D$25:$D$26</c:f>
              <c:numCache>
                <c:formatCode>General</c:formatCode>
                <c:ptCount val="2"/>
                <c:pt idx="0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5E-4498-9E57-0F6ECF1782E8}"/>
            </c:ext>
          </c:extLst>
        </c:ser>
        <c:ser>
          <c:idx val="3"/>
          <c:order val="3"/>
          <c:tx>
            <c:strRef>
              <c:f>'10_ASSUNTOS + demandados_JAN_23'!$E$24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'10_ASSUNTOS + demandados_JAN_23'!$E$25:$E$26</c:f>
              <c:numCache>
                <c:formatCode>General</c:formatCode>
                <c:ptCount val="2"/>
                <c:pt idx="0">
                  <c:v>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5E-4498-9E57-0F6ECF1782E8}"/>
            </c:ext>
          </c:extLst>
        </c:ser>
        <c:ser>
          <c:idx val="4"/>
          <c:order val="4"/>
          <c:tx>
            <c:strRef>
              <c:f>'10_ASSUNTOS + demandados_JAN_23'!$F$24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EC04C0"/>
            </a:solidFill>
            <a:ln>
              <a:noFill/>
            </a:ln>
          </c:spPr>
          <c:invertIfNegative val="0"/>
          <c:val>
            <c:numRef>
              <c:f>'10_ASSUNTOS + demandados_JAN_23'!$F$25:$F$26</c:f>
              <c:numCache>
                <c:formatCode>General</c:formatCode>
                <c:ptCount val="2"/>
                <c:pt idx="0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5E-4498-9E57-0F6ECF1782E8}"/>
            </c:ext>
          </c:extLst>
        </c:ser>
        <c:ser>
          <c:idx val="5"/>
          <c:order val="5"/>
          <c:tx>
            <c:strRef>
              <c:f>'10_ASSUNTOS + demandados_JAN_23'!$G$24</c:f>
              <c:strCache>
                <c:ptCount val="1"/>
                <c:pt idx="0">
                  <c:v>Multas de trânsito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'10_ASSUNTOS + demandados_JAN_23'!$G$25:$G$26</c:f>
              <c:numCache>
                <c:formatCode>General</c:formatCode>
                <c:ptCount val="2"/>
                <c:pt idx="0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5E-4498-9E57-0F6ECF1782E8}"/>
            </c:ext>
          </c:extLst>
        </c:ser>
        <c:ser>
          <c:idx val="6"/>
          <c:order val="6"/>
          <c:tx>
            <c:strRef>
              <c:f>'10_ASSUNTOS + demandados_JAN_23'!$H$24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'10_ASSUNTOS + demandados_JAN_23'!$H$25:$H$26</c:f>
              <c:numCache>
                <c:formatCode>General</c:formatCode>
                <c:ptCount val="2"/>
                <c:pt idx="0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5E-4498-9E57-0F6ECF1782E8}"/>
            </c:ext>
          </c:extLst>
        </c:ser>
        <c:ser>
          <c:idx val="7"/>
          <c:order val="7"/>
          <c:tx>
            <c:strRef>
              <c:f>'10_ASSUNTOS + demandados_JAN_23'!$I$24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FDEADA"/>
            </a:solidFill>
            <a:ln>
              <a:noFill/>
            </a:ln>
          </c:spPr>
          <c:invertIfNegative val="0"/>
          <c:val>
            <c:numRef>
              <c:f>'10_ASSUNTOS + demandados_JAN_23'!$I$25:$I$26</c:f>
              <c:numCache>
                <c:formatCode>General</c:formatCode>
                <c:ptCount val="2"/>
                <c:pt idx="0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C5E-4498-9E57-0F6ECF1782E8}"/>
            </c:ext>
          </c:extLst>
        </c:ser>
        <c:ser>
          <c:idx val="8"/>
          <c:order val="8"/>
          <c:tx>
            <c:strRef>
              <c:f>'10_ASSUNTOS + demandados_JAN_23'!$J$24</c:f>
              <c:strCache>
                <c:ptCount val="1"/>
                <c:pt idx="0">
                  <c:v>Drenagem de água de chuva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'10_ASSUNTOS + demandados_JAN_23'!$J$25:$J$26</c:f>
              <c:numCache>
                <c:formatCode>General</c:formatCode>
                <c:ptCount val="2"/>
                <c:pt idx="0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5E-4498-9E57-0F6ECF1782E8}"/>
            </c:ext>
          </c:extLst>
        </c:ser>
        <c:ser>
          <c:idx val="9"/>
          <c:order val="9"/>
          <c:tx>
            <c:strRef>
              <c:f>'10_ASSUNTOS + demandados_JAN_23'!$K$24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9E20EC"/>
            </a:solidFill>
            <a:ln>
              <a:noFill/>
            </a:ln>
          </c:spPr>
          <c:invertIfNegative val="0"/>
          <c:val>
            <c:numRef>
              <c:f>'10_ASSUNTOS + demandados_JAN_23'!$K$25:$K$26</c:f>
              <c:numCache>
                <c:formatCode>General</c:formatCode>
                <c:ptCount val="2"/>
                <c:pt idx="0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C5E-4498-9E57-0F6ECF1782E8}"/>
            </c:ext>
          </c:extLst>
        </c:ser>
        <c:ser>
          <c:idx val="10"/>
          <c:order val="10"/>
          <c:tx>
            <c:strRef>
              <c:f>'10_ASSUNTOS + demandados_JAN_23'!$L$24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C5E-4498-9E57-0F6ECF1782E8}"/>
              </c:ext>
            </c:extLst>
          </c:dPt>
          <c:dLbls>
            <c:dLbl>
              <c:idx val="1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pt-BR"/>
                      <a:t>4257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C5E-4498-9E57-0F6ECF1782E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'10_ASSUNTOS + demandados_JAN_23'!$L$25:$L$26</c:f>
              <c:numCache>
                <c:formatCode>General</c:formatCode>
                <c:ptCount val="2"/>
                <c:pt idx="1">
                  <c:v>4257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5E-4498-9E57-0F6ECF178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9946592"/>
        <c:axId val="1"/>
        <c:axId val="0"/>
      </c:bar3DChart>
      <c:catAx>
        <c:axId val="78994659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89946592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05024983622561"/>
          <c:y val="0.12442797591477536"/>
          <c:w val="0.33925044850633479"/>
          <c:h val="0.868326165111713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10 ASSUNTOS mais demandados do mês de JANEIRO/23</a:t>
            </a:r>
          </a:p>
        </c:rich>
      </c:tx>
      <c:layout>
        <c:manualLayout>
          <c:xMode val="edge"/>
          <c:yMode val="edge"/>
          <c:x val="0.15426701439390142"/>
          <c:y val="1.2254791680451708E-2"/>
        </c:manualLayout>
      </c:layout>
      <c:overlay val="0"/>
    </c:title>
    <c:autoTitleDeleted val="0"/>
    <c:plotArea>
      <c:layout>
        <c:manualLayout>
          <c:xMode val="edge"/>
          <c:yMode val="edge"/>
          <c:x val="2.3901711575443962E-2"/>
          <c:y val="0.10665274170571611"/>
          <c:w val="0.9187171697237887"/>
          <c:h val="0.803988035526972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'10_ASSUNTOS + demandados_JAN_23'!$B$6</c:f>
              <c:strCache>
                <c:ptCount val="1"/>
                <c:pt idx="0">
                  <c:v>jan/23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1BC-42DF-B2A9-59BDE8D3868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1BC-42DF-B2A9-59BDE8D3868B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1BC-42DF-B2A9-59BDE8D3868B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1BC-42DF-B2A9-59BDE8D3868B}"/>
              </c:ext>
            </c:extLst>
          </c:dPt>
          <c:dPt>
            <c:idx val="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1BC-42DF-B2A9-59BDE8D3868B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1BC-42DF-B2A9-59BDE8D3868B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1BC-42DF-B2A9-59BDE8D3868B}"/>
              </c:ext>
            </c:extLst>
          </c:dPt>
          <c:dPt>
            <c:idx val="7"/>
            <c:invertIfNegative val="0"/>
            <c:bubble3D val="0"/>
            <c:spPr>
              <a:solidFill>
                <a:srgbClr val="F2DCD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1BC-42DF-B2A9-59BDE8D3868B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1BC-42DF-B2A9-59BDE8D3868B}"/>
              </c:ext>
            </c:extLst>
          </c:dPt>
          <c:dPt>
            <c:idx val="9"/>
            <c:invertIfNegative val="0"/>
            <c:bubble3D val="0"/>
            <c:spPr>
              <a:solidFill>
                <a:srgbClr val="9E20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1BC-42DF-B2A9-59BDE8D3868B}"/>
              </c:ext>
            </c:extLst>
          </c:dPt>
          <c:cat>
            <c:strRef>
              <c:f>'10_ASSUNTOS + demandados_JAN_23'!$A$7:$A$16</c:f>
              <c:strCache>
                <c:ptCount val="10"/>
                <c:pt idx="0">
                  <c:v>Cadastro Único (CadÚnico)</c:v>
                </c:pt>
                <c:pt idx="1">
                  <c:v>Qualidade de atendimento</c:v>
                </c:pt>
                <c:pt idx="2">
                  <c:v>Árvore</c:v>
                </c:pt>
                <c:pt idx="3">
                  <c:v>Buraco e pavimentação</c:v>
                </c:pt>
                <c:pt idx="4">
                  <c:v>Poluição Sonora - PSIU</c:v>
                </c:pt>
                <c:pt idx="5">
                  <c:v>Multas de trânsito</c:v>
                </c:pt>
                <c:pt idx="6">
                  <c:v>Processo Administrativo</c:v>
                </c:pt>
                <c:pt idx="7">
                  <c:v>Sinalização e Circulação de Veículos e Pedestres</c:v>
                </c:pt>
                <c:pt idx="8">
                  <c:v>Drenagem de água de chuva</c:v>
                </c:pt>
                <c:pt idx="9">
                  <c:v>Estabelecimentos comerciais, indústrias e serviços</c:v>
                </c:pt>
              </c:strCache>
            </c:strRef>
          </c:cat>
          <c:val>
            <c:numRef>
              <c:f>'10_ASSUNTOS + demandados_JAN_23'!$B$7:$B$16</c:f>
              <c:numCache>
                <c:formatCode>General</c:formatCode>
                <c:ptCount val="10"/>
                <c:pt idx="0">
                  <c:v>501</c:v>
                </c:pt>
                <c:pt idx="1">
                  <c:v>337</c:v>
                </c:pt>
                <c:pt idx="2">
                  <c:v>301</c:v>
                </c:pt>
                <c:pt idx="3">
                  <c:v>263</c:v>
                </c:pt>
                <c:pt idx="4">
                  <c:v>239</c:v>
                </c:pt>
                <c:pt idx="5">
                  <c:v>151</c:v>
                </c:pt>
                <c:pt idx="6">
                  <c:v>138</c:v>
                </c:pt>
                <c:pt idx="7">
                  <c:v>129</c:v>
                </c:pt>
                <c:pt idx="8">
                  <c:v>118</c:v>
                </c:pt>
                <c:pt idx="9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BC-42DF-B2A9-59BDE8D38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71"/>
        <c:axId val="789952000"/>
        <c:axId val="1"/>
      </c:barChart>
      <c:catAx>
        <c:axId val="78995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89952000"/>
        <c:crosses val="autoZero"/>
        <c:crossBetween val="between"/>
        <c:majorUnit val="100"/>
        <c:minorUnit val="50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6.71679325108516E-3"/>
          <c:y val="9.8617593615277735E-2"/>
          <c:w val="0.9317201533383207"/>
          <c:h val="0.87440291682996629"/>
        </c:manualLayout>
      </c:layout>
      <c:barChart>
        <c:barDir val="col"/>
        <c:grouping val="clustered"/>
        <c:varyColors val="0"/>
        <c:ser>
          <c:idx val="3"/>
          <c:order val="0"/>
          <c:spPr>
            <a:solidFill>
              <a:srgbClr val="6600C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53DB-4B82-9165-34882F652BE2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53DB-4B82-9165-34882F652BE2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53DB-4B82-9165-34882F652BE2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53DB-4B82-9165-34882F652BE2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53DB-4B82-9165-34882F652BE2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53DB-4B82-9165-34882F652BE2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53DB-4B82-9165-34882F652BE2}"/>
              </c:ext>
            </c:extLst>
          </c:dPt>
          <c:dPt>
            <c:idx val="8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53DB-4B82-9165-34882F652BE2}"/>
              </c:ext>
            </c:extLst>
          </c:dPt>
          <c:dPt>
            <c:idx val="9"/>
            <c:invertIfNegative val="0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53DB-4B82-9165-34882F652BE2}"/>
              </c:ext>
            </c:extLst>
          </c:dPt>
          <c:cat>
            <c:strRef>
              <c:f>'10_UNIDADES_+_demandadas_2023'!$A$7:$A$16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Secretaria Municipal da Fazenda</c:v>
                </c:pt>
                <c:pt idx="4">
                  <c:v>Companhia de Engenharia de Tráfego - CET</c:v>
                </c:pt>
                <c:pt idx="5">
                  <c:v>Secretaria Executiva de Limpeza Urbana**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Órgão externo</c:v>
                </c:pt>
                <c:pt idx="9">
                  <c:v>Subprefeitura Penha</c:v>
                </c:pt>
              </c:strCache>
            </c:strRef>
          </c:cat>
          <c:val>
            <c:numRef>
              <c:f>'10_UNIDADES_+_demandadas_2023'!$O$7:$O$16</c:f>
              <c:numCache>
                <c:formatCode>0</c:formatCode>
                <c:ptCount val="10"/>
                <c:pt idx="0">
                  <c:v>564</c:v>
                </c:pt>
                <c:pt idx="1">
                  <c:v>545</c:v>
                </c:pt>
                <c:pt idx="2">
                  <c:v>343</c:v>
                </c:pt>
                <c:pt idx="3">
                  <c:v>328</c:v>
                </c:pt>
                <c:pt idx="4">
                  <c:v>327</c:v>
                </c:pt>
                <c:pt idx="5">
                  <c:v>247</c:v>
                </c:pt>
                <c:pt idx="6">
                  <c:v>140</c:v>
                </c:pt>
                <c:pt idx="7">
                  <c:v>131</c:v>
                </c:pt>
                <c:pt idx="8">
                  <c:v>84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DB-4B82-9165-34882F652BE2}"/>
            </c:ext>
          </c:extLst>
        </c:ser>
        <c:ser>
          <c:idx val="0"/>
          <c:order val="1"/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A-53DB-4B82-9165-34882F652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824350848"/>
        <c:axId val="1"/>
      </c:barChart>
      <c:catAx>
        <c:axId val="824350848"/>
        <c:scaling>
          <c:orientation val="minMax"/>
        </c:scaling>
        <c:delete val="0"/>
        <c:axPos val="b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  <c:min val="0"/>
        </c:scaling>
        <c:delete val="0"/>
        <c:axPos val="l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2435084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03536108619332E-4"/>
          <c:y val="1.0266651451177299E-2"/>
          <c:w val="0.62994518090301999"/>
          <c:h val="0.92648598612673427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8E-436C-9EE0-BBF1F7E4B59E}"/>
              </c:ext>
            </c:extLst>
          </c:dPt>
          <c:dPt>
            <c:idx val="1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1-658E-436C-9EE0-BBF1F7E4B5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58E-436C-9EE0-BBF1F7E4B5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58E-436C-9EE0-BBF1F7E4B59E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4-658E-436C-9EE0-BBF1F7E4B5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58E-436C-9EE0-BBF1F7E4B59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58E-436C-9EE0-BBF1F7E4B59E}"/>
              </c:ext>
            </c:extLst>
          </c:dPt>
          <c:dPt>
            <c:idx val="7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7-658E-436C-9EE0-BBF1F7E4B59E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8-658E-436C-9EE0-BBF1F7E4B59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58E-436C-9EE0-BBF1F7E4B59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58E-436C-9EE0-BBF1F7E4B59E}"/>
              </c:ext>
            </c:extLst>
          </c:dPt>
          <c:dPt>
            <c:idx val="1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658E-436C-9EE0-BBF1F7E4B59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('10_UNIDADES_+_demandadas_2023'!$A$7:$A$16,'10_UNIDADES_+_demandadas_2023'!$A$18)</c:f>
              <c:strCache>
                <c:ptCount val="11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Secretaria Municipal da Fazenda</c:v>
                </c:pt>
                <c:pt idx="4">
                  <c:v>Companhia de Engenharia de Tráfego - CET</c:v>
                </c:pt>
                <c:pt idx="5">
                  <c:v>Secretaria Executiva de Limpeza Urbana**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Órgão externo</c:v>
                </c:pt>
                <c:pt idx="9">
                  <c:v>Subprefeitura Penha</c:v>
                </c:pt>
                <c:pt idx="10">
                  <c:v>Outros</c:v>
                </c:pt>
              </c:strCache>
            </c:strRef>
          </c:cat>
          <c:val>
            <c:numRef>
              <c:f>('10_UNIDADES_+_demandadas_2023'!$P$7:$P$16,'10_UNIDADES_+_demandadas_2023'!$P$18)</c:f>
              <c:numCache>
                <c:formatCode>0.00</c:formatCode>
                <c:ptCount val="11"/>
                <c:pt idx="0">
                  <c:v>13.24876673713883</c:v>
                </c:pt>
                <c:pt idx="1">
                  <c:v>12.802443035001174</c:v>
                </c:pt>
                <c:pt idx="2">
                  <c:v>8.0573173596429406</c:v>
                </c:pt>
                <c:pt idx="3">
                  <c:v>7.7049565421658448</c:v>
                </c:pt>
                <c:pt idx="4">
                  <c:v>7.681465821000705</c:v>
                </c:pt>
                <c:pt idx="5">
                  <c:v>5.8022081277895232</c:v>
                </c:pt>
                <c:pt idx="6">
                  <c:v>3.2887009631195676</c:v>
                </c:pt>
                <c:pt idx="7">
                  <c:v>3.07728447263331</c:v>
                </c:pt>
                <c:pt idx="8">
                  <c:v>1.9732205778717407</c:v>
                </c:pt>
                <c:pt idx="9">
                  <c:v>1.6678412027249236</c:v>
                </c:pt>
                <c:pt idx="10">
                  <c:v>34.695795160911445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8E-436C-9EE0-BBF1F7E4B59E}"/>
            </c:ext>
          </c:extLst>
        </c:ser>
        <c:ser>
          <c:idx val="0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D-658E-436C-9EE0-BBF1F7E4B5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E-658E-436C-9EE0-BBF1F7E4B5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F-658E-436C-9EE0-BBF1F7E4B59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0-658E-436C-9EE0-BBF1F7E4B59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1-658E-436C-9EE0-BBF1F7E4B59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2-658E-436C-9EE0-BBF1F7E4B59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3-658E-436C-9EE0-BBF1F7E4B59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4-658E-436C-9EE0-BBF1F7E4B59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5-658E-436C-9EE0-BBF1F7E4B59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6-658E-436C-9EE0-BBF1F7E4B59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7-658E-436C-9EE0-BBF1F7E4B59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8-658E-436C-9EE0-BBF1F7E4B59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9-658E-436C-9EE0-BBF1F7E4B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104072665074176"/>
          <c:y val="7.4066466329389985E-2"/>
          <c:w val="0.32728036804388216"/>
          <c:h val="0.92593353367061004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  Média - Unidades 10 mais demandadas 3 últimos meses</a:t>
            </a:r>
          </a:p>
        </c:rich>
      </c:tx>
      <c:layout>
        <c:manualLayout>
          <c:xMode val="edge"/>
          <c:yMode val="edge"/>
          <c:x val="8.4455620314037208E-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7395707160897507E-2"/>
          <c:y val="0.12030928566361637"/>
          <c:w val="0.96217931068970541"/>
          <c:h val="0.875705311610823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'UNIDADES_-_10+_últimos_3_meses'!$F$6:$F$6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8064A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33E-47B9-8E28-587D9FC4DACF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33E-47B9-8E28-587D9FC4DACF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33E-47B9-8E28-587D9FC4DAC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33E-47B9-8E28-587D9FC4DACF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33E-47B9-8E28-587D9FC4DACF}"/>
              </c:ext>
            </c:extLst>
          </c:dPt>
          <c:dPt>
            <c:idx val="5"/>
            <c:invertIfNegative val="0"/>
            <c:bubble3D val="0"/>
            <c:spPr>
              <a:solidFill>
                <a:srgbClr val="DB843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33E-47B9-8E28-587D9FC4DACF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33E-47B9-8E28-587D9FC4DACF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33E-47B9-8E28-587D9FC4DACF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33E-47B9-8E28-587D9FC4DACF}"/>
              </c:ext>
            </c:extLst>
          </c:dPt>
          <c:dPt>
            <c:idx val="9"/>
            <c:invertIfNegative val="0"/>
            <c:bubble3D val="0"/>
            <c:spPr>
              <a:solidFill>
                <a:srgbClr val="A99BB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33E-47B9-8E28-587D9FC4DACF}"/>
              </c:ext>
            </c:extLst>
          </c:dPt>
          <c:cat>
            <c:strRef>
              <c:f>'UNIDADES_-_10+_últimos_3_meses'!$A$7:$A$16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Fazenda</c:v>
                </c:pt>
                <c:pt idx="3">
                  <c:v>Secretaria Municipal da Saúde</c:v>
                </c:pt>
                <c:pt idx="4">
                  <c:v>Companhia de Engenharia de Tráfego - CET</c:v>
                </c:pt>
                <c:pt idx="5">
                  <c:v>Secretaria Executiva de Limpeza Urbana**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Órgão externo</c:v>
                </c:pt>
                <c:pt idx="9">
                  <c:v>Secretaria Municipal de Mobilidade e Trânsito</c:v>
                </c:pt>
              </c:strCache>
            </c:strRef>
          </c:cat>
          <c:val>
            <c:numRef>
              <c:f>'UNIDADES_-_10+_últimos_3_meses'!$F$7:$F$16</c:f>
              <c:numCache>
                <c:formatCode>0</c:formatCode>
                <c:ptCount val="10"/>
                <c:pt idx="0">
                  <c:v>614.33333333333337</c:v>
                </c:pt>
                <c:pt idx="1">
                  <c:v>452.66666666666669</c:v>
                </c:pt>
                <c:pt idx="2">
                  <c:v>303.66666666666669</c:v>
                </c:pt>
                <c:pt idx="3">
                  <c:v>274</c:v>
                </c:pt>
                <c:pt idx="4">
                  <c:v>258</c:v>
                </c:pt>
                <c:pt idx="5">
                  <c:v>216</c:v>
                </c:pt>
                <c:pt idx="6">
                  <c:v>129.33333333333334</c:v>
                </c:pt>
                <c:pt idx="7">
                  <c:v>112.33333333333333</c:v>
                </c:pt>
                <c:pt idx="8">
                  <c:v>84.333333333333329</c:v>
                </c:pt>
                <c:pt idx="9">
                  <c:v>77.666666666666671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3E-47B9-8E28-587D9FC4D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194144"/>
        <c:axId val="1"/>
      </c:barChart>
      <c:catAx>
        <c:axId val="790194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90194144"/>
        <c:crosses val="autoZero"/>
        <c:crossBetween val="between"/>
        <c:majorUnit val="100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10 unidades mais demendadas dos 3 últimos meses</a:t>
            </a:r>
          </a:p>
        </c:rich>
      </c:tx>
      <c:layout>
        <c:manualLayout>
          <c:xMode val="edge"/>
          <c:yMode val="edge"/>
          <c:x val="0.20666659113653957"/>
          <c:y val="1.086956521739130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'UNIDADES_-_10+_últimos_3_meses'!$A$7:$D$7</c:f>
              <c:strCache>
                <c:ptCount val="4"/>
                <c:pt idx="0">
                  <c:v>Secretaria Municipal de Assistência e Desenvolvimento Social</c:v>
                </c:pt>
                <c:pt idx="1">
                  <c:v>564</c:v>
                </c:pt>
                <c:pt idx="2">
                  <c:v>424</c:v>
                </c:pt>
                <c:pt idx="3">
                  <c:v>855</c:v>
                </c:pt>
              </c:strCache>
            </c:strRef>
          </c:tx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44927</c:v>
                </c:pt>
                <c:pt idx="1">
                  <c:v>44896</c:v>
                </c:pt>
                <c:pt idx="2">
                  <c:v>44866</c:v>
                </c:pt>
              </c:numCache>
            </c:numRef>
          </c:cat>
          <c:val>
            <c:numRef>
              <c:f>'UNIDADES_-_10+_últimos_3_meses'!$B$7:$D$7</c:f>
              <c:numCache>
                <c:formatCode>General</c:formatCode>
                <c:ptCount val="3"/>
                <c:pt idx="0">
                  <c:v>564</c:v>
                </c:pt>
                <c:pt idx="1">
                  <c:v>424</c:v>
                </c:pt>
                <c:pt idx="2">
                  <c:v>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E-43AB-A039-5C2DDC947840}"/>
            </c:ext>
          </c:extLst>
        </c:ser>
        <c:ser>
          <c:idx val="1"/>
          <c:order val="1"/>
          <c:tx>
            <c:strRef>
              <c:f>'UNIDADES_-_10+_últimos_3_meses'!$A$8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44927</c:v>
                </c:pt>
                <c:pt idx="1">
                  <c:v>44896</c:v>
                </c:pt>
                <c:pt idx="2">
                  <c:v>44866</c:v>
                </c:pt>
              </c:numCache>
            </c:numRef>
          </c:cat>
          <c:val>
            <c:numRef>
              <c:f>'UNIDADES_-_10+_últimos_3_meses'!$B$8:$D$8</c:f>
              <c:numCache>
                <c:formatCode>General</c:formatCode>
                <c:ptCount val="3"/>
                <c:pt idx="0">
                  <c:v>545</c:v>
                </c:pt>
                <c:pt idx="1">
                  <c:v>454</c:v>
                </c:pt>
                <c:pt idx="2">
                  <c:v>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5E-43AB-A039-5C2DDC947840}"/>
            </c:ext>
          </c:extLst>
        </c:ser>
        <c:ser>
          <c:idx val="2"/>
          <c:order val="2"/>
          <c:tx>
            <c:strRef>
              <c:f>'UNIDADES_-_10+_últimos_3_meses'!$A$9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44927</c:v>
                </c:pt>
                <c:pt idx="1">
                  <c:v>44896</c:v>
                </c:pt>
                <c:pt idx="2">
                  <c:v>44866</c:v>
                </c:pt>
              </c:numCache>
            </c:numRef>
          </c:cat>
          <c:val>
            <c:numRef>
              <c:f>'UNIDADES_-_10+_últimos_3_meses'!$B$9:$D$9</c:f>
              <c:numCache>
                <c:formatCode>General</c:formatCode>
                <c:ptCount val="3"/>
                <c:pt idx="0">
                  <c:v>328</c:v>
                </c:pt>
                <c:pt idx="1">
                  <c:v>263</c:v>
                </c:pt>
                <c:pt idx="2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5E-43AB-A039-5C2DDC947840}"/>
            </c:ext>
          </c:extLst>
        </c:ser>
        <c:ser>
          <c:idx val="3"/>
          <c:order val="3"/>
          <c:tx>
            <c:strRef>
              <c:f>'UNIDADES_-_10+_últimos_3_meses'!$A$10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44927</c:v>
                </c:pt>
                <c:pt idx="1">
                  <c:v>44896</c:v>
                </c:pt>
                <c:pt idx="2">
                  <c:v>44866</c:v>
                </c:pt>
              </c:numCache>
            </c:numRef>
          </c:cat>
          <c:val>
            <c:numRef>
              <c:f>'UNIDADES_-_10+_últimos_3_meses'!$B$10:$D$10</c:f>
              <c:numCache>
                <c:formatCode>General</c:formatCode>
                <c:ptCount val="3"/>
                <c:pt idx="0">
                  <c:v>343</c:v>
                </c:pt>
                <c:pt idx="1">
                  <c:v>251</c:v>
                </c:pt>
                <c:pt idx="2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5E-43AB-A039-5C2DDC947840}"/>
            </c:ext>
          </c:extLst>
        </c:ser>
        <c:ser>
          <c:idx val="4"/>
          <c:order val="4"/>
          <c:tx>
            <c:strRef>
              <c:f>'UNIDADES_-_10+_últimos_3_meses'!$A$11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44927</c:v>
                </c:pt>
                <c:pt idx="1">
                  <c:v>44896</c:v>
                </c:pt>
                <c:pt idx="2">
                  <c:v>44866</c:v>
                </c:pt>
              </c:numCache>
            </c:numRef>
          </c:cat>
          <c:val>
            <c:numRef>
              <c:f>'UNIDADES_-_10+_últimos_3_meses'!$B$11:$D$11</c:f>
              <c:numCache>
                <c:formatCode>General</c:formatCode>
                <c:ptCount val="3"/>
                <c:pt idx="0">
                  <c:v>327</c:v>
                </c:pt>
                <c:pt idx="1">
                  <c:v>213</c:v>
                </c:pt>
                <c:pt idx="2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5E-43AB-A039-5C2DDC947840}"/>
            </c:ext>
          </c:extLst>
        </c:ser>
        <c:ser>
          <c:idx val="5"/>
          <c:order val="5"/>
          <c:tx>
            <c:strRef>
              <c:f>'UNIDADES_-_10+_últimos_3_meses'!$A$12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44927</c:v>
                </c:pt>
                <c:pt idx="1">
                  <c:v>44896</c:v>
                </c:pt>
                <c:pt idx="2">
                  <c:v>44866</c:v>
                </c:pt>
              </c:numCache>
            </c:numRef>
          </c:cat>
          <c:val>
            <c:numRef>
              <c:f>'UNIDADES_-_10+_últimos_3_meses'!$B$12:$D$12</c:f>
              <c:numCache>
                <c:formatCode>General</c:formatCode>
                <c:ptCount val="3"/>
                <c:pt idx="0">
                  <c:v>247</c:v>
                </c:pt>
                <c:pt idx="1">
                  <c:v>242</c:v>
                </c:pt>
                <c:pt idx="2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5E-43AB-A039-5C2DDC947840}"/>
            </c:ext>
          </c:extLst>
        </c:ser>
        <c:ser>
          <c:idx val="6"/>
          <c:order val="6"/>
          <c:tx>
            <c:strRef>
              <c:f>'UNIDADES_-_10+_últimos_3_meses'!$A$13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44927</c:v>
                </c:pt>
                <c:pt idx="1">
                  <c:v>44896</c:v>
                </c:pt>
                <c:pt idx="2">
                  <c:v>44866</c:v>
                </c:pt>
              </c:numCache>
            </c:numRef>
          </c:cat>
          <c:val>
            <c:numRef>
              <c:f>'UNIDADES_-_10+_últimos_3_meses'!$B$13:$D$13</c:f>
              <c:numCache>
                <c:formatCode>General</c:formatCode>
                <c:ptCount val="3"/>
                <c:pt idx="0">
                  <c:v>140</c:v>
                </c:pt>
                <c:pt idx="1">
                  <c:v>135</c:v>
                </c:pt>
                <c:pt idx="2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5E-43AB-A039-5C2DDC947840}"/>
            </c:ext>
          </c:extLst>
        </c:ser>
        <c:ser>
          <c:idx val="7"/>
          <c:order val="7"/>
          <c:tx>
            <c:strRef>
              <c:f>'UNIDADES_-_10+_últimos_3_meses'!$A$14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44927</c:v>
                </c:pt>
                <c:pt idx="1">
                  <c:v>44896</c:v>
                </c:pt>
                <c:pt idx="2">
                  <c:v>44866</c:v>
                </c:pt>
              </c:numCache>
            </c:numRef>
          </c:cat>
          <c:val>
            <c:numRef>
              <c:f>'UNIDADES_-_10+_últimos_3_meses'!$B$14:$D$14</c:f>
              <c:numCache>
                <c:formatCode>General</c:formatCode>
                <c:ptCount val="3"/>
                <c:pt idx="0">
                  <c:v>131</c:v>
                </c:pt>
                <c:pt idx="1">
                  <c:v>112</c:v>
                </c:pt>
                <c:pt idx="2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5E-43AB-A039-5C2DDC947840}"/>
            </c:ext>
          </c:extLst>
        </c:ser>
        <c:ser>
          <c:idx val="8"/>
          <c:order val="8"/>
          <c:tx>
            <c:strRef>
              <c:f>'UNIDADES_-_10+_últimos_3_meses'!$A$15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FFFF"/>
            </a:solidFill>
            <a:ln w="25400"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44927</c:v>
                </c:pt>
                <c:pt idx="1">
                  <c:v>44896</c:v>
                </c:pt>
                <c:pt idx="2">
                  <c:v>44866</c:v>
                </c:pt>
              </c:numCache>
            </c:numRef>
          </c:cat>
          <c:val>
            <c:numRef>
              <c:f>'UNIDADES_-_10+_últimos_3_meses'!$B$15:$D$15</c:f>
              <c:numCache>
                <c:formatCode>General</c:formatCode>
                <c:ptCount val="3"/>
                <c:pt idx="0">
                  <c:v>84</c:v>
                </c:pt>
                <c:pt idx="1">
                  <c:v>76</c:v>
                </c:pt>
                <c:pt idx="2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5E-43AB-A039-5C2DDC947840}"/>
            </c:ext>
          </c:extLst>
        </c:ser>
        <c:ser>
          <c:idx val="9"/>
          <c:order val="9"/>
          <c:tx>
            <c:strRef>
              <c:f>'UNIDADES_-_10+_últimos_3_meses'!$A$16</c:f>
              <c:strCache>
                <c:ptCount val="1"/>
                <c:pt idx="0">
                  <c:v>Secretaria Municipal de Mobilidade e Trânsito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44927</c:v>
                </c:pt>
                <c:pt idx="1">
                  <c:v>44896</c:v>
                </c:pt>
                <c:pt idx="2">
                  <c:v>44866</c:v>
                </c:pt>
              </c:numCache>
            </c:numRef>
          </c:cat>
          <c:val>
            <c:numRef>
              <c:f>'UNIDADES_-_10+_últimos_3_meses'!$B$16:$D$16</c:f>
              <c:numCache>
                <c:formatCode>General</c:formatCode>
                <c:ptCount val="3"/>
                <c:pt idx="0">
                  <c:v>70</c:v>
                </c:pt>
                <c:pt idx="1">
                  <c:v>76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5E-43AB-A039-5C2DDC947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90197888"/>
        <c:axId val="1"/>
      </c:barChart>
      <c:dateAx>
        <c:axId val="790197888"/>
        <c:scaling>
          <c:orientation val="minMax"/>
        </c:scaling>
        <c:delete val="0"/>
        <c:axPos val="l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  <c:max val="1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90197888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39137823599392"/>
          <c:y val="0.11247831792765034"/>
          <c:w val="0.33309783039709973"/>
          <c:h val="0.8623256875499258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4"/>
      <c:rotY val="19"/>
      <c:depthPercent val="100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8483950271933551E-2"/>
          <c:y val="0.13505114781581287"/>
          <c:w val="0.61593431183484049"/>
          <c:h val="0.82531085723522657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'10_Unidades+ demandados _JAN_23'!$B$22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val>
            <c:numRef>
              <c:f>'10_Unidades+ demandados _JAN_23'!$B$23:$B$25</c:f>
              <c:numCache>
                <c:formatCode>General</c:formatCode>
                <c:ptCount val="3"/>
                <c:pt idx="0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F-4A2B-B4A5-F8729EF9BE19}"/>
            </c:ext>
          </c:extLst>
        </c:ser>
        <c:ser>
          <c:idx val="1"/>
          <c:order val="1"/>
          <c:tx>
            <c:strRef>
              <c:f>'10_Unidades+ demandados _JAN_23'!$C$22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'10_Unidades+ demandados _JAN_23'!$C$23:$C$25</c:f>
              <c:numCache>
                <c:formatCode>General</c:formatCode>
                <c:ptCount val="3"/>
                <c:pt idx="0">
                  <c:v>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F-4A2B-B4A5-F8729EF9BE19}"/>
            </c:ext>
          </c:extLst>
        </c:ser>
        <c:ser>
          <c:idx val="2"/>
          <c:order val="2"/>
          <c:tx>
            <c:strRef>
              <c:f>'10_Unidades+ demandados _JAN_23'!$D$22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7F9A48"/>
            </a:solidFill>
            <a:ln>
              <a:noFill/>
            </a:ln>
          </c:spPr>
          <c:invertIfNegative val="0"/>
          <c:val>
            <c:numRef>
              <c:f>'10_Unidades+ demandados _JAN_23'!$D$23:$D$25</c:f>
              <c:numCache>
                <c:formatCode>General</c:formatCode>
                <c:ptCount val="3"/>
                <c:pt idx="0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F-4A2B-B4A5-F8729EF9BE19}"/>
            </c:ext>
          </c:extLst>
        </c:ser>
        <c:ser>
          <c:idx val="3"/>
          <c:order val="3"/>
          <c:tx>
            <c:strRef>
              <c:f>'10_Unidades+ demandados _JAN_23'!$E$22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val>
            <c:numRef>
              <c:f>'10_Unidades+ demandados _JAN_23'!$E$23:$E$25</c:f>
              <c:numCache>
                <c:formatCode>General</c:formatCode>
                <c:ptCount val="3"/>
                <c:pt idx="0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5F-4A2B-B4A5-F8729EF9BE19}"/>
            </c:ext>
          </c:extLst>
        </c:ser>
        <c:ser>
          <c:idx val="4"/>
          <c:order val="4"/>
          <c:tx>
            <c:strRef>
              <c:f>'10_Unidades+ demandados _JAN_23'!$F$22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'10_Unidades+ demandados _JAN_23'!$F$23:$F$25</c:f>
              <c:numCache>
                <c:formatCode>General</c:formatCode>
                <c:ptCount val="3"/>
                <c:pt idx="0">
                  <c:v>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5F-4A2B-B4A5-F8729EF9BE19}"/>
            </c:ext>
          </c:extLst>
        </c:ser>
        <c:ser>
          <c:idx val="5"/>
          <c:order val="5"/>
          <c:tx>
            <c:strRef>
              <c:f>'10_Unidades+ demandados _JAN_23'!$G$22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val>
            <c:numRef>
              <c:f>'10_Unidades+ demandados _JAN_23'!$G$23:$G$25</c:f>
              <c:numCache>
                <c:formatCode>General</c:formatCode>
                <c:ptCount val="3"/>
                <c:pt idx="0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5F-4A2B-B4A5-F8729EF9BE19}"/>
            </c:ext>
          </c:extLst>
        </c:ser>
        <c:ser>
          <c:idx val="6"/>
          <c:order val="6"/>
          <c:tx>
            <c:strRef>
              <c:f>'10_Unidades+ demandados _JAN_23'!$H$22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'10_Unidades+ demandados _JAN_23'!$H$23:$H$25</c:f>
              <c:numCache>
                <c:formatCode>General</c:formatCode>
                <c:ptCount val="3"/>
                <c:pt idx="0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5F-4A2B-B4A5-F8729EF9BE19}"/>
            </c:ext>
          </c:extLst>
        </c:ser>
        <c:ser>
          <c:idx val="7"/>
          <c:order val="7"/>
          <c:tx>
            <c:strRef>
              <c:f>'10_Unidades+ demandados _JAN_23'!$I$22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val>
            <c:numRef>
              <c:f>'10_Unidades+ demandados _JAN_23'!$I$23:$I$25</c:f>
              <c:numCache>
                <c:formatCode>General</c:formatCode>
                <c:ptCount val="3"/>
                <c:pt idx="0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5F-4A2B-B4A5-F8729EF9BE19}"/>
            </c:ext>
          </c:extLst>
        </c:ser>
        <c:ser>
          <c:idx val="8"/>
          <c:order val="8"/>
          <c:tx>
            <c:strRef>
              <c:f>'10_Unidades+ demandados _JAN_23'!$J$22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</c:spPr>
          <c:invertIfNegative val="0"/>
          <c:val>
            <c:numRef>
              <c:f>'10_Unidades+ demandados _JAN_23'!$J$23:$J$25</c:f>
              <c:numCache>
                <c:formatCode>General</c:formatCode>
                <c:ptCount val="3"/>
                <c:pt idx="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5F-4A2B-B4A5-F8729EF9BE19}"/>
            </c:ext>
          </c:extLst>
        </c:ser>
        <c:ser>
          <c:idx val="9"/>
          <c:order val="9"/>
          <c:tx>
            <c:strRef>
              <c:f>'10_Unidades+ demandados _JAN_23'!$K$22</c:f>
              <c:strCache>
                <c:ptCount val="1"/>
                <c:pt idx="0">
                  <c:v>Subprefeitura Penha</c:v>
                </c:pt>
              </c:strCache>
            </c:strRef>
          </c:tx>
          <c:spPr>
            <a:solidFill>
              <a:srgbClr val="FCD5B5"/>
            </a:solidFill>
            <a:ln>
              <a:noFill/>
            </a:ln>
          </c:spPr>
          <c:invertIfNegative val="0"/>
          <c:val>
            <c:numRef>
              <c:f>'10_Unidades+ demandados _JAN_23'!$K$23:$K$25</c:f>
              <c:numCache>
                <c:formatCode>General</c:formatCode>
                <c:ptCount val="3"/>
                <c:pt idx="0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E5F-4A2B-B4A5-F8729EF9BE19}"/>
            </c:ext>
          </c:extLst>
        </c:ser>
        <c:ser>
          <c:idx val="10"/>
          <c:order val="10"/>
          <c:tx>
            <c:strRef>
              <c:f>'10_Unidades+ demandados _JAN_23'!$L$22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pt-BR"/>
                      <a:t>4257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E5F-4A2B-B4A5-F8729EF9BE1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'10_Unidades+ demandados _JAN_23'!$L$23:$L$25</c:f>
              <c:numCache>
                <c:formatCode>General</c:formatCode>
                <c:ptCount val="3"/>
                <c:pt idx="2" formatCode="#,##0">
                  <c:v>4257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E5F-4A2B-B4A5-F8729EF9B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shape val="box"/>
        <c:axId val="824349600"/>
        <c:axId val="1"/>
        <c:axId val="0"/>
      </c:bar3DChart>
      <c:catAx>
        <c:axId val="824349600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2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24349600"/>
        <c:crosses val="autoZero"/>
        <c:crossBetween val="between"/>
        <c:majorUnit val="2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601443329638642"/>
          <c:y val="0.11962312403257284"/>
          <c:w val="0.33299150220482043"/>
          <c:h val="0.8732305897660228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10 UNIDADES mais demandadas do mês de JANEIRO/23</a:t>
            </a:r>
          </a:p>
        </c:rich>
      </c:tx>
      <c:layout>
        <c:manualLayout>
          <c:xMode val="edge"/>
          <c:yMode val="edge"/>
          <c:x val="0.1304324778656106"/>
          <c:y val="8.3690393401679485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847839965950204"/>
          <c:y val="0.13062167953643475"/>
          <c:w val="0.74513673829048876"/>
          <c:h val="0.41716962545036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'10_Unidades+ demandados _JAN_23'!$B$6</c:f>
              <c:strCache>
                <c:ptCount val="1"/>
                <c:pt idx="0">
                  <c:v>jan/23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1C53-4224-9D80-561787DED74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1C53-4224-9D80-561787DED74C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1C53-4224-9D80-561787DED74C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1C53-4224-9D80-561787DED74C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1C53-4224-9D80-561787DED74C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1C53-4224-9D80-561787DED74C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1C53-4224-9D80-561787DED74C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1C53-4224-9D80-561787DED74C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1C53-4224-9D80-561787DED74C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1C53-4224-9D80-561787DED74C}"/>
              </c:ext>
            </c:extLst>
          </c:dPt>
          <c:cat>
            <c:strRef>
              <c:f>'10_Unidades+ demandados _JAN_23'!$A$7:$A$16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Secretaria Municipal da Fazenda</c:v>
                </c:pt>
                <c:pt idx="4">
                  <c:v>Companhia de Engenharia de Tráfego - CET</c:v>
                </c:pt>
                <c:pt idx="5">
                  <c:v>Secretaria Executiva de Limpeza Urbana**</c:v>
                </c:pt>
                <c:pt idx="6">
                  <c:v>São Paulo Transportes - SPTRANS</c:v>
                </c:pt>
                <c:pt idx="7">
                  <c:v>Secretaria Municipal de Educação</c:v>
                </c:pt>
                <c:pt idx="8">
                  <c:v>Órgão externo</c:v>
                </c:pt>
                <c:pt idx="9">
                  <c:v>Subprefeitura Penha</c:v>
                </c:pt>
              </c:strCache>
            </c:strRef>
          </c:cat>
          <c:val>
            <c:numRef>
              <c:f>'10_Unidades+ demandados _JAN_23'!$B$7:$B$16</c:f>
              <c:numCache>
                <c:formatCode>General</c:formatCode>
                <c:ptCount val="10"/>
                <c:pt idx="0">
                  <c:v>564</c:v>
                </c:pt>
                <c:pt idx="1">
                  <c:v>545</c:v>
                </c:pt>
                <c:pt idx="2">
                  <c:v>343</c:v>
                </c:pt>
                <c:pt idx="3">
                  <c:v>328</c:v>
                </c:pt>
                <c:pt idx="4">
                  <c:v>327</c:v>
                </c:pt>
                <c:pt idx="5">
                  <c:v>247</c:v>
                </c:pt>
                <c:pt idx="6">
                  <c:v>140</c:v>
                </c:pt>
                <c:pt idx="7">
                  <c:v>131</c:v>
                </c:pt>
                <c:pt idx="8">
                  <c:v>84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C53-4224-9D80-561787DED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47520"/>
        <c:axId val="1"/>
      </c:barChart>
      <c:catAx>
        <c:axId val="82434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2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24347520"/>
        <c:crosses val="autoZero"/>
        <c:crossBetween val="between"/>
        <c:majorUnit val="200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Média e % de protocolos/subprefeitura em 2023 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106142629142"/>
          <c:w val="0.98129967274427299"/>
          <c:h val="0.803477602021992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Subprefeituras_2023!$P$4:$P$4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Subprefeituras_2023!$A$5:$A$36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Subprefeituras_2023!$P$5:$P$36</c:f>
              <c:numCache>
                <c:formatCode>0.0</c:formatCode>
                <c:ptCount val="32"/>
                <c:pt idx="0">
                  <c:v>2.2835394862036158</c:v>
                </c:pt>
                <c:pt idx="1">
                  <c:v>4.9476688867745002</c:v>
                </c:pt>
                <c:pt idx="2">
                  <c:v>5.8991436726926736</c:v>
                </c:pt>
                <c:pt idx="3">
                  <c:v>2.759276879162702</c:v>
                </c:pt>
                <c:pt idx="4">
                  <c:v>2.378686964795433</c:v>
                </c:pt>
                <c:pt idx="5">
                  <c:v>3.9010466222645097</c:v>
                </c:pt>
                <c:pt idx="6">
                  <c:v>0.57088487155090395</c:v>
                </c:pt>
                <c:pt idx="7">
                  <c:v>1.3320647002854424</c:v>
                </c:pt>
                <c:pt idx="8">
                  <c:v>2.093244529019981</c:v>
                </c:pt>
                <c:pt idx="9">
                  <c:v>0.95147478591817314</c:v>
                </c:pt>
                <c:pt idx="10">
                  <c:v>3.9010466222645097</c:v>
                </c:pt>
                <c:pt idx="11">
                  <c:v>2.6641294005708849</c:v>
                </c:pt>
                <c:pt idx="12">
                  <c:v>4.6622264509990483</c:v>
                </c:pt>
                <c:pt idx="13">
                  <c:v>1.9029495718363463</c:v>
                </c:pt>
                <c:pt idx="14">
                  <c:v>2.093244529019981</c:v>
                </c:pt>
                <c:pt idx="15">
                  <c:v>6.6603235014272126</c:v>
                </c:pt>
                <c:pt idx="16">
                  <c:v>2.093244529019981</c:v>
                </c:pt>
                <c:pt idx="17">
                  <c:v>5.0428163653663178</c:v>
                </c:pt>
                <c:pt idx="18">
                  <c:v>0.47573739295908657</c:v>
                </c:pt>
                <c:pt idx="19">
                  <c:v>6.7554709800190293</c:v>
                </c:pt>
                <c:pt idx="20">
                  <c:v>0.95147478591817314</c:v>
                </c:pt>
                <c:pt idx="21">
                  <c:v>4.471931493815414</c:v>
                </c:pt>
                <c:pt idx="22">
                  <c:v>3.6156041864890582</c:v>
                </c:pt>
                <c:pt idx="23">
                  <c:v>3.9961941008563278</c:v>
                </c:pt>
                <c:pt idx="24">
                  <c:v>4.1864890580399621</c:v>
                </c:pt>
                <c:pt idx="25">
                  <c:v>3.0447193149381544</c:v>
                </c:pt>
                <c:pt idx="26">
                  <c:v>0.95147478591817314</c:v>
                </c:pt>
                <c:pt idx="27">
                  <c:v>2.1883920076117986</c:v>
                </c:pt>
                <c:pt idx="28">
                  <c:v>4.3767840152235973</c:v>
                </c:pt>
                <c:pt idx="29">
                  <c:v>2.6641294005708849</c:v>
                </c:pt>
                <c:pt idx="30">
                  <c:v>4.5670789724072316</c:v>
                </c:pt>
                <c:pt idx="31">
                  <c:v>1.6175071360608944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6-4619-B0BD-F9930DE81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Subprefeituras_2023!$O$4:$O$4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Subprefeituras_2023!$A$5:$A$36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Subprefeituras_2023!$O$5:$O$36</c:f>
              <c:numCache>
                <c:formatCode>0</c:formatCode>
                <c:ptCount val="32"/>
                <c:pt idx="0">
                  <c:v>24</c:v>
                </c:pt>
                <c:pt idx="1">
                  <c:v>52</c:v>
                </c:pt>
                <c:pt idx="2">
                  <c:v>62</c:v>
                </c:pt>
                <c:pt idx="3">
                  <c:v>29</c:v>
                </c:pt>
                <c:pt idx="4">
                  <c:v>25</c:v>
                </c:pt>
                <c:pt idx="5">
                  <c:v>41</c:v>
                </c:pt>
                <c:pt idx="6">
                  <c:v>6</c:v>
                </c:pt>
                <c:pt idx="7">
                  <c:v>14</c:v>
                </c:pt>
                <c:pt idx="8">
                  <c:v>22</c:v>
                </c:pt>
                <c:pt idx="9">
                  <c:v>10</c:v>
                </c:pt>
                <c:pt idx="10">
                  <c:v>41</c:v>
                </c:pt>
                <c:pt idx="11">
                  <c:v>28</c:v>
                </c:pt>
                <c:pt idx="12">
                  <c:v>49</c:v>
                </c:pt>
                <c:pt idx="13">
                  <c:v>20</c:v>
                </c:pt>
                <c:pt idx="14">
                  <c:v>22</c:v>
                </c:pt>
                <c:pt idx="15">
                  <c:v>70</c:v>
                </c:pt>
                <c:pt idx="16">
                  <c:v>22</c:v>
                </c:pt>
                <c:pt idx="17">
                  <c:v>53</c:v>
                </c:pt>
                <c:pt idx="18">
                  <c:v>5</c:v>
                </c:pt>
                <c:pt idx="19">
                  <c:v>71</c:v>
                </c:pt>
                <c:pt idx="20">
                  <c:v>10</c:v>
                </c:pt>
                <c:pt idx="21">
                  <c:v>47</c:v>
                </c:pt>
                <c:pt idx="22">
                  <c:v>38</c:v>
                </c:pt>
                <c:pt idx="23">
                  <c:v>42</c:v>
                </c:pt>
                <c:pt idx="24">
                  <c:v>44</c:v>
                </c:pt>
                <c:pt idx="25">
                  <c:v>32</c:v>
                </c:pt>
                <c:pt idx="26">
                  <c:v>10</c:v>
                </c:pt>
                <c:pt idx="27">
                  <c:v>23</c:v>
                </c:pt>
                <c:pt idx="28">
                  <c:v>46</c:v>
                </c:pt>
                <c:pt idx="29">
                  <c:v>28</c:v>
                </c:pt>
                <c:pt idx="30">
                  <c:v>48</c:v>
                </c:pt>
                <c:pt idx="31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A6-4619-B0BD-F9930DE81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195392"/>
        <c:axId val="1"/>
      </c:lineChart>
      <c:catAx>
        <c:axId val="79019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901953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/>
        <a:lstStyle/>
        <a:p>
          <a:pPr>
            <a:defRPr sz="44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Linha do tempo - canais de entrada - 2023</a:t>
            </a:r>
          </a:p>
        </c:rich>
      </c:tx>
      <c:layout>
        <c:manualLayout>
          <c:xMode val="edge"/>
          <c:yMode val="edge"/>
          <c:x val="0.10930495144590052"/>
          <c:y val="2.9535761154855639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191958770605324E-2"/>
          <c:y val="0.16890952063827844"/>
          <c:w val="0.62906888619905077"/>
          <c:h val="0.6623849257648764"/>
        </c:manualLayout>
      </c:layout>
      <c:lineChart>
        <c:grouping val="standard"/>
        <c:varyColors val="0"/>
        <c:ser>
          <c:idx val="11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spPr>
            <a:ln>
              <a:solidFill>
                <a:srgbClr val="6600FF"/>
              </a:solidFill>
            </a:ln>
          </c:spPr>
          <c:marker>
            <c:symbol val="none"/>
          </c:marker>
          <c:dPt>
            <c:idx val="0"/>
            <c:marker>
              <c:symbol val="triangle"/>
              <c:size val="6"/>
              <c:spPr>
                <a:solidFill>
                  <a:srgbClr val="FF000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015-463D-A8A5-CAB37525EBEB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Canais_atendimento!$B$5:$M$5</c:f>
              <c:numCache>
                <c:formatCode>General</c:formatCode>
                <c:ptCount val="12"/>
                <c:pt idx="11" formatCode="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15-463D-A8A5-CAB37525EBEB}"/>
            </c:ext>
          </c:extLst>
        </c:ser>
        <c:ser>
          <c:idx val="0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diamond"/>
            <c:size val="9"/>
            <c:spPr>
              <a:solidFill>
                <a:srgbClr val="92D050"/>
              </a:solidFill>
              <a:ln>
                <a:noFill/>
              </a:ln>
            </c:spPr>
          </c:marker>
          <c:trendline>
            <c:spPr>
              <a:ln>
                <a:solidFill>
                  <a:schemeClr val="accent6">
                    <a:lumMod val="50000"/>
                  </a:schemeClr>
                </a:solidFill>
                <a:prstDash val="lgDash"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Canais_atendimento!$B$6:$M$6</c:f>
              <c:numCache>
                <c:formatCode>General</c:formatCode>
                <c:ptCount val="12"/>
                <c:pt idx="11" formatCode="0">
                  <c:v>1490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15-463D-A8A5-CAB37525EBEB}"/>
            </c:ext>
          </c:extLst>
        </c:ser>
        <c:ser>
          <c:idx val="1"/>
          <c:order val="2"/>
          <c:tx>
            <c:strRef>
              <c:f>Canais_atendimento!$A$7</c:f>
              <c:strCache>
                <c:ptCount val="1"/>
                <c:pt idx="0">
                  <c:v>E-mail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7"/>
            <c:spPr>
              <a:solidFill>
                <a:srgbClr val="00B0F0"/>
              </a:solidFill>
              <a:ln>
                <a:noFill/>
              </a:ln>
            </c:spPr>
          </c:marker>
          <c:trendline>
            <c:spPr>
              <a:ln>
                <a:solidFill>
                  <a:schemeClr val="accent1">
                    <a:lumMod val="75000"/>
                  </a:schemeClr>
                </a:solidFill>
                <a:prstDash val="lgDash"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Canais_atendimento!$B$7:$M$7</c:f>
              <c:numCache>
                <c:formatCode>General</c:formatCode>
                <c:ptCount val="12"/>
                <c:pt idx="11" formatCode="0">
                  <c:v>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15-463D-A8A5-CAB37525EBEB}"/>
            </c:ext>
          </c:extLst>
        </c:ser>
        <c:ser>
          <c:idx val="2"/>
          <c:order val="3"/>
          <c:tx>
            <c:strRef>
              <c:f>Canais_atendimento!$A$8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6-7015-463D-A8A5-CAB37525EBEB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Canais_atendimento!$B$8:$M$8</c:f>
              <c:numCache>
                <c:formatCode>General</c:formatCode>
                <c:ptCount val="12"/>
                <c:pt idx="11" formatCode="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015-463D-A8A5-CAB37525EBEB}"/>
            </c:ext>
          </c:extLst>
        </c:ser>
        <c:ser>
          <c:idx val="3"/>
          <c:order val="4"/>
          <c:tx>
            <c:strRef>
              <c:f>Canais_atendimento!$A$9</c:f>
              <c:strCache>
                <c:ptCount val="1"/>
                <c:pt idx="0">
                  <c:v>Portal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ymbol val="dash"/>
            <c:size val="9"/>
            <c:spPr>
              <a:solidFill>
                <a:srgbClr val="FF00FF"/>
              </a:solidFill>
              <a:ln>
                <a:noFill/>
              </a:ln>
            </c:spPr>
          </c:marker>
          <c:trendline>
            <c:spPr>
              <a:ln>
                <a:solidFill>
                  <a:srgbClr val="9900FF"/>
                </a:solidFill>
                <a:prstDash val="lgDash"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Canais_atendimento!$B$9:$M$9</c:f>
              <c:numCache>
                <c:formatCode>General</c:formatCode>
                <c:ptCount val="12"/>
                <c:pt idx="11" formatCode="0">
                  <c:v>1997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015-463D-A8A5-CAB37525EBEB}"/>
            </c:ext>
          </c:extLst>
        </c:ser>
        <c:ser>
          <c:idx val="4"/>
          <c:order val="5"/>
          <c:tx>
            <c:strRef>
              <c:f>Canais_atendimento!$A$10</c:f>
              <c:strCache>
                <c:ptCount val="1"/>
                <c:pt idx="0">
                  <c:v>Presencial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square"/>
            <c:size val="7"/>
            <c:spPr>
              <a:solidFill>
                <a:srgbClr val="FFFF00"/>
              </a:solidFill>
              <a:ln>
                <a:noFill/>
              </a:ln>
            </c:spPr>
          </c:marker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Canais_atendimento!$B$10:$M$10</c:f>
              <c:numCache>
                <c:formatCode>General</c:formatCode>
                <c:ptCount val="12"/>
                <c:pt idx="11" formatCode="0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015-463D-A8A5-CAB37525E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1024288"/>
        <c:axId val="1"/>
      </c:lineChart>
      <c:dateAx>
        <c:axId val="791024288"/>
        <c:scaling>
          <c:orientation val="minMax"/>
          <c:max val="45261"/>
          <c:min val="44927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-31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Offset val="100"/>
        <c:baseTimeUnit val="months"/>
        <c:majorUnit val="1"/>
      </c:dateAx>
      <c:valAx>
        <c:axId val="1"/>
        <c:scaling>
          <c:orientation val="minMax"/>
          <c:max val="25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91024288"/>
        <c:crosses val="autoZero"/>
        <c:crossBetween val="between"/>
        <c:majorUnit val="2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282644065584167"/>
          <c:y val="6.564023247094113E-3"/>
          <c:w val="0.27717355934415833"/>
          <c:h val="0.99343597675290585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4.7347952473682724E-2"/>
          <c:y val="0.131603875294625"/>
          <c:w val="0.92594718670918819"/>
          <c:h val="0.846258466983411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'10_SUB''s_+_demandadas_2023'!$O$6:$O$6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FD9-477D-81DD-8666F2248308}"/>
              </c:ext>
            </c:extLst>
          </c:dPt>
          <c:dPt>
            <c:idx val="1"/>
            <c:invertIfNegative val="0"/>
            <c:bubble3D val="0"/>
            <c:spPr>
              <a:solidFill>
                <a:srgbClr val="AA464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FD9-477D-81DD-8666F2248308}"/>
              </c:ext>
            </c:extLst>
          </c:dPt>
          <c:dPt>
            <c:idx val="2"/>
            <c:invertIfNegative val="0"/>
            <c:bubble3D val="0"/>
            <c:spPr>
              <a:solidFill>
                <a:srgbClr val="66FF6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FD9-477D-81DD-8666F2248308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FD9-477D-81DD-8666F2248308}"/>
              </c:ext>
            </c:extLst>
          </c:dPt>
          <c:dPt>
            <c:idx val="4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FD9-477D-81DD-8666F2248308}"/>
              </c:ext>
            </c:extLst>
          </c:dPt>
          <c:dPt>
            <c:idx val="5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FD9-477D-81DD-8666F2248308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0FD9-477D-81DD-8666F2248308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0FD9-477D-81DD-8666F2248308}"/>
              </c:ext>
            </c:extLst>
          </c:dPt>
          <c:dPt>
            <c:idx val="8"/>
            <c:invertIfNegative val="0"/>
            <c:bubble3D val="0"/>
            <c:spPr>
              <a:solidFill>
                <a:srgbClr val="00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0FD9-477D-81DD-8666F2248308}"/>
              </c:ext>
            </c:extLst>
          </c:dPt>
          <c:dPt>
            <c:idx val="9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FD9-477D-81DD-8666F2248308}"/>
              </c:ext>
            </c:extLst>
          </c:dPt>
          <c:cat>
            <c:strRef>
              <c:f>'10_SUB''s_+_demandadas_2023'!$A$7:$A$16</c:f>
              <c:strCache>
                <c:ptCount val="10"/>
                <c:pt idx="0">
                  <c:v>Penha</c:v>
                </c:pt>
                <c:pt idx="1">
                  <c:v>Lapa</c:v>
                </c:pt>
                <c:pt idx="2">
                  <c:v>Campo Limpo</c:v>
                </c:pt>
                <c:pt idx="3">
                  <c:v>Mooca</c:v>
                </c:pt>
                <c:pt idx="4">
                  <c:v>Butantã</c:v>
                </c:pt>
                <c:pt idx="5">
                  <c:v>Itaquera</c:v>
                </c:pt>
                <c:pt idx="6">
                  <c:v>Vila Mariana</c:v>
                </c:pt>
                <c:pt idx="7">
                  <c:v>Pinheiros</c:v>
                </c:pt>
                <c:pt idx="8">
                  <c:v>Sé</c:v>
                </c:pt>
                <c:pt idx="9">
                  <c:v>Santo Amaro</c:v>
                </c:pt>
              </c:strCache>
            </c:strRef>
          </c:cat>
          <c:val>
            <c:numRef>
              <c:f>'10_SUB''s_+_demandadas_2023'!$O$7:$O$16</c:f>
              <c:numCache>
                <c:formatCode>0</c:formatCode>
                <c:ptCount val="10"/>
                <c:pt idx="0">
                  <c:v>71</c:v>
                </c:pt>
                <c:pt idx="1">
                  <c:v>70</c:v>
                </c:pt>
                <c:pt idx="2">
                  <c:v>62</c:v>
                </c:pt>
                <c:pt idx="3">
                  <c:v>53</c:v>
                </c:pt>
                <c:pt idx="4">
                  <c:v>52</c:v>
                </c:pt>
                <c:pt idx="5">
                  <c:v>49</c:v>
                </c:pt>
                <c:pt idx="6">
                  <c:v>48</c:v>
                </c:pt>
                <c:pt idx="7">
                  <c:v>47</c:v>
                </c:pt>
                <c:pt idx="8">
                  <c:v>46</c:v>
                </c:pt>
                <c:pt idx="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FD9-477D-81DD-8666F2248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45024"/>
        <c:axId val="1"/>
      </c:barChart>
      <c:catAx>
        <c:axId val="824345024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24345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Subprefeituras - % em relação ao todo de JANEIRO/23</a:t>
            </a:r>
            <a:r>
              <a:rPr lang="pt-BR" baseline="0"/>
              <a:t> </a:t>
            </a:r>
            <a:r>
              <a:rPr lang="pt-BR"/>
              <a:t>(exetuando-se denúncias)</a:t>
            </a:r>
          </a:p>
        </c:rich>
      </c:tx>
      <c:layout>
        <c:manualLayout>
          <c:xMode val="edge"/>
          <c:yMode val="edge"/>
          <c:x val="9.9953501182722532E-2"/>
          <c:y val="2.7777777777777776E-2"/>
        </c:manualLayout>
      </c:layout>
      <c:overlay val="0"/>
      <c:spPr>
        <a:noFill/>
        <a:ln>
          <a:noFill/>
        </a:ln>
      </c:spPr>
    </c:title>
    <c:autoTitleDeleted val="0"/>
    <c:plotArea>
      <c:layout/>
      <c:ofPieChart>
        <c:ofPieType val="pie"/>
        <c:varyColors val="1"/>
        <c:ser>
          <c:idx val="13"/>
          <c:order val="0"/>
          <c:dPt>
            <c:idx val="0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0-778A-4332-A1B5-4C1FF4B214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8A-4332-A1B5-4C1FF4B214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8A-4332-A1B5-4C1FF4B21486}"/>
              </c:ext>
            </c:extLst>
          </c:dPt>
          <c:dPt>
            <c:idx val="3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78A-4332-A1B5-4C1FF4B21486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778A-4332-A1B5-4C1FF4B2148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78A-4332-A1B5-4C1FF4B2148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78A-4332-A1B5-4C1FF4B21486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7-778A-4332-A1B5-4C1FF4B21486}"/>
              </c:ext>
            </c:extLst>
          </c:dPt>
          <c:dPt>
            <c:idx val="8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8-778A-4332-A1B5-4C1FF4B2148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78A-4332-A1B5-4C1FF4B21486}"/>
              </c:ext>
            </c:extLst>
          </c:dPt>
          <c:dPt>
            <c:idx val="10"/>
            <c:bubble3D val="0"/>
            <c:spPr>
              <a:solidFill>
                <a:srgbClr val="9900CC"/>
              </a:solidFill>
            </c:spPr>
            <c:extLst>
              <c:ext xmlns:c16="http://schemas.microsoft.com/office/drawing/2014/chart" uri="{C3380CC4-5D6E-409C-BE32-E72D297353CC}">
                <c16:uniqueId val="{0000000A-778A-4332-A1B5-4C1FF4B21486}"/>
              </c:ext>
            </c:extLst>
          </c:dPt>
          <c:dPt>
            <c:idx val="1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B-778A-4332-A1B5-4C1FF4B21486}"/>
              </c:ext>
            </c:extLst>
          </c:dPt>
          <c:dLbls>
            <c:dLbl>
              <c:idx val="2"/>
              <c:layout>
                <c:manualLayout>
                  <c:x val="4.5677918167205844E-2"/>
                  <c:y val="-6.79605674290715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8A-4332-A1B5-4C1FF4B21486}"/>
                </c:ext>
              </c:extLst>
            </c:dLbl>
            <c:dLbl>
              <c:idx val="4"/>
              <c:layout>
                <c:manualLayout>
                  <c:x val="5.7901157704124191E-2"/>
                  <c:y val="1.40251218597674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8A-4332-A1B5-4C1FF4B21486}"/>
                </c:ext>
              </c:extLst>
            </c:dLbl>
            <c:dLbl>
              <c:idx val="5"/>
              <c:layout>
                <c:manualLayout>
                  <c:x val="4.5175283322142872E-2"/>
                  <c:y val="6.73209598800150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8A-4332-A1B5-4C1FF4B21486}"/>
                </c:ext>
              </c:extLst>
            </c:dLbl>
            <c:dLbl>
              <c:idx val="6"/>
              <c:layout>
                <c:manualLayout>
                  <c:x val="1.4465075586481923E-2"/>
                  <c:y val="6.73362704661917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8A-4332-A1B5-4C1FF4B21486}"/>
                </c:ext>
              </c:extLst>
            </c:dLbl>
            <c:dLbl>
              <c:idx val="9"/>
              <c:layout>
                <c:manualLayout>
                  <c:x val="-4.7342651935949866E-2"/>
                  <c:y val="-1.90982377202848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8A-4332-A1B5-4C1FF4B21486}"/>
                </c:ext>
              </c:extLst>
            </c:dLbl>
            <c:dLbl>
              <c:idx val="10"/>
              <c:layout>
                <c:manualLayout>
                  <c:x val="0.1091291379275265"/>
                  <c:y val="6.61729783777027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8A-4332-A1B5-4C1FF4B21486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78A-4332-A1B5-4C1FF4B2148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('10_SUB''s_+_demandadas_2023'!$A$7:$A$16,'10_SUB''s_+_demandadas_2023'!$A$18)</c:f>
              <c:strCache>
                <c:ptCount val="11"/>
                <c:pt idx="0">
                  <c:v>Penha</c:v>
                </c:pt>
                <c:pt idx="1">
                  <c:v>Lapa</c:v>
                </c:pt>
                <c:pt idx="2">
                  <c:v>Campo Limpo</c:v>
                </c:pt>
                <c:pt idx="3">
                  <c:v>Mooca</c:v>
                </c:pt>
                <c:pt idx="4">
                  <c:v>Butantã</c:v>
                </c:pt>
                <c:pt idx="5">
                  <c:v>Itaquera</c:v>
                </c:pt>
                <c:pt idx="6">
                  <c:v>Vila Mariana</c:v>
                </c:pt>
                <c:pt idx="7">
                  <c:v>Pinheiros</c:v>
                </c:pt>
                <c:pt idx="8">
                  <c:v>Sé</c:v>
                </c:pt>
                <c:pt idx="9">
                  <c:v>Santo Amaro</c:v>
                </c:pt>
                <c:pt idx="10">
                  <c:v>Outros</c:v>
                </c:pt>
              </c:strCache>
            </c:strRef>
          </c:cat>
          <c:val>
            <c:numRef>
              <c:f>('10_SUB''s_+_demandadas_2023'!$P$7:$P$16,'10_SUB''s_+_demandadas_2023'!$P$18)</c:f>
              <c:numCache>
                <c:formatCode>0.00</c:formatCode>
                <c:ptCount val="11"/>
                <c:pt idx="0">
                  <c:v>1.6678412027249236</c:v>
                </c:pt>
                <c:pt idx="1">
                  <c:v>1.6443504815597838</c:v>
                </c:pt>
                <c:pt idx="2">
                  <c:v>1.4564247122386658</c:v>
                </c:pt>
                <c:pt idx="3">
                  <c:v>1.2450082217524079</c:v>
                </c:pt>
                <c:pt idx="4">
                  <c:v>1.221517500587268</c:v>
                </c:pt>
                <c:pt idx="5">
                  <c:v>1.1510453370918488</c:v>
                </c:pt>
                <c:pt idx="6">
                  <c:v>1.1275546159267089</c:v>
                </c:pt>
                <c:pt idx="7">
                  <c:v>1.1040638947615691</c:v>
                </c:pt>
                <c:pt idx="8">
                  <c:v>1.0805731735964295</c:v>
                </c:pt>
                <c:pt idx="9">
                  <c:v>1.0335917312661498</c:v>
                </c:pt>
                <c:pt idx="10">
                  <c:v>87.268029128494248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78A-4332-A1B5-4C1FF4B21486}"/>
            </c:ext>
          </c:extLst>
        </c:ser>
        <c:ser>
          <c:idx val="0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D-778A-4332-A1B5-4C1FF4B214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E-778A-4332-A1B5-4C1FF4B214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F-778A-4332-A1B5-4C1FF4B2148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0-778A-4332-A1B5-4C1FF4B2148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1-778A-4332-A1B5-4C1FF4B2148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2-778A-4332-A1B5-4C1FF4B2148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3-778A-4332-A1B5-4C1FF4B2148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4-778A-4332-A1B5-4C1FF4B2148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5-778A-4332-A1B5-4C1FF4B2148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6-778A-4332-A1B5-4C1FF4B2148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7-778A-4332-A1B5-4C1FF4B2148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8-778A-4332-A1B5-4C1FF4B21486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9-778A-4332-A1B5-4C1FF4B21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17.88"/>
        <c:secondPieSize val="75"/>
        <c:serLines/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42383590940028"/>
          <c:y val="0.12662698412698412"/>
          <c:w val="0.15217296911960076"/>
          <c:h val="0.8584520684914385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6088679615134847E-2"/>
          <c:y val="0.10013603695158062"/>
          <c:w val="0.9839106296820157"/>
          <c:h val="0.82701067122980165"/>
        </c:manualLayout>
      </c:layout>
      <c:radarChart>
        <c:radarStyle val="marker"/>
        <c:varyColors val="0"/>
        <c:ser>
          <c:idx val="0"/>
          <c:order val="0"/>
          <c:spPr>
            <a:ln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Ranking_subprefeituras_JAN_23!$A$5:$A$36</c:f>
              <c:strCache>
                <c:ptCount val="32"/>
                <c:pt idx="0">
                  <c:v>Penha</c:v>
                </c:pt>
                <c:pt idx="1">
                  <c:v>Lapa</c:v>
                </c:pt>
                <c:pt idx="2">
                  <c:v>Campo Limpo</c:v>
                </c:pt>
                <c:pt idx="3">
                  <c:v>Mooca</c:v>
                </c:pt>
                <c:pt idx="4">
                  <c:v>Butantã</c:v>
                </c:pt>
                <c:pt idx="5">
                  <c:v>Itaquera</c:v>
                </c:pt>
                <c:pt idx="6">
                  <c:v>Vila Mariana</c:v>
                </c:pt>
                <c:pt idx="7">
                  <c:v>Pinheiros</c:v>
                </c:pt>
                <c:pt idx="8">
                  <c:v>Sé</c:v>
                </c:pt>
                <c:pt idx="9">
                  <c:v>Santo Amaro</c:v>
                </c:pt>
                <c:pt idx="10">
                  <c:v>Santana/Tucuruvi</c:v>
                </c:pt>
                <c:pt idx="11">
                  <c:v>Cidade Ademar</c:v>
                </c:pt>
                <c:pt idx="12">
                  <c:v>Ipiranga</c:v>
                </c:pt>
                <c:pt idx="13">
                  <c:v>Pirituba/Jaraguá</c:v>
                </c:pt>
                <c:pt idx="14">
                  <c:v>São Mateus</c:v>
                </c:pt>
                <c:pt idx="15">
                  <c:v>Capela do Socorro</c:v>
                </c:pt>
                <c:pt idx="16">
                  <c:v>Itaim Paulista</c:v>
                </c:pt>
                <c:pt idx="17">
                  <c:v>Vila Maria/Vila Guilherme</c:v>
                </c:pt>
                <c:pt idx="18">
                  <c:v>Casa Verde</c:v>
                </c:pt>
                <c:pt idx="19">
                  <c:v>Aricanduva</c:v>
                </c:pt>
                <c:pt idx="20">
                  <c:v>Sapopemba</c:v>
                </c:pt>
                <c:pt idx="21">
                  <c:v>Freguesia/Brasilândia</c:v>
                </c:pt>
                <c:pt idx="22">
                  <c:v>Jaçanã/Tremembé</c:v>
                </c:pt>
                <c:pt idx="23">
                  <c:v>M'Boi Mirim</c:v>
                </c:pt>
                <c:pt idx="24">
                  <c:v>Jabaquara</c:v>
                </c:pt>
                <c:pt idx="25">
                  <c:v>Vila Prudente</c:v>
                </c:pt>
                <c:pt idx="26">
                  <c:v>Ermelino Matarazzo</c:v>
                </c:pt>
                <c:pt idx="27">
                  <c:v>Guaianases</c:v>
                </c:pt>
                <c:pt idx="28">
                  <c:v>Perus</c:v>
                </c:pt>
                <c:pt idx="29">
                  <c:v>São Miguel Paulista</c:v>
                </c:pt>
                <c:pt idx="30">
                  <c:v>Cidade Tiradentes</c:v>
                </c:pt>
                <c:pt idx="31">
                  <c:v>Parelheiros</c:v>
                </c:pt>
              </c:strCache>
            </c:strRef>
          </c:cat>
          <c:val>
            <c:numRef>
              <c:f>Ranking_subprefeituras_JAN_23!$B$5:$B$36</c:f>
              <c:numCache>
                <c:formatCode>General</c:formatCode>
                <c:ptCount val="32"/>
                <c:pt idx="0">
                  <c:v>71</c:v>
                </c:pt>
                <c:pt idx="1">
                  <c:v>70</c:v>
                </c:pt>
                <c:pt idx="2">
                  <c:v>62</c:v>
                </c:pt>
                <c:pt idx="3">
                  <c:v>53</c:v>
                </c:pt>
                <c:pt idx="4">
                  <c:v>52</c:v>
                </c:pt>
                <c:pt idx="5">
                  <c:v>49</c:v>
                </c:pt>
                <c:pt idx="6">
                  <c:v>48</c:v>
                </c:pt>
                <c:pt idx="7">
                  <c:v>47</c:v>
                </c:pt>
                <c:pt idx="8">
                  <c:v>46</c:v>
                </c:pt>
                <c:pt idx="9">
                  <c:v>44</c:v>
                </c:pt>
                <c:pt idx="10">
                  <c:v>42</c:v>
                </c:pt>
                <c:pt idx="11">
                  <c:v>41</c:v>
                </c:pt>
                <c:pt idx="12">
                  <c:v>41</c:v>
                </c:pt>
                <c:pt idx="13">
                  <c:v>38</c:v>
                </c:pt>
                <c:pt idx="14">
                  <c:v>32</c:v>
                </c:pt>
                <c:pt idx="15">
                  <c:v>29</c:v>
                </c:pt>
                <c:pt idx="16">
                  <c:v>28</c:v>
                </c:pt>
                <c:pt idx="17">
                  <c:v>28</c:v>
                </c:pt>
                <c:pt idx="18">
                  <c:v>25</c:v>
                </c:pt>
                <c:pt idx="19">
                  <c:v>24</c:v>
                </c:pt>
                <c:pt idx="20">
                  <c:v>23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20</c:v>
                </c:pt>
                <c:pt idx="25">
                  <c:v>17</c:v>
                </c:pt>
                <c:pt idx="26">
                  <c:v>14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6</c:v>
                </c:pt>
                <c:pt idx="3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2D-4677-964D-691112515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201216"/>
        <c:axId val="1"/>
      </c:radarChart>
      <c:catAx>
        <c:axId val="790201216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7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90201216"/>
        <c:crosses val="autoZero"/>
        <c:crossBetween val="between"/>
        <c:majorUnit val="10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Linha do tempo denúncias - 2023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'Denúncia Protocolos 2023'!$A$6</c:f>
              <c:strCache>
                <c:ptCount val="1"/>
                <c:pt idx="0">
                  <c:v>Deferidas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92D050"/>
              </a:solidFill>
              <a:ln w="6350">
                <a:noFill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8EC-4B51-BD46-F8C885BDAC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D8EC-4B51-BD46-F8C885BDACE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D8EC-4B51-BD46-F8C885BDACE4}"/>
              </c:ext>
            </c:extLst>
          </c:dPt>
          <c:cat>
            <c:numRef>
              <c:f>'Denúncia Protocolos 2023'!$B$4:$M$4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'Denúncia Protocolos 2023'!$B$6:$M$6</c:f>
              <c:numCache>
                <c:formatCode>General</c:formatCode>
                <c:ptCount val="12"/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EC-4B51-BD46-F8C885BDACE4}"/>
            </c:ext>
          </c:extLst>
        </c:ser>
        <c:ser>
          <c:idx val="2"/>
          <c:order val="1"/>
          <c:tx>
            <c:strRef>
              <c:f>'Denúncia Protocolos 2023'!$A$7</c:f>
              <c:strCache>
                <c:ptCount val="1"/>
                <c:pt idx="0">
                  <c:v>Indeferidas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FF0000"/>
              </a:solidFill>
              <a:ln w="6350">
                <a:noFill/>
              </a:ln>
            </c:spPr>
          </c:marker>
          <c:cat>
            <c:numRef>
              <c:f>'Denúncia Protocolos 2023'!$B$4:$M$4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'Denúncia Protocolos 2023'!$B$7:$M$7</c:f>
              <c:numCache>
                <c:formatCode>General</c:formatCode>
                <c:ptCount val="12"/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8EC-4B51-BD46-F8C885BDA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030112"/>
        <c:axId val="1"/>
      </c:lineChart>
      <c:dateAx>
        <c:axId val="791030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1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Offset val="100"/>
        <c:baseTimeUnit val="month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91030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Linha do tempo protocolos - 2023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'Denúncia Protocolos 2023'!$A$10</c:f>
              <c:strCache>
                <c:ptCount val="1"/>
                <c:pt idx="0">
                  <c:v>Total denúncias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9"/>
            <c:spPr>
              <a:solidFill>
                <a:srgbClr val="FFFF00"/>
              </a:solidFill>
              <a:ln>
                <a:noFill/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24-43EB-9F50-312F8AEA63A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8824-43EB-9F50-312F8AEA63A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8824-43EB-9F50-312F8AEA63A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8824-43EB-9F50-312F8AEA63A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9-8824-43EB-9F50-312F8AEA63A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B-8824-43EB-9F50-312F8AEA63A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D-8824-43EB-9F50-312F8AEA63A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8824-43EB-9F50-312F8AEA63A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1-8824-43EB-9F50-312F8AEA63A9}"/>
              </c:ext>
            </c:extLst>
          </c:dPt>
          <c:dPt>
            <c:idx val="10"/>
            <c:marker>
              <c:symbol val="circle"/>
              <c:size val="8"/>
            </c:marker>
            <c:bubble3D val="0"/>
            <c:extLst>
              <c:ext xmlns:c16="http://schemas.microsoft.com/office/drawing/2014/chart" uri="{C3380CC4-5D6E-409C-BE32-E72D297353CC}">
                <c16:uniqueId val="{00000013-8824-43EB-9F50-312F8AEA63A9}"/>
              </c:ext>
            </c:extLst>
          </c:dPt>
          <c:dPt>
            <c:idx val="11"/>
            <c:marker>
              <c:symbol val="circle"/>
              <c:size val="8"/>
            </c:marker>
            <c:bubble3D val="0"/>
            <c:extLst>
              <c:ext xmlns:c16="http://schemas.microsoft.com/office/drawing/2014/chart" uri="{C3380CC4-5D6E-409C-BE32-E72D297353CC}">
                <c16:uniqueId val="{00000015-8824-43EB-9F50-312F8AEA63A9}"/>
              </c:ext>
            </c:extLst>
          </c:dPt>
          <c:cat>
            <c:numRef>
              <c:f>'Denúncia Protocolos 2023'!$B$4:$M$4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'Denúncia Protocolos 2023'!$B$10:$M$10</c:f>
              <c:numCache>
                <c:formatCode>General</c:formatCode>
                <c:ptCount val="12"/>
                <c:pt idx="11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8824-43EB-9F50-312F8AEA63A9}"/>
            </c:ext>
          </c:extLst>
        </c:ser>
        <c:ser>
          <c:idx val="6"/>
          <c:order val="1"/>
          <c:tx>
            <c:strRef>
              <c:f>'Denúncia Protocolos 2023'!$A$13</c:f>
              <c:strCache>
                <c:ptCount val="1"/>
                <c:pt idx="0">
                  <c:v>Reclassificadas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numRef>
              <c:f>'Denúncia Protocolos 2023'!$B$4:$M$4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'Denúncia Protocolos 2023'!$B$13:$M$13</c:f>
              <c:numCache>
                <c:formatCode>General</c:formatCode>
                <c:ptCount val="12"/>
                <c:pt idx="1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8824-43EB-9F50-312F8AEA6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029280"/>
        <c:axId val="1"/>
      </c:lineChart>
      <c:dateAx>
        <c:axId val="791029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1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Offset val="100"/>
        <c:baseTimeUnit val="months"/>
        <c:majorUnit val="1"/>
        <c:majorTimeUnit val="months"/>
      </c:dateAx>
      <c:valAx>
        <c:axId val="1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91029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Status - Protocolos aceitos como denúncias 2023 </a:t>
            </a:r>
          </a:p>
        </c:rich>
      </c:tx>
      <c:layout>
        <c:manualLayout>
          <c:xMode val="edge"/>
          <c:yMode val="edge"/>
          <c:x val="0.1225880545419627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74501740694875"/>
          <c:y val="0.11623875140607423"/>
          <c:w val="0.50790812869459578"/>
          <c:h val="0.76412964004499451"/>
        </c:manualLayout>
      </c:layout>
      <c:pieChart>
        <c:varyColors val="1"/>
        <c:ser>
          <c:idx val="0"/>
          <c:order val="0"/>
          <c:tx>
            <c:strRef>
              <c:f>'Denúncia Protocolos 2023'!$N$4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82F9-4B25-8A03-9B887EF8F66A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F9-4B25-8A03-9B887EF8F66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'Denúncia Protocolos 2023'!$A$6:$A$7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'Denúncia Protocolos 2023'!$N$6:$N$7</c:f>
              <c:numCache>
                <c:formatCode>General</c:formatCode>
                <c:ptCount val="2"/>
                <c:pt idx="0">
                  <c:v>38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F9-4B25-8A03-9B887EF8F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9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Protocolos aceitos como denúncias 2023 - tipologia</a:t>
            </a:r>
          </a:p>
        </c:rich>
      </c:tx>
      <c:layout>
        <c:manualLayout>
          <c:xMode val="edge"/>
          <c:yMode val="edge"/>
          <c:x val="0.22355514384231384"/>
          <c:y val="2.045347135346399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0"/>
    </c:view3D>
    <c:floor>
      <c:thickness val="0"/>
      <c:spPr>
        <a:noFill/>
        <a:ln>
          <a:solidFill>
            <a:schemeClr val="tx1"/>
          </a:solidFill>
        </a:ln>
        <a:effectLst/>
        <a:sp3d>
          <a:contourClr>
            <a:schemeClr val="tx1"/>
          </a:contourClr>
        </a:sp3d>
      </c:spPr>
    </c:floor>
    <c:sideWall>
      <c:thickness val="0"/>
      <c:spPr>
        <a:noFill/>
        <a:ln>
          <a:solidFill>
            <a:schemeClr val="tx1"/>
          </a:solidFill>
        </a:ln>
        <a:effectLst/>
        <a:sp3d>
          <a:contourClr>
            <a:schemeClr val="tx1"/>
          </a:contourClr>
        </a:sp3d>
      </c:spPr>
    </c:sideWall>
    <c:backWall>
      <c:thickness val="0"/>
      <c:spPr>
        <a:noFill/>
        <a:ln>
          <a:solidFill>
            <a:schemeClr val="tx1"/>
          </a:solidFill>
        </a:ln>
        <a:effectLst/>
        <a:sp3d>
          <a:contourClr>
            <a:schemeClr val="tx1"/>
          </a:contourClr>
        </a:sp3d>
      </c:spPr>
    </c:backWall>
    <c:plotArea>
      <c:layout/>
      <c:bar3DChart>
        <c:barDir val="col"/>
        <c:grouping val="standard"/>
        <c:varyColors val="0"/>
        <c:ser>
          <c:idx val="13"/>
          <c:order val="0"/>
          <c:tx>
            <c:strRef>
              <c:f>'Denúncia Protocolos 2023'!$A$48</c:f>
              <c:strCache>
                <c:ptCount val="1"/>
                <c:pt idx="0">
                  <c:v>Total indeferidas</c:v>
                </c:pt>
              </c:strCache>
            </c:strRef>
          </c:tx>
          <c:invertIfNegative val="0"/>
          <c:cat>
            <c:strRef>
              <c:f>'Denúncia Protocolos 2023'!$B$34:$H$34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Conduta inadequada de funcionário(a) público(a)</c:v>
                </c:pt>
                <c:pt idx="3">
                  <c:v>Desvio de verbas, materiais e bens públicos</c:v>
                </c:pt>
                <c:pt idx="4">
                  <c:v>Ilegalidade na gestão pública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'Denúncia Protocolos 2023'!$B$48:$H$48</c:f>
              <c:numCache>
                <c:formatCode>General</c:formatCode>
                <c:ptCount val="7"/>
                <c:pt idx="0">
                  <c:v>6</c:v>
                </c:pt>
                <c:pt idx="1">
                  <c:v>1</c:v>
                </c:pt>
                <c:pt idx="2">
                  <c:v>65</c:v>
                </c:pt>
                <c:pt idx="3">
                  <c:v>6</c:v>
                </c:pt>
                <c:pt idx="4">
                  <c:v>16</c:v>
                </c:pt>
                <c:pt idx="5">
                  <c:v>6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E-4160-AC5E-C1EA0A44EFE2}"/>
            </c:ext>
          </c:extLst>
        </c:ser>
        <c:ser>
          <c:idx val="28"/>
          <c:order val="1"/>
          <c:tx>
            <c:strRef>
              <c:f>'Denúncia Protocolos 2023'!$A$63</c:f>
              <c:strCache>
                <c:ptCount val="1"/>
                <c:pt idx="0">
                  <c:v>Total deferidas</c:v>
                </c:pt>
              </c:strCache>
            </c:strRef>
          </c:tx>
          <c:invertIfNegative val="0"/>
          <c:cat>
            <c:strRef>
              <c:f>'Denúncia Protocolos 2023'!$B$34:$H$34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Conduta inadequada de funcionário(a) público(a)</c:v>
                </c:pt>
                <c:pt idx="3">
                  <c:v>Desvio de verbas, materiais e bens públicos</c:v>
                </c:pt>
                <c:pt idx="4">
                  <c:v>Ilegalidade na gestão pública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'Denúncia Protocolos 2023'!$B$63:$H$63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11</c:v>
                </c:pt>
                <c:pt idx="3">
                  <c:v>3</c:v>
                </c:pt>
                <c:pt idx="4">
                  <c:v>8</c:v>
                </c:pt>
                <c:pt idx="5">
                  <c:v>10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E-4160-AC5E-C1EA0A44E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789933168"/>
        <c:axId val="1"/>
        <c:axId val="2"/>
      </c:bar3DChart>
      <c:catAx>
        <c:axId val="78993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89933168"/>
        <c:crosses val="autoZero"/>
        <c:crossBetween val="between"/>
      </c:valAx>
      <c:serAx>
        <c:axId val="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tickLblSkip val="1"/>
        <c:tickMarkSkip val="2"/>
      </c:ser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07020058075566E-2"/>
          <c:y val="0.19476961213181682"/>
          <c:w val="0.92022843770295581"/>
          <c:h val="0.77051556658311604"/>
        </c:manualLayout>
      </c:layout>
      <c:ofPieChart>
        <c:ofPieType val="pie"/>
        <c:varyColors val="1"/>
        <c:ser>
          <c:idx val="0"/>
          <c:order val="0"/>
          <c:tx>
            <c:strRef>
              <c:f>'Denúncia Protocolos 2023'!$Q$4</c:f>
              <c:strCache>
                <c:ptCount val="1"/>
                <c:pt idx="0">
                  <c:v>% Total 2023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0-A6E9-45F5-AF32-A0D4EBCFBBF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A6E9-45F5-AF32-A0D4EBCFBB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6E9-45F5-AF32-A0D4EBCFBB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6E9-45F5-AF32-A0D4EBCFBBF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6E9-45F5-AF32-A0D4EBCFBBFC}"/>
              </c:ext>
            </c:extLst>
          </c:dPt>
          <c:dLbls>
            <c:dLbl>
              <c:idx val="1"/>
              <c:layout>
                <c:manualLayout>
                  <c:x val="-4.6247899994095933E-2"/>
                  <c:y val="5.795204653472370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E9-45F5-AF32-A0D4EBCFBBFC}"/>
                </c:ext>
              </c:extLst>
            </c:dLbl>
            <c:dLbl>
              <c:idx val="2"/>
              <c:layout>
                <c:manualLayout>
                  <c:x val="1.0983903085733915E-3"/>
                  <c:y val="3.898220117983644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E9-45F5-AF32-A0D4EBCFBBFC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('Denúncia Protocolos 2023'!$A$6:$A$8,'Denúncia Protocolos 2023'!$A$13)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Reclassificadas</c:v>
                </c:pt>
              </c:strCache>
            </c:strRef>
          </c:cat>
          <c:val>
            <c:numRef>
              <c:f>('Denúncia Protocolos 2023'!$Q$6:$Q$8,'Denúncia Protocolos 2023'!$Q$13)</c:f>
              <c:numCache>
                <c:formatCode>0.00</c:formatCode>
                <c:ptCount val="4"/>
                <c:pt idx="0">
                  <c:v>15.139442231075698</c:v>
                </c:pt>
                <c:pt idx="1">
                  <c:v>39.840637450199203</c:v>
                </c:pt>
                <c:pt idx="2">
                  <c:v>0.39840637450199201</c:v>
                </c:pt>
                <c:pt idx="3">
                  <c:v>44.621513944223103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E9-45F5-AF32-A0D4EBCFB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Linha do tempo - Protocolos e-SIC 2023</a:t>
            </a:r>
          </a:p>
        </c:rich>
      </c:tx>
      <c:layout>
        <c:manualLayout>
          <c:xMode val="edge"/>
          <c:yMode val="edge"/>
          <c:x val="0.1589434013056060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7015362272821E-2"/>
          <c:y val="0.20738728575833465"/>
          <c:w val="0.58440588322686082"/>
          <c:h val="0.64342797511887462"/>
        </c:manualLayout>
      </c:layout>
      <c:lineChart>
        <c:grouping val="standard"/>
        <c:varyColors val="0"/>
        <c:ser>
          <c:idx val="0"/>
          <c:order val="0"/>
          <c:tx>
            <c:strRef>
              <c:f>'e-SIC 2023'!$B$5</c:f>
              <c:strCache>
                <c:ptCount val="1"/>
                <c:pt idx="0">
                  <c:v>Protocolos*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7"/>
            <c:spPr>
              <a:solidFill>
                <a:schemeClr val="tx1"/>
              </a:solidFill>
              <a:ln w="6350">
                <a:noFill/>
              </a:ln>
            </c:spPr>
          </c:marker>
          <c:trendline>
            <c:trendlineType val="linear"/>
            <c:dispRSqr val="0"/>
            <c:dispEq val="0"/>
          </c:trendline>
          <c:cat>
            <c:numRef>
              <c:f>'e-SIC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'e-SIC 2023'!$B$6:$B$17</c:f>
              <c:numCache>
                <c:formatCode>#,##0</c:formatCode>
                <c:ptCount val="12"/>
                <c:pt idx="0">
                  <c:v>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79-4172-B18F-F0CA425F1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933584"/>
        <c:axId val="1"/>
      </c:lineChart>
      <c:lineChart>
        <c:grouping val="standard"/>
        <c:varyColors val="0"/>
        <c:ser>
          <c:idx val="1"/>
          <c:order val="1"/>
          <c:tx>
            <c:strRef>
              <c:f>'e-SIC 2023'!$C$5</c:f>
              <c:strCache>
                <c:ptCount val="1"/>
                <c:pt idx="0">
                  <c:v>Variação**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6"/>
            <c:spPr>
              <a:solidFill>
                <a:srgbClr val="FFFF00"/>
              </a:solidFill>
              <a:ln cap="rnd">
                <a:solidFill>
                  <a:srgbClr val="FFC000"/>
                </a:solidFill>
              </a:ln>
            </c:spPr>
          </c:marker>
          <c:dPt>
            <c:idx val="0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2-3079-4172-B18F-F0CA425F1CFF}"/>
              </c:ext>
            </c:extLst>
          </c:dPt>
          <c:dPt>
            <c:idx val="1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4-3079-4172-B18F-F0CA425F1CFF}"/>
              </c:ext>
            </c:extLst>
          </c:dPt>
          <c:dPt>
            <c:idx val="2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6-3079-4172-B18F-F0CA425F1CFF}"/>
              </c:ext>
            </c:extLst>
          </c:dPt>
          <c:dPt>
            <c:idx val="3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8-3079-4172-B18F-F0CA425F1CFF}"/>
              </c:ext>
            </c:extLst>
          </c:dPt>
          <c:dPt>
            <c:idx val="4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A-3079-4172-B18F-F0CA425F1CFF}"/>
              </c:ext>
            </c:extLst>
          </c:dPt>
          <c:dPt>
            <c:idx val="5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C-3079-4172-B18F-F0CA425F1CFF}"/>
              </c:ext>
            </c:extLst>
          </c:dPt>
          <c:dPt>
            <c:idx val="6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0E-3079-4172-B18F-F0CA425F1CFF}"/>
              </c:ext>
            </c:extLst>
          </c:dPt>
          <c:dPt>
            <c:idx val="7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0-3079-4172-B18F-F0CA425F1CFF}"/>
              </c:ext>
            </c:extLst>
          </c:dPt>
          <c:dPt>
            <c:idx val="8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2-3079-4172-B18F-F0CA425F1CFF}"/>
              </c:ext>
            </c:extLst>
          </c:dPt>
          <c:dPt>
            <c:idx val="9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4-3079-4172-B18F-F0CA425F1CFF}"/>
              </c:ext>
            </c:extLst>
          </c:dPt>
          <c:dPt>
            <c:idx val="10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6-3079-4172-B18F-F0CA425F1CFF}"/>
              </c:ext>
            </c:extLst>
          </c:dPt>
          <c:dPt>
            <c:idx val="11"/>
            <c:bubble3D val="0"/>
            <c:spPr>
              <a:ln w="19050">
                <a:noFill/>
              </a:ln>
            </c:spPr>
            <c:extLst>
              <c:ext xmlns:c16="http://schemas.microsoft.com/office/drawing/2014/chart" uri="{C3380CC4-5D6E-409C-BE32-E72D297353CC}">
                <c16:uniqueId val="{00000018-3079-4172-B18F-F0CA425F1CFF}"/>
              </c:ext>
            </c:extLst>
          </c:dPt>
          <c:cat>
            <c:numRef>
              <c:f>'e-SIC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'e-SIC 2023'!$C$6:$C$17</c:f>
              <c:numCache>
                <c:formatCode>0.00</c:formatCode>
                <c:ptCount val="12"/>
                <c:pt idx="0">
                  <c:v>63.963963963963963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079-4172-B18F-F0CA425F1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789933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mmm\-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21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Offset val="100"/>
        <c:baseTimeUnit val="month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Protocolos</a:t>
                </a:r>
              </a:p>
            </c:rich>
          </c:tx>
          <c:layout>
            <c:manualLayout>
              <c:xMode val="edge"/>
              <c:yMode val="edge"/>
              <c:x val="2.0125849653408707E-2"/>
              <c:y val="9.411721298415971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89933584"/>
        <c:crosses val="autoZero"/>
        <c:crossBetween val="between"/>
      </c:valAx>
      <c:dateAx>
        <c:axId val="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100"/>
          <c:min val="-100"/>
        </c:scaling>
        <c:delete val="0"/>
        <c:axPos val="r"/>
        <c:numFmt formatCode="0.00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047333826861397"/>
          <c:y val="0.31430722916823894"/>
          <c:w val="0.2141420463467707"/>
          <c:h val="0.5015524976310868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10 órgãos + demandados - MÉDIA 2023</a:t>
            </a:r>
          </a:p>
        </c:rich>
      </c:tx>
      <c:layout>
        <c:manualLayout>
          <c:xMode val="edge"/>
          <c:yMode val="edge"/>
          <c:x val="0.16432979094396416"/>
          <c:y val="1.04986876640419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516509736982179"/>
          <c:y val="0.14752199282176343"/>
          <c:w val="0.56175797955325513"/>
          <c:h val="0.84337418452614688"/>
        </c:manualLayout>
      </c:layout>
      <c:pieChart>
        <c:varyColors val="1"/>
        <c:ser>
          <c:idx val="11"/>
          <c:order val="0"/>
          <c:tx>
            <c:strRef>
              <c:f>'e-SIC 2023'!$O$101</c:f>
              <c:strCache>
                <c:ptCount val="1"/>
                <c:pt idx="0">
                  <c:v>Média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94-4740-B309-B427A30A2A5F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E94-4740-B309-B427A30A2A5F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2-EE94-4740-B309-B427A30A2A5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E94-4740-B309-B427A30A2A5F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EE94-4740-B309-B427A30A2A5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E94-4740-B309-B427A30A2A5F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6-EE94-4740-B309-B427A30A2A5F}"/>
              </c:ext>
            </c:extLst>
          </c:dPt>
          <c:dPt>
            <c:idx val="7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7-EE94-4740-B309-B427A30A2A5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E94-4740-B309-B427A30A2A5F}"/>
              </c:ext>
            </c:extLst>
          </c:dPt>
          <c:dPt>
            <c:idx val="9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EE94-4740-B309-B427A30A2A5F}"/>
              </c:ext>
            </c:extLst>
          </c:dPt>
          <c:dLbls>
            <c:dLbl>
              <c:idx val="0"/>
              <c:layout>
                <c:manualLayout>
                  <c:x val="-0.12289888589101179"/>
                  <c:y val="0.125395113012448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94-4740-B309-B427A30A2A5F}"/>
                </c:ext>
              </c:extLst>
            </c:dLbl>
            <c:dLbl>
              <c:idx val="6"/>
              <c:layout>
                <c:manualLayout>
                  <c:x val="7.9703393719141757E-2"/>
                  <c:y val="8.90101335758226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94-4740-B309-B427A30A2A5F}"/>
                </c:ext>
              </c:extLst>
            </c:dLbl>
            <c:dLbl>
              <c:idx val="7"/>
              <c:layout>
                <c:manualLayout>
                  <c:x val="6.2057155442982126E-2"/>
                  <c:y val="0.112599940755437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94-4740-B309-B427A30A2A5F}"/>
                </c:ext>
              </c:extLst>
            </c:dLbl>
            <c:dLbl>
              <c:idx val="8"/>
              <c:layout>
                <c:manualLayout>
                  <c:x val="4.4043463098581211E-2"/>
                  <c:y val="0.1118953437906875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94-4740-B309-B427A30A2A5F}"/>
                </c:ext>
              </c:extLst>
            </c:dLbl>
            <c:dLbl>
              <c:idx val="9"/>
              <c:layout>
                <c:manualLayout>
                  <c:x val="1.9718994915845223E-2"/>
                  <c:y val="0.1119443927776744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94-4740-B309-B427A30A2A5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'e-SIC 2023'!$A$102:$A$111</c:f>
              <c:strCache>
                <c:ptCount val="10"/>
                <c:pt idx="0">
                  <c:v>SMS</c:v>
                </c:pt>
                <c:pt idx="1">
                  <c:v>CET</c:v>
                </c:pt>
                <c:pt idx="2">
                  <c:v>SPTrans</c:v>
                </c:pt>
                <c:pt idx="3">
                  <c:v>SF</c:v>
                </c:pt>
                <c:pt idx="4">
                  <c:v>SME</c:v>
                </c:pt>
                <c:pt idx="5">
                  <c:v>SMSUB</c:v>
                </c:pt>
                <c:pt idx="6">
                  <c:v>SMT</c:v>
                </c:pt>
                <c:pt idx="7">
                  <c:v>SMUL</c:v>
                </c:pt>
                <c:pt idx="8">
                  <c:v>SMC</c:v>
                </c:pt>
                <c:pt idx="9">
                  <c:v>SEHAB</c:v>
                </c:pt>
              </c:strCache>
            </c:strRef>
          </c:cat>
          <c:val>
            <c:numRef>
              <c:f>'e-SIC 2023'!$O$102:$O$111</c:f>
              <c:numCache>
                <c:formatCode>0</c:formatCode>
                <c:ptCount val="10"/>
                <c:pt idx="0">
                  <c:v>154</c:v>
                </c:pt>
                <c:pt idx="1">
                  <c:v>55</c:v>
                </c:pt>
                <c:pt idx="2">
                  <c:v>52</c:v>
                </c:pt>
                <c:pt idx="3">
                  <c:v>46</c:v>
                </c:pt>
                <c:pt idx="4">
                  <c:v>38</c:v>
                </c:pt>
                <c:pt idx="5">
                  <c:v>30</c:v>
                </c:pt>
                <c:pt idx="6">
                  <c:v>20</c:v>
                </c:pt>
                <c:pt idx="7">
                  <c:v>20</c:v>
                </c:pt>
                <c:pt idx="8">
                  <c:v>15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94-4740-B309-B427A30A2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FF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xMode val="edge"/>
          <c:yMode val="edge"/>
          <c:x val="1.080624084111542E-3"/>
          <c:y val="0.20221045975930521"/>
          <c:w val="0.69346558895631316"/>
          <c:h val="0.790930206560757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JAN/23</c:v>
                </c:pt>
              </c:strCache>
            </c:strRef>
          </c:cat>
          <c:val>
            <c:numRef>
              <c:f>Canais_atendimento!$Q$5</c:f>
              <c:numCache>
                <c:formatCode>0.0</c:formatCode>
                <c:ptCount val="1"/>
                <c:pt idx="0">
                  <c:v>0.11373976342129208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4-4283-80F1-AC67D268375E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JAN/23</c:v>
                </c:pt>
              </c:strCache>
            </c:strRef>
          </c:cat>
          <c:val>
            <c:numRef>
              <c:f>Canais_atendimento!$Q$6</c:f>
              <c:numCache>
                <c:formatCode>0.0</c:formatCode>
                <c:ptCount val="1"/>
                <c:pt idx="0">
                  <c:v>33.89444949954504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94-4283-80F1-AC67D268375E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E94-4283-80F1-AC67D268375E}"/>
              </c:ext>
            </c:extLst>
          </c:dPt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E94-4283-80F1-AC67D268375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JAN/23</c:v>
                </c:pt>
              </c:strCache>
            </c:strRef>
          </c:cat>
          <c:val>
            <c:numRef>
              <c:f>Canais_atendimento!$Q$7</c:f>
              <c:numCache>
                <c:formatCode>0.0</c:formatCode>
                <c:ptCount val="1"/>
                <c:pt idx="0">
                  <c:v>17.902638762511373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94-4283-80F1-AC67D268375E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Canais_atendimento!$Q$4</c:f>
              <c:strCache>
                <c:ptCount val="1"/>
                <c:pt idx="0">
                  <c:v>% Canais de entrada JAN/23</c:v>
                </c:pt>
              </c:strCache>
            </c:strRef>
          </c:cat>
          <c:val>
            <c:numRef>
              <c:f>Canais_atendimento!$Q$8</c:f>
              <c:numCache>
                <c:formatCode>0.0</c:formatCode>
                <c:ptCount val="1"/>
                <c:pt idx="0">
                  <c:v>0.2502274795268426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94-4283-80F1-AC67D268375E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</c:spPr>
          <c:invertIfNegative val="0"/>
          <c:dLbls>
            <c:dLbl>
              <c:idx val="0"/>
              <c:layout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E94-4283-80F1-AC67D268375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JAN/23</c:v>
                </c:pt>
              </c:strCache>
            </c:strRef>
          </c:cat>
          <c:val>
            <c:numRef>
              <c:f>Canais_atendimento!$Q$9</c:f>
              <c:numCache>
                <c:formatCode>0.0</c:formatCode>
                <c:ptCount val="1"/>
                <c:pt idx="0">
                  <c:v>45.427661510464056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94-4283-80F1-AC67D268375E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Canais_atendimento!$Q$4</c:f>
              <c:strCache>
                <c:ptCount val="1"/>
                <c:pt idx="0">
                  <c:v>% Canais de entrada JAN/23</c:v>
                </c:pt>
              </c:strCache>
            </c:strRef>
          </c:cat>
          <c:val>
            <c:numRef>
              <c:f>Canais_atendimento!$Q$10</c:f>
              <c:numCache>
                <c:formatCode>0.0</c:formatCode>
                <c:ptCount val="1"/>
                <c:pt idx="0">
                  <c:v>2.4112829845313923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94-4283-80F1-AC67D2683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1029696"/>
        <c:axId val="1"/>
      </c:barChart>
      <c:catAx>
        <c:axId val="79102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.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91029696"/>
        <c:crosses val="autoZero"/>
        <c:crossBetween val="between"/>
        <c:majorUnit val="10"/>
      </c:valAx>
      <c:spPr>
        <a:solidFill>
          <a:srgbClr val="FFFFFF"/>
        </a:solidFill>
        <a:ln>
          <a:noFill/>
        </a:ln>
      </c:spPr>
    </c:plotArea>
    <c:legend>
      <c:legendPos val="r"/>
      <c:legendEntry>
        <c:idx val="3"/>
        <c:txPr>
          <a:bodyPr/>
          <a:lstStyle/>
          <a:p>
            <a:pPr>
              <a:defRPr sz="92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legendEntry>
      <c:layout>
        <c:manualLayout>
          <c:xMode val="edge"/>
          <c:yMode val="edge"/>
          <c:x val="0.71965925673829079"/>
          <c:y val="7.6349543166792336E-2"/>
          <c:w val="0.27153030232714037"/>
          <c:h val="0.91189800606772708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Instância de decisões - JANEIRO_23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areaChart>
        <c:grouping val="standard"/>
        <c:varyColors val="0"/>
        <c:ser>
          <c:idx val="4"/>
          <c:order val="0"/>
          <c:tx>
            <c:strRef>
              <c:f>'e-SIC 2023'!$AE$22</c:f>
              <c:strCache>
                <c:ptCount val="1"/>
                <c:pt idx="0">
                  <c:v>jan/23</c:v>
                </c:pt>
              </c:strCache>
            </c:strRef>
          </c:tx>
          <c:spPr>
            <a:ln w="25400">
              <a:noFill/>
            </a:ln>
          </c:spPr>
          <c:cat>
            <c:strRef>
              <c:f>('e-SIC 2023'!$S$27,'e-SIC 2023'!$S$33,'e-SIC 2023'!$S$39,'e-SIC 2023'!$S$42,'e-SIC 2023'!$S$47)</c:f>
              <c:strCache>
                <c:ptCount val="5"/>
                <c:pt idx="0">
                  <c:v>Total (decisões iniciais)</c:v>
                </c:pt>
                <c:pt idx="1">
                  <c:v>Total (decisões 1ª instância)</c:v>
                </c:pt>
                <c:pt idx="2">
                  <c:v>Total (decisões 2ª instância)</c:v>
                </c:pt>
                <c:pt idx="3">
                  <c:v>Recurso de Ofício (RO)</c:v>
                </c:pt>
                <c:pt idx="4">
                  <c:v>Total (decisões 3ª instância)</c:v>
                </c:pt>
              </c:strCache>
            </c:strRef>
          </c:cat>
          <c:val>
            <c:numRef>
              <c:f>('e-SIC 2023'!$AE$27,'e-SIC 2023'!$AE$33,'e-SIC 2023'!$AE$39,'e-SIC 2023'!$AE$42,'e-SIC 2023'!$AE$47)</c:f>
              <c:numCache>
                <c:formatCode>General</c:formatCode>
                <c:ptCount val="5"/>
                <c:pt idx="0">
                  <c:v>580</c:v>
                </c:pt>
                <c:pt idx="1">
                  <c:v>63</c:v>
                </c:pt>
                <c:pt idx="2">
                  <c:v>53</c:v>
                </c:pt>
                <c:pt idx="3">
                  <c:v>15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F-4D2A-93BF-FB7A21FF0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938992"/>
        <c:axId val="1"/>
      </c:areaChart>
      <c:catAx>
        <c:axId val="78993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89938992"/>
        <c:crosses val="autoZero"/>
        <c:crossBetween val="midCat"/>
        <c:majorUnit val="5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 rtl="0"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</c:dTable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Serviços mais demandados de  JANEIRO/23</a:t>
            </a:r>
            <a:r>
              <a:rPr lang="pt-BR" sz="1400" b="1" i="1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 </a:t>
            </a: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Potocolos Pandemia</a:t>
            </a:r>
          </a:p>
        </c:rich>
      </c:tx>
      <c:layout>
        <c:manualLayout>
          <c:xMode val="edge"/>
          <c:yMode val="edge"/>
          <c:x val="0.25851760497809256"/>
          <c:y val="1.7057619863632748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059520785708242E-2"/>
          <c:y val="0.15768469239852481"/>
          <c:w val="0.53901846946551035"/>
          <c:h val="0.7050428397942794"/>
        </c:manualLayout>
      </c:layout>
      <c:pie3DChart>
        <c:varyColors val="1"/>
        <c:ser>
          <c:idx val="0"/>
          <c:order val="0"/>
          <c:tx>
            <c:strRef>
              <c:f>Pandemia!$C$4</c:f>
              <c:strCache>
                <c:ptCount val="1"/>
                <c:pt idx="0">
                  <c:v>Quantidade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BE1D-49B4-AA20-81C0A491D7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E1D-49B4-AA20-81C0A491D7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BE1D-49B4-AA20-81C0A491D7F1}"/>
              </c:ext>
            </c:extLst>
          </c:dPt>
          <c:dPt>
            <c:idx val="3"/>
            <c:bubble3D val="0"/>
            <c:spPr>
              <a:solidFill>
                <a:srgbClr val="FF00FF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E1D-49B4-AA20-81C0A491D7F1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BE1D-49B4-AA20-81C0A491D7F1}"/>
              </c:ext>
            </c:extLst>
          </c:dPt>
          <c:dLbls>
            <c:dLbl>
              <c:idx val="0"/>
              <c:layout>
                <c:manualLayout>
                  <c:x val="-5.5079179359608162E-2"/>
                  <c:y val="3.44489996601664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E1D-49B4-AA20-81C0A491D7F1}"/>
                </c:ext>
              </c:extLst>
            </c:dLbl>
            <c:dLbl>
              <c:idx val="1"/>
              <c:layout>
                <c:manualLayout>
                  <c:x val="-0.11226933982649759"/>
                  <c:y val="-0.321574513929560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1D-49B4-AA20-81C0A491D7F1}"/>
                </c:ext>
              </c:extLst>
            </c:dLbl>
            <c:dLbl>
              <c:idx val="2"/>
              <c:layout>
                <c:manualLayout>
                  <c:x val="0.12839220398654985"/>
                  <c:y val="-2.0832519901954069E-3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33%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E1D-49B4-AA20-81C0A491D7F1}"/>
                </c:ext>
              </c:extLst>
            </c:dLbl>
            <c:dLbl>
              <c:idx val="3"/>
              <c:layout>
                <c:manualLayout>
                  <c:x val="2.2564729609601947E-2"/>
                  <c:y val="-1.39378032291418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1D-49B4-AA20-81C0A491D7F1}"/>
                </c:ext>
              </c:extLst>
            </c:dLbl>
            <c:dLbl>
              <c:idx val="4"/>
              <c:layout>
                <c:manualLayout>
                  <c:x val="-2.2727550622437257E-2"/>
                  <c:y val="-2.5875360621244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E1D-49B4-AA20-81C0A491D7F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Pandemia!$B$5:$B$9</c:f>
              <c:strCache>
                <c:ptCount val="5"/>
                <c:pt idx="0">
                  <c:v>Manifestação livre</c:v>
                </c:pt>
                <c:pt idx="1">
                  <c:v>Material escolar</c:v>
                </c:pt>
                <c:pt idx="2">
                  <c:v>Renda Básica Emergencial </c:v>
                </c:pt>
                <c:pt idx="3">
                  <c:v>Vacinas</c:v>
                </c:pt>
                <c:pt idx="4">
                  <c:v>Denunciar irregularidade da contratação e/ou gestão de serviço público</c:v>
                </c:pt>
              </c:strCache>
            </c:strRef>
          </c:cat>
          <c:val>
            <c:numRef>
              <c:f>Pandemia!$C$5:$C$9</c:f>
              <c:numCache>
                <c:formatCode>General</c:formatCode>
                <c:ptCount val="5"/>
                <c:pt idx="0">
                  <c:v>0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1D-49B4-AA20-81C0A491D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885782851440751"/>
          <c:y val="9.1205541456078315E-2"/>
          <c:w val="0.37995326889359715"/>
          <c:h val="0.888346312082890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Tipo de manifestação JANEIRO/2023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2870023303862669E-2"/>
          <c:y val="0.11558236808725186"/>
          <c:w val="0.94594590212377683"/>
          <c:h val="0.78160646496046682"/>
        </c:manualLayout>
      </c:layout>
      <c:barChart>
        <c:barDir val="col"/>
        <c:grouping val="stacked"/>
        <c:varyColors val="1"/>
        <c:ser>
          <c:idx val="11"/>
          <c:order val="0"/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0072-461D-BA2F-449148C28C65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0072-461D-BA2F-449148C28C65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2-0072-461D-BA2F-449148C28C65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0072-461D-BA2F-449148C28C65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0072-461D-BA2F-449148C28C6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Protocolos!$P$19:$P$23</c:f>
              <c:numCache>
                <c:formatCode>General</c:formatCode>
                <c:ptCount val="5"/>
                <c:pt idx="0">
                  <c:v>139</c:v>
                </c:pt>
                <c:pt idx="1">
                  <c:v>67</c:v>
                </c:pt>
                <c:pt idx="2">
                  <c:v>3881</c:v>
                </c:pt>
                <c:pt idx="3">
                  <c:v>253</c:v>
                </c:pt>
                <c:pt idx="4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72-461D-BA2F-449148C28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0199552"/>
        <c:axId val="1"/>
      </c:barChart>
      <c:catAx>
        <c:axId val="79019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114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90199552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de manifestação -Total - 2023</a:t>
            </a:r>
          </a:p>
        </c:rich>
      </c:tx>
      <c:layout>
        <c:manualLayout>
          <c:xMode val="edge"/>
          <c:yMode val="edge"/>
          <c:x val="0.18135796109598448"/>
          <c:y val="1.4513726324749947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306224311889068E-2"/>
          <c:y val="0.21393814903571837"/>
          <c:w val="0.59133165908218321"/>
          <c:h val="0.76579286284866577"/>
        </c:manualLayout>
      </c:layout>
      <c:pieChart>
        <c:varyColors val="1"/>
        <c:ser>
          <c:idx val="13"/>
          <c:order val="0"/>
          <c:dPt>
            <c:idx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9712-4063-9B03-5A4CDB9A77F5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9712-4063-9B03-5A4CDB9A77F5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2-9712-4063-9B03-5A4CDB9A77F5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3-9712-4063-9B03-5A4CDB9A77F5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4-9712-4063-9B03-5A4CDB9A77F5}"/>
              </c:ext>
            </c:extLst>
          </c:dPt>
          <c:dLbls>
            <c:dLbl>
              <c:idx val="0"/>
              <c:layout>
                <c:manualLayout>
                  <c:x val="-7.706590633005465E-3"/>
                  <c:y val="6.74155947897817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12-4063-9B03-5A4CDB9A77F5}"/>
                </c:ext>
              </c:extLst>
            </c:dLbl>
            <c:dLbl>
              <c:idx val="1"/>
              <c:layout>
                <c:manualLayout>
                  <c:x val="1.4947660954146014E-3"/>
                  <c:y val="-1.53503051382380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12-4063-9B03-5A4CDB9A77F5}"/>
                </c:ext>
              </c:extLst>
            </c:dLbl>
            <c:dLbl>
              <c:idx val="2"/>
              <c:layout>
                <c:manualLayout>
                  <c:x val="-3.4785915911454461E-2"/>
                  <c:y val="-0.223382342693888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12-4063-9B03-5A4CDB9A77F5}"/>
                </c:ext>
              </c:extLst>
            </c:dLbl>
            <c:dLbl>
              <c:idx val="3"/>
              <c:layout>
                <c:manualLayout>
                  <c:x val="4.3009795765701277E-2"/>
                  <c:y val="9.98819712753297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12-4063-9B03-5A4CDB9A77F5}"/>
                </c:ext>
              </c:extLst>
            </c:dLbl>
            <c:dLbl>
              <c:idx val="4"/>
              <c:layout>
                <c:manualLayout>
                  <c:x val="-5.0342884043671508E-2"/>
                  <c:y val="-2.73846204007107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12-4063-9B03-5A4CDB9A77F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12-4063-9B03-5A4CDB9A77F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Protocolos!$R$19:$R$23</c:f>
              <c:numCache>
                <c:formatCode>0.0</c:formatCode>
                <c:ptCount val="5"/>
                <c:pt idx="0">
                  <c:v>3.1619654231119196</c:v>
                </c:pt>
                <c:pt idx="1">
                  <c:v>1.5241128298453139</c:v>
                </c:pt>
                <c:pt idx="2">
                  <c:v>88.284804367606924</c:v>
                </c:pt>
                <c:pt idx="3">
                  <c:v>5.75523202911738</c:v>
                </c:pt>
                <c:pt idx="4">
                  <c:v>1.2738853503184715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12-4063-9B03-5A4CDB9A7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22294993499644"/>
          <c:y val="0.33121373341845783"/>
          <c:w val="0.19979370569333044"/>
          <c:h val="0.42528102906055665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Protocolos - Linha do Tempo 2023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270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cat>
            <c:numRef>
              <c:f>Protocolos!$A$5:$A$16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Protocolos!$B$5:$B$16</c:f>
              <c:numCache>
                <c:formatCode>#,##0</c:formatCode>
                <c:ptCount val="12"/>
                <c:pt idx="0">
                  <c:v>4396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EC-4615-84A6-FE8903FD6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948672"/>
        <c:axId val="1"/>
      </c:lineChart>
      <c:dateAx>
        <c:axId val="789948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162000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Offset val="100"/>
        <c:baseTimeUnit val="months"/>
        <c:majorUnit val="1"/>
        <c:maj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89948672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10 assuntos mais demandados - Média/2023</a:t>
            </a:r>
          </a:p>
        </c:rich>
      </c:tx>
      <c:layout>
        <c:manualLayout>
          <c:xMode val="edge"/>
          <c:yMode val="edge"/>
          <c:x val="0.11865926595241168"/>
          <c:y val="3.32513553915996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0222226271966521"/>
          <c:y val="0.11856762293740715"/>
          <c:w val="0.56182022450145763"/>
          <c:h val="0.80127686034258194"/>
        </c:manualLayout>
      </c:layout>
      <c:barChart>
        <c:barDir val="bar"/>
        <c:grouping val="clustered"/>
        <c:varyColors val="0"/>
        <c:ser>
          <c:idx val="3"/>
          <c:order val="0"/>
          <c:spPr>
            <a:solidFill>
              <a:srgbClr val="BFBFBF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442-4229-95A1-1D9E8E87F3C6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442-4229-95A1-1D9E8E87F3C6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442-4229-95A1-1D9E8E87F3C6}"/>
              </c:ext>
            </c:extLst>
          </c:dPt>
          <c:dPt>
            <c:idx val="4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442-4229-95A1-1D9E8E87F3C6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442-4229-95A1-1D9E8E87F3C6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442-4229-95A1-1D9E8E87F3C6}"/>
              </c:ext>
            </c:extLst>
          </c:dPt>
          <c:dPt>
            <c:idx val="7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442-4229-95A1-1D9E8E87F3C6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442-4229-95A1-1D9E8E87F3C6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442-4229-95A1-1D9E8E87F3C6}"/>
              </c:ext>
            </c:extLst>
          </c:dPt>
          <c:cat>
            <c:strRef>
              <c:f>'10_Assuntos_+_demadados_2023'!$A$7:$A$16</c:f>
              <c:strCache>
                <c:ptCount val="10"/>
                <c:pt idx="0">
                  <c:v>Cadastro Único (CadÚnico)</c:v>
                </c:pt>
                <c:pt idx="1">
                  <c:v>Qualidade de atendimento</c:v>
                </c:pt>
                <c:pt idx="2">
                  <c:v>Árvore</c:v>
                </c:pt>
                <c:pt idx="3">
                  <c:v>Buraco e pavimentação</c:v>
                </c:pt>
                <c:pt idx="4">
                  <c:v>Poluição Sonora - PSIU</c:v>
                </c:pt>
                <c:pt idx="5">
                  <c:v>Multas de trânsito</c:v>
                </c:pt>
                <c:pt idx="6">
                  <c:v>Processo Administrativo</c:v>
                </c:pt>
                <c:pt idx="7">
                  <c:v>Sinalização e Circulação de Veículos e Pedestres</c:v>
                </c:pt>
                <c:pt idx="8">
                  <c:v>Drenagem de água de chuva</c:v>
                </c:pt>
                <c:pt idx="9">
                  <c:v>Estabelecimentos comerciais, indústrias e serviços</c:v>
                </c:pt>
              </c:strCache>
            </c:strRef>
          </c:cat>
          <c:val>
            <c:numRef>
              <c:f>'10_Assuntos_+_demadados_2023'!$O$7:$O$16</c:f>
              <c:numCache>
                <c:formatCode>0</c:formatCode>
                <c:ptCount val="10"/>
                <c:pt idx="0">
                  <c:v>501</c:v>
                </c:pt>
                <c:pt idx="1">
                  <c:v>337</c:v>
                </c:pt>
                <c:pt idx="2">
                  <c:v>301</c:v>
                </c:pt>
                <c:pt idx="3">
                  <c:v>263</c:v>
                </c:pt>
                <c:pt idx="4">
                  <c:v>239</c:v>
                </c:pt>
                <c:pt idx="5">
                  <c:v>151</c:v>
                </c:pt>
                <c:pt idx="6">
                  <c:v>138</c:v>
                </c:pt>
                <c:pt idx="7">
                  <c:v>129</c:v>
                </c:pt>
                <c:pt idx="8">
                  <c:v>118</c:v>
                </c:pt>
                <c:pt idx="9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442-4229-95A1-1D9E8E87F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824349184"/>
        <c:axId val="1"/>
      </c:barChart>
      <c:catAx>
        <c:axId val="824349184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b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24349184"/>
        <c:crosses val="autoZero"/>
        <c:crossBetween val="between"/>
      </c:valAx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em relação ao todo de JAN/23 (exetuando-se denúncias)</a:t>
            </a:r>
          </a:p>
        </c:rich>
      </c:tx>
      <c:layout>
        <c:manualLayout>
          <c:xMode val="edge"/>
          <c:yMode val="edge"/>
          <c:x val="9.1135577749750975E-3"/>
          <c:y val="1.7184393401602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078738623950909E-2"/>
          <c:y val="0.11583103666145671"/>
          <c:w val="0.62612779091973203"/>
          <c:h val="0.847992917938596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3671-4171-A43E-D5F92CC2615E}"/>
              </c:ext>
            </c:extLst>
          </c:dPt>
          <c:dPt>
            <c:idx val="1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671-4171-A43E-D5F92CC2615E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671-4171-A43E-D5F92CC261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71-4171-A43E-D5F92CC261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671-4171-A43E-D5F92CC2615E}"/>
              </c:ext>
            </c:extLst>
          </c:dPt>
          <c:dPt>
            <c:idx val="5"/>
            <c:bubble3D val="0"/>
            <c:spPr>
              <a:solidFill>
                <a:srgbClr val="99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671-4171-A43E-D5F92CC2615E}"/>
              </c:ext>
            </c:extLst>
          </c:dPt>
          <c:dPt>
            <c:idx val="6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671-4171-A43E-D5F92CC2615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671-4171-A43E-D5F92CC2615E}"/>
              </c:ext>
            </c:extLst>
          </c:dPt>
          <c:dPt>
            <c:idx val="8"/>
            <c:bubble3D val="0"/>
            <c:spPr>
              <a:solidFill>
                <a:srgbClr val="00FF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671-4171-A43E-D5F92CC2615E}"/>
              </c:ext>
            </c:extLst>
          </c:dPt>
          <c:dPt>
            <c:idx val="9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671-4171-A43E-D5F92CC2615E}"/>
              </c:ext>
            </c:extLst>
          </c:dPt>
          <c:dPt>
            <c:idx val="1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671-4171-A43E-D5F92CC2615E}"/>
              </c:ext>
            </c:extLst>
          </c:dPt>
          <c:dPt>
            <c:idx val="1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671-4171-A43E-D5F92CC2615E}"/>
              </c:ext>
            </c:extLst>
          </c:dPt>
          <c:dLbls>
            <c:dLbl>
              <c:idx val="10"/>
              <c:layout>
                <c:manualLayout>
                  <c:x val="4.1004824678789659E-2"/>
                  <c:y val="-4.27770416475843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71-4171-A43E-D5F92CC2615E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671-4171-A43E-D5F92CC2615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('10_Assuntos_+_demadados_2023'!$A$7:$A$16,'10_Assuntos_+_demadados_2023'!$A$18)</c:f>
              <c:strCache>
                <c:ptCount val="11"/>
                <c:pt idx="0">
                  <c:v>Cadastro Único (CadÚnico)</c:v>
                </c:pt>
                <c:pt idx="1">
                  <c:v>Qualidade de atendimento</c:v>
                </c:pt>
                <c:pt idx="2">
                  <c:v>Árvore</c:v>
                </c:pt>
                <c:pt idx="3">
                  <c:v>Buraco e pavimentação</c:v>
                </c:pt>
                <c:pt idx="4">
                  <c:v>Poluição Sonora - PSIU</c:v>
                </c:pt>
                <c:pt idx="5">
                  <c:v>Multas de trânsito</c:v>
                </c:pt>
                <c:pt idx="6">
                  <c:v>Processo Administrativo</c:v>
                </c:pt>
                <c:pt idx="7">
                  <c:v>Sinalização e Circulação de Veículos e Pedestres</c:v>
                </c:pt>
                <c:pt idx="8">
                  <c:v>Drenagem de água de chuva</c:v>
                </c:pt>
                <c:pt idx="9">
                  <c:v>Estabelecimentos comerciais, indústrias e serviços</c:v>
                </c:pt>
                <c:pt idx="10">
                  <c:v>Outros</c:v>
                </c:pt>
              </c:strCache>
            </c:strRef>
          </c:cat>
          <c:val>
            <c:numRef>
              <c:f>('10_Assuntos_+_demadados_2023'!$P$7:$P$16,'10_Assuntos_+_demadados_2023'!$P$18)</c:f>
              <c:numCache>
                <c:formatCode>0.00</c:formatCode>
                <c:ptCount val="11"/>
                <c:pt idx="0">
                  <c:v>11.768851303735024</c:v>
                </c:pt>
                <c:pt idx="1">
                  <c:v>7.9163730326521025</c:v>
                </c:pt>
                <c:pt idx="2">
                  <c:v>7.0707070707070709</c:v>
                </c:pt>
                <c:pt idx="3">
                  <c:v>6.1780596664317597</c:v>
                </c:pt>
                <c:pt idx="4">
                  <c:v>5.6142823584684054</c:v>
                </c:pt>
                <c:pt idx="5">
                  <c:v>3.5470988959361054</c:v>
                </c:pt>
                <c:pt idx="6">
                  <c:v>3.2417195207892884</c:v>
                </c:pt>
                <c:pt idx="7">
                  <c:v>3.0303030303030303</c:v>
                </c:pt>
                <c:pt idx="8">
                  <c:v>2.7719050974864929</c:v>
                </c:pt>
                <c:pt idx="9">
                  <c:v>2.6544514916607942</c:v>
                </c:pt>
                <c:pt idx="10">
                  <c:v>46.206248531829928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671-4171-A43E-D5F92CC26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25071487276213"/>
          <c:y val="1.1477839881413786E-2"/>
          <c:w val="0.30874928512723787"/>
          <c:h val="0.9885221601185861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Média - 10 assuntos mais demandados dos 3 últimos meses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'ASSUNTOS_10+_últimos_3_meses'!$F$6:$F$6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445-4E59-AF9B-253C3D7F3F27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445-4E59-AF9B-253C3D7F3F27}"/>
              </c:ext>
            </c:extLst>
          </c:dPt>
          <c:dPt>
            <c:idx val="2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445-4E59-AF9B-253C3D7F3F27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445-4E59-AF9B-253C3D7F3F27}"/>
              </c:ext>
            </c:extLst>
          </c:dPt>
          <c:dPt>
            <c:idx val="4"/>
            <c:invertIfNegative val="0"/>
            <c:bubble3D val="0"/>
            <c:spPr>
              <a:solidFill>
                <a:srgbClr val="FF66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445-4E59-AF9B-253C3D7F3F27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445-4E59-AF9B-253C3D7F3F27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0445-4E59-AF9B-253C3D7F3F27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0445-4E59-AF9B-253C3D7F3F27}"/>
              </c:ext>
            </c:extLst>
          </c:dPt>
          <c:dPt>
            <c:idx val="8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0445-4E59-AF9B-253C3D7F3F27}"/>
              </c:ext>
            </c:extLst>
          </c:dPt>
          <c:dPt>
            <c:idx val="9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445-4E59-AF9B-253C3D7F3F27}"/>
              </c:ext>
            </c:extLst>
          </c:dPt>
          <c:cat>
            <c:strRef>
              <c:f>'ASSUNTOS_10+_últimos_3_meses'!$A$7:$A$16</c:f>
              <c:strCache>
                <c:ptCount val="10"/>
                <c:pt idx="0">
                  <c:v>Cadastro Único (CadÚnico)</c:v>
                </c:pt>
                <c:pt idx="1">
                  <c:v>Qualidade de atendimento</c:v>
                </c:pt>
                <c:pt idx="2">
                  <c:v>Árvore</c:v>
                </c:pt>
                <c:pt idx="3">
                  <c:v>Buraco e pavimentação</c:v>
                </c:pt>
                <c:pt idx="4">
                  <c:v>Poluição sonora - PSIU</c:v>
                </c:pt>
                <c:pt idx="5">
                  <c:v>Processo Administrativo</c:v>
                </c:pt>
                <c:pt idx="6">
                  <c:v>Multas de trânsito</c:v>
                </c:pt>
                <c:pt idx="7">
                  <c:v>Sinalização e Circulação de veículos e Pedestres</c:v>
                </c:pt>
                <c:pt idx="8">
                  <c:v>Estabelecimentos comerciais, indústrias e serviços</c:v>
                </c:pt>
                <c:pt idx="9">
                  <c:v>Veículos abandonados</c:v>
                </c:pt>
              </c:strCache>
            </c:strRef>
          </c:cat>
          <c:val>
            <c:numRef>
              <c:f>'ASSUNTOS_10+_últimos_3_meses'!$F$7:$F$16</c:f>
              <c:numCache>
                <c:formatCode>0</c:formatCode>
                <c:ptCount val="10"/>
                <c:pt idx="0">
                  <c:v>565.33333333333337</c:v>
                </c:pt>
                <c:pt idx="1">
                  <c:v>295.33333333333331</c:v>
                </c:pt>
                <c:pt idx="2">
                  <c:v>218.66666666666666</c:v>
                </c:pt>
                <c:pt idx="3">
                  <c:v>212.33333333333334</c:v>
                </c:pt>
                <c:pt idx="4">
                  <c:v>197.66666666666666</c:v>
                </c:pt>
                <c:pt idx="5">
                  <c:v>134.66666666666666</c:v>
                </c:pt>
                <c:pt idx="6">
                  <c:v>129</c:v>
                </c:pt>
                <c:pt idx="7">
                  <c:v>104.66666666666667</c:v>
                </c:pt>
                <c:pt idx="8">
                  <c:v>100</c:v>
                </c:pt>
                <c:pt idx="9">
                  <c:v>97.333333333333329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445-4E59-AF9B-253C3D7F3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022624"/>
        <c:axId val="1"/>
      </c:barChart>
      <c:catAx>
        <c:axId val="791022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910226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16</xdr:col>
          <xdr:colOff>76200</xdr:colOff>
          <xdr:row>52</xdr:row>
          <xdr:rowOff>152400</xdr:rowOff>
        </xdr:to>
        <xdr:sp macro="" textlink="">
          <xdr:nvSpPr>
            <xdr:cNvPr id="18772993" name="Object 1" hidden="1">
              <a:extLst>
                <a:ext uri="{63B3BB69-23CF-44E3-9099-C40C66FF867C}">
                  <a14:compatExt spid="_x0000_s18772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2</xdr:row>
      <xdr:rowOff>19050</xdr:rowOff>
    </xdr:from>
    <xdr:to>
      <xdr:col>10</xdr:col>
      <xdr:colOff>485775</xdr:colOff>
      <xdr:row>20</xdr:row>
      <xdr:rowOff>19050</xdr:rowOff>
    </xdr:to>
    <xdr:grpSp>
      <xdr:nvGrpSpPr>
        <xdr:cNvPr id="30637636" name="Gráfico 3"/>
        <xdr:cNvGrpSpPr>
          <a:grpSpLocks/>
        </xdr:cNvGrpSpPr>
      </xdr:nvGrpSpPr>
      <xdr:grpSpPr bwMode="auto">
        <a:xfrm>
          <a:off x="4544483" y="400050"/>
          <a:ext cx="5244042" cy="3376083"/>
          <a:chOff x="4544246" y="436302"/>
          <a:chExt cx="5772967" cy="4857479"/>
        </a:xfrm>
      </xdr:grpSpPr>
      <xdr:graphicFrame macro="">
        <xdr:nvGraphicFramePr>
          <xdr:cNvPr id="30637638" name="Gráfico 2"/>
          <xdr:cNvGraphicFramePr>
            <a:graphicFrameLocks/>
          </xdr:cNvGraphicFramePr>
        </xdr:nvGraphicFramePr>
        <xdr:xfrm>
          <a:off x="4554592" y="493181"/>
          <a:ext cx="5762621" cy="4800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/>
          <xdr:cNvSpPr txBox="1"/>
        </xdr:nvSpPr>
        <xdr:spPr>
          <a:xfrm>
            <a:off x="4544246" y="436302"/>
            <a:ext cx="5308597" cy="65678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unidades mais demandados do mês de janeiro em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JANEIRO/23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twoCellAnchor>
  <xdr:twoCellAnchor editAs="oneCell">
    <xdr:from>
      <xdr:col>11</xdr:col>
      <xdr:colOff>161925</xdr:colOff>
      <xdr:row>2</xdr:row>
      <xdr:rowOff>76200</xdr:rowOff>
    </xdr:from>
    <xdr:to>
      <xdr:col>19</xdr:col>
      <xdr:colOff>104775</xdr:colOff>
      <xdr:row>20</xdr:row>
      <xdr:rowOff>47625</xdr:rowOff>
    </xdr:to>
    <xdr:graphicFrame macro="">
      <xdr:nvGraphicFramePr>
        <xdr:cNvPr id="306376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76200</xdr:colOff>
      <xdr:row>0</xdr:row>
      <xdr:rowOff>0</xdr:rowOff>
    </xdr:from>
    <xdr:to>
      <xdr:col>27</xdr:col>
      <xdr:colOff>161925</xdr:colOff>
      <xdr:row>17</xdr:row>
      <xdr:rowOff>123825</xdr:rowOff>
    </xdr:to>
    <xdr:grpSp>
      <xdr:nvGrpSpPr>
        <xdr:cNvPr id="30640853" name="Gráfico 7"/>
        <xdr:cNvGrpSpPr>
          <a:grpSpLocks/>
        </xdr:cNvGrpSpPr>
      </xdr:nvGrpSpPr>
      <xdr:grpSpPr bwMode="auto">
        <a:xfrm>
          <a:off x="8839200" y="0"/>
          <a:ext cx="6791325" cy="3848100"/>
          <a:chOff x="8801103" y="66678"/>
          <a:chExt cx="6791321" cy="3843342"/>
        </a:xfrm>
      </xdr:grpSpPr>
      <xdr:graphicFrame macro="">
        <xdr:nvGraphicFramePr>
          <xdr:cNvPr id="30640854" name="Gráfico 2"/>
          <xdr:cNvGraphicFramePr>
            <a:graphicFrameLocks/>
          </xdr:cNvGraphicFramePr>
        </xdr:nvGraphicFramePr>
        <xdr:xfrm>
          <a:off x="8801103" y="66678"/>
          <a:ext cx="6791321" cy="384334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/>
          <xdr:cNvSpPr txBox="1"/>
        </xdr:nvSpPr>
        <xdr:spPr>
          <a:xfrm>
            <a:off x="15259049" y="180837"/>
            <a:ext cx="295275" cy="30442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30640856" name="CaixaDeTexto 20"/>
          <xdr:cNvSpPr txBox="1">
            <a:spLocks noChangeArrowheads="1"/>
          </xdr:cNvSpPr>
        </xdr:nvSpPr>
        <xdr:spPr bwMode="auto">
          <a:xfrm>
            <a:off x="8801103" y="314325"/>
            <a:ext cx="914400" cy="914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CaixaDeTexto 21"/>
          <xdr:cNvSpPr txBox="1"/>
        </xdr:nvSpPr>
        <xdr:spPr>
          <a:xfrm>
            <a:off x="8810628" y="237916"/>
            <a:ext cx="914399" cy="256857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104775</xdr:colOff>
      <xdr:row>0</xdr:row>
      <xdr:rowOff>0</xdr:rowOff>
    </xdr:from>
    <xdr:to>
      <xdr:col>24</xdr:col>
      <xdr:colOff>542925</xdr:colOff>
      <xdr:row>16</xdr:row>
      <xdr:rowOff>123825</xdr:rowOff>
    </xdr:to>
    <xdr:grpSp>
      <xdr:nvGrpSpPr>
        <xdr:cNvPr id="30642756" name="Gráfico 2"/>
        <xdr:cNvGrpSpPr>
          <a:grpSpLocks/>
        </xdr:cNvGrpSpPr>
      </xdr:nvGrpSpPr>
      <xdr:grpSpPr bwMode="auto">
        <a:xfrm>
          <a:off x="9396942" y="0"/>
          <a:ext cx="5348816" cy="3679825"/>
          <a:chOff x="7839071" y="0"/>
          <a:chExt cx="5314949" cy="3268923"/>
        </a:xfrm>
      </xdr:grpSpPr>
      <xdr:graphicFrame macro="">
        <xdr:nvGraphicFramePr>
          <xdr:cNvPr id="30642758" name="Gráfico 2"/>
          <xdr:cNvGraphicFramePr>
            <a:graphicFrameLocks/>
          </xdr:cNvGraphicFramePr>
        </xdr:nvGraphicFramePr>
        <xdr:xfrm>
          <a:off x="7839071" y="0"/>
          <a:ext cx="5314949" cy="326892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/>
          <xdr:cNvSpPr txBox="1"/>
        </xdr:nvSpPr>
        <xdr:spPr>
          <a:xfrm>
            <a:off x="8258171" y="76416"/>
            <a:ext cx="4857749" cy="229249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demandadas em 2023</a:t>
            </a:r>
            <a:endParaRPr lang="pt-BR" sz="16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twoCellAnchor>
  <xdr:twoCellAnchor editAs="oneCell">
    <xdr:from>
      <xdr:col>1</xdr:col>
      <xdr:colOff>123825</xdr:colOff>
      <xdr:row>17</xdr:row>
      <xdr:rowOff>76200</xdr:rowOff>
    </xdr:from>
    <xdr:to>
      <xdr:col>14</xdr:col>
      <xdr:colOff>38100</xdr:colOff>
      <xdr:row>34</xdr:row>
      <xdr:rowOff>38100</xdr:rowOff>
    </xdr:to>
    <xdr:graphicFrame macro="">
      <xdr:nvGraphicFramePr>
        <xdr:cNvPr id="30642757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3</xdr:row>
      <xdr:rowOff>9525</xdr:rowOff>
    </xdr:from>
    <xdr:to>
      <xdr:col>10</xdr:col>
      <xdr:colOff>57150</xdr:colOff>
      <xdr:row>35</xdr:row>
      <xdr:rowOff>190500</xdr:rowOff>
    </xdr:to>
    <xdr:grpSp>
      <xdr:nvGrpSpPr>
        <xdr:cNvPr id="30645683" name="Gráfico 1"/>
        <xdr:cNvGrpSpPr>
          <a:grpSpLocks/>
        </xdr:cNvGrpSpPr>
      </xdr:nvGrpSpPr>
      <xdr:grpSpPr bwMode="auto">
        <a:xfrm>
          <a:off x="3171825" y="590550"/>
          <a:ext cx="7239000" cy="6276975"/>
          <a:chOff x="3171821" y="581028"/>
          <a:chExt cx="7239003" cy="6276971"/>
        </a:xfrm>
      </xdr:grpSpPr>
      <xdr:graphicFrame macro="">
        <xdr:nvGraphicFramePr>
          <xdr:cNvPr id="30645684" name="Gráfico 2"/>
          <xdr:cNvGraphicFramePr>
            <a:graphicFrameLocks/>
          </xdr:cNvGraphicFramePr>
        </xdr:nvGraphicFramePr>
        <xdr:xfrm>
          <a:off x="3171821" y="581028"/>
          <a:ext cx="7239003" cy="627697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/>
          <xdr:cNvSpPr txBox="1"/>
        </xdr:nvSpPr>
        <xdr:spPr>
          <a:xfrm>
            <a:off x="3209921" y="647703"/>
            <a:ext cx="7181853" cy="381000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Ranking das Subprefeituras mais demandadas - DEZEMBRO/2022</a:t>
            </a: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</xdr:colOff>
      <xdr:row>0</xdr:row>
      <xdr:rowOff>0</xdr:rowOff>
    </xdr:from>
    <xdr:to>
      <xdr:col>24</xdr:col>
      <xdr:colOff>276225</xdr:colOff>
      <xdr:row>8</xdr:row>
      <xdr:rowOff>266700</xdr:rowOff>
    </xdr:to>
    <xdr:graphicFrame macro="">
      <xdr:nvGraphicFramePr>
        <xdr:cNvPr id="3064802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28575</xdr:colOff>
      <xdr:row>8</xdr:row>
      <xdr:rowOff>285750</xdr:rowOff>
    </xdr:from>
    <xdr:to>
      <xdr:col>24</xdr:col>
      <xdr:colOff>314325</xdr:colOff>
      <xdr:row>18</xdr:row>
      <xdr:rowOff>180975</xdr:rowOff>
    </xdr:to>
    <xdr:graphicFrame macro="">
      <xdr:nvGraphicFramePr>
        <xdr:cNvPr id="306480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104775</xdr:colOff>
      <xdr:row>19</xdr:row>
      <xdr:rowOff>19050</xdr:rowOff>
    </xdr:from>
    <xdr:to>
      <xdr:col>23</xdr:col>
      <xdr:colOff>323850</xdr:colOff>
      <xdr:row>30</xdr:row>
      <xdr:rowOff>19050</xdr:rowOff>
    </xdr:to>
    <xdr:graphicFrame macro="">
      <xdr:nvGraphicFramePr>
        <xdr:cNvPr id="30648023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152400</xdr:colOff>
      <xdr:row>30</xdr:row>
      <xdr:rowOff>85725</xdr:rowOff>
    </xdr:from>
    <xdr:to>
      <xdr:col>21</xdr:col>
      <xdr:colOff>180975</xdr:colOff>
      <xdr:row>56</xdr:row>
      <xdr:rowOff>152400</xdr:rowOff>
    </xdr:to>
    <xdr:graphicFrame macro="">
      <xdr:nvGraphicFramePr>
        <xdr:cNvPr id="3064802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57150</xdr:colOff>
      <xdr:row>15</xdr:row>
      <xdr:rowOff>152400</xdr:rowOff>
    </xdr:from>
    <xdr:to>
      <xdr:col>17</xdr:col>
      <xdr:colOff>9525</xdr:colOff>
      <xdr:row>30</xdr:row>
      <xdr:rowOff>76200</xdr:rowOff>
    </xdr:to>
    <xdr:graphicFrame macro="">
      <xdr:nvGraphicFramePr>
        <xdr:cNvPr id="3064802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0.14271</cdr:x>
      <cdr:y>0</cdr:y>
    </cdr:from>
    <cdr:to>
      <cdr:x>0.87812</cdr:x>
      <cdr:y>0.20833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52462" y="0"/>
          <a:ext cx="3362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Protocolos inicialmente registrados como denúncias</a:t>
          </a:r>
          <a:endParaRPr lang="pt-BR" sz="1200">
            <a:effectLst/>
          </a:endParaRPr>
        </a:p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% deferidas, indeferidas e reclassificadas - 2023</a:t>
          </a:r>
          <a:endParaRPr lang="pt-BR" sz="12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pt-BR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66675</xdr:rowOff>
    </xdr:from>
    <xdr:to>
      <xdr:col>13</xdr:col>
      <xdr:colOff>47625</xdr:colOff>
      <xdr:row>17</xdr:row>
      <xdr:rowOff>152400</xdr:rowOff>
    </xdr:to>
    <xdr:graphicFrame macro="">
      <xdr:nvGraphicFramePr>
        <xdr:cNvPr id="3065387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0</xdr:row>
      <xdr:rowOff>47625</xdr:rowOff>
    </xdr:from>
    <xdr:to>
      <xdr:col>33</xdr:col>
      <xdr:colOff>352425</xdr:colOff>
      <xdr:row>19</xdr:row>
      <xdr:rowOff>0</xdr:rowOff>
    </xdr:to>
    <xdr:graphicFrame macro="">
      <xdr:nvGraphicFramePr>
        <xdr:cNvPr id="30653876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114300</xdr:colOff>
      <xdr:row>0</xdr:row>
      <xdr:rowOff>38100</xdr:rowOff>
    </xdr:from>
    <xdr:to>
      <xdr:col>21</xdr:col>
      <xdr:colOff>180975</xdr:colOff>
      <xdr:row>19</xdr:row>
      <xdr:rowOff>47625</xdr:rowOff>
    </xdr:to>
    <xdr:graphicFrame macro="">
      <xdr:nvGraphicFramePr>
        <xdr:cNvPr id="30653877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0.65903</cdr:x>
      <cdr:y>0.10475</cdr:y>
    </cdr:from>
    <cdr:to>
      <cdr:x>0.78922</cdr:x>
      <cdr:y>0.17936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356432" y="348208"/>
          <a:ext cx="860602" cy="248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000" b="1">
              <a:solidFill>
                <a:schemeClr val="tx1"/>
              </a:solidFill>
            </a:rPr>
            <a:t>Variação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3</xdr:row>
      <xdr:rowOff>19050</xdr:rowOff>
    </xdr:from>
    <xdr:to>
      <xdr:col>14</xdr:col>
      <xdr:colOff>495300</xdr:colOff>
      <xdr:row>19</xdr:row>
      <xdr:rowOff>19050</xdr:rowOff>
    </xdr:to>
    <xdr:graphicFrame macro="">
      <xdr:nvGraphicFramePr>
        <xdr:cNvPr id="887172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11</xdr:row>
      <xdr:rowOff>57150</xdr:rowOff>
    </xdr:from>
    <xdr:to>
      <xdr:col>2</xdr:col>
      <xdr:colOff>371475</xdr:colOff>
      <xdr:row>33</xdr:row>
      <xdr:rowOff>114300</xdr:rowOff>
    </xdr:to>
    <xdr:graphicFrame macro="">
      <xdr:nvGraphicFramePr>
        <xdr:cNvPr id="3061437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438150</xdr:colOff>
      <xdr:row>11</xdr:row>
      <xdr:rowOff>76200</xdr:rowOff>
    </xdr:from>
    <xdr:to>
      <xdr:col>14</xdr:col>
      <xdr:colOff>9525</xdr:colOff>
      <xdr:row>33</xdr:row>
      <xdr:rowOff>152400</xdr:rowOff>
    </xdr:to>
    <xdr:graphicFrame macro="">
      <xdr:nvGraphicFramePr>
        <xdr:cNvPr id="3061437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209550</xdr:colOff>
      <xdr:row>11</xdr:row>
      <xdr:rowOff>66675</xdr:rowOff>
    </xdr:from>
    <xdr:to>
      <xdr:col>21</xdr:col>
      <xdr:colOff>19050</xdr:colOff>
      <xdr:row>33</xdr:row>
      <xdr:rowOff>152400</xdr:rowOff>
    </xdr:to>
    <xdr:grpSp>
      <xdr:nvGrpSpPr>
        <xdr:cNvPr id="30614376" name="Gráfico 4"/>
        <xdr:cNvGrpSpPr>
          <a:grpSpLocks/>
        </xdr:cNvGrpSpPr>
      </xdr:nvGrpSpPr>
      <xdr:grpSpPr bwMode="auto">
        <a:xfrm>
          <a:off x="10941050" y="2701925"/>
          <a:ext cx="4847167" cy="4276725"/>
          <a:chOff x="5686421" y="2181225"/>
          <a:chExt cx="4324353" cy="3514728"/>
        </a:xfrm>
      </xdr:grpSpPr>
      <xdr:graphicFrame macro="">
        <xdr:nvGraphicFramePr>
          <xdr:cNvPr id="30614377" name="Gráfico 5"/>
          <xdr:cNvGraphicFramePr>
            <a:graphicFrameLocks/>
          </xdr:cNvGraphicFramePr>
        </xdr:nvGraphicFramePr>
        <xdr:xfrm>
          <a:off x="5686421" y="2181225"/>
          <a:ext cx="4324353" cy="35147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30614378" name="CaixaDeTexto 3"/>
          <xdr:cNvSpPr txBox="1">
            <a:spLocks noChangeArrowheads="1"/>
          </xdr:cNvSpPr>
        </xdr:nvSpPr>
        <xdr:spPr bwMode="auto">
          <a:xfrm>
            <a:off x="6989350" y="2226734"/>
            <a:ext cx="1686455" cy="2400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" name="CaixaDeTexto 4"/>
          <xdr:cNvSpPr txBox="1"/>
        </xdr:nvSpPr>
        <xdr:spPr>
          <a:xfrm>
            <a:off x="6001384" y="2275160"/>
            <a:ext cx="3115577" cy="234837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JANEIRO/2023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257175</xdr:colOff>
      <xdr:row>0</xdr:row>
      <xdr:rowOff>76200</xdr:rowOff>
    </xdr:from>
    <xdr:to>
      <xdr:col>18</xdr:col>
      <xdr:colOff>457200</xdr:colOff>
      <xdr:row>16</xdr:row>
      <xdr:rowOff>95250</xdr:rowOff>
    </xdr:to>
    <xdr:grpSp>
      <xdr:nvGrpSpPr>
        <xdr:cNvPr id="30618325" name="Gráfico 1"/>
        <xdr:cNvGrpSpPr>
          <a:grpSpLocks/>
        </xdr:cNvGrpSpPr>
      </xdr:nvGrpSpPr>
      <xdr:grpSpPr bwMode="auto">
        <a:xfrm>
          <a:off x="7189258" y="76200"/>
          <a:ext cx="3692525" cy="3098800"/>
          <a:chOff x="11309433" y="385851"/>
          <a:chExt cx="4954823" cy="4091355"/>
        </a:xfrm>
      </xdr:grpSpPr>
      <xdr:graphicFrame macro="">
        <xdr:nvGraphicFramePr>
          <xdr:cNvPr id="30618328" name="Gráfico 3"/>
          <xdr:cNvGraphicFramePr>
            <a:graphicFrameLocks/>
          </xdr:cNvGraphicFramePr>
        </xdr:nvGraphicFramePr>
        <xdr:xfrm>
          <a:off x="11330310" y="385851"/>
          <a:ext cx="4933946" cy="409135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/>
          <xdr:cNvSpPr txBox="1"/>
        </xdr:nvSpPr>
        <xdr:spPr>
          <a:xfrm>
            <a:off x="11309433" y="4049187"/>
            <a:ext cx="1318726" cy="276953"/>
          </a:xfrm>
          <a:prstGeom prst="rect">
            <a:avLst/>
          </a:prstGeom>
          <a:grp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8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*Escala Logaritimica</a:t>
            </a:r>
          </a:p>
        </xdr:txBody>
      </xdr:sp>
    </xdr:grpSp>
    <xdr:clientData/>
  </xdr:twoCellAnchor>
  <xdr:twoCellAnchor editAs="oneCell">
    <xdr:from>
      <xdr:col>19</xdr:col>
      <xdr:colOff>47625</xdr:colOff>
      <xdr:row>0</xdr:row>
      <xdr:rowOff>57150</xdr:rowOff>
    </xdr:from>
    <xdr:to>
      <xdr:col>25</xdr:col>
      <xdr:colOff>438150</xdr:colOff>
      <xdr:row>16</xdr:row>
      <xdr:rowOff>152400</xdr:rowOff>
    </xdr:to>
    <xdr:graphicFrame macro="">
      <xdr:nvGraphicFramePr>
        <xdr:cNvPr id="306183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76200</xdr:colOff>
      <xdr:row>2</xdr:row>
      <xdr:rowOff>38100</xdr:rowOff>
    </xdr:from>
    <xdr:to>
      <xdr:col>11</xdr:col>
      <xdr:colOff>209550</xdr:colOff>
      <xdr:row>16</xdr:row>
      <xdr:rowOff>95250</xdr:rowOff>
    </xdr:to>
    <xdr:graphicFrame macro="">
      <xdr:nvGraphicFramePr>
        <xdr:cNvPr id="30618327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0.02348</cdr:x>
      <cdr:y>0.09032</cdr:y>
    </cdr:from>
    <cdr:to>
      <cdr:x>0.21135</cdr:x>
      <cdr:y>0.4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14300" y="266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0.40437</cdr:x>
      <cdr:y>0.34516</cdr:y>
    </cdr:from>
    <cdr:to>
      <cdr:x>0.59101</cdr:x>
      <cdr:y>0.65484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976437" y="10191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0.06458</cdr:x>
      <cdr:y>0.05806</cdr:y>
    </cdr:from>
    <cdr:to>
      <cdr:x>0.12133</cdr:x>
      <cdr:y>0.15161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14325" y="171450"/>
          <a:ext cx="2762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400" b="1"/>
            <a:t>*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76200</xdr:colOff>
      <xdr:row>0</xdr:row>
      <xdr:rowOff>19050</xdr:rowOff>
    </xdr:from>
    <xdr:to>
      <xdr:col>25</xdr:col>
      <xdr:colOff>361950</xdr:colOff>
      <xdr:row>16</xdr:row>
      <xdr:rowOff>104775</xdr:rowOff>
    </xdr:to>
    <xdr:graphicFrame macro="">
      <xdr:nvGraphicFramePr>
        <xdr:cNvPr id="3062198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17</xdr:row>
      <xdr:rowOff>28575</xdr:rowOff>
    </xdr:from>
    <xdr:to>
      <xdr:col>9</xdr:col>
      <xdr:colOff>28575</xdr:colOff>
      <xdr:row>24</xdr:row>
      <xdr:rowOff>152400</xdr:rowOff>
    </xdr:to>
    <xdr:graphicFrame macro="">
      <xdr:nvGraphicFramePr>
        <xdr:cNvPr id="3062198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0</xdr:row>
      <xdr:rowOff>19050</xdr:rowOff>
    </xdr:from>
    <xdr:to>
      <xdr:col>16</xdr:col>
      <xdr:colOff>600075</xdr:colOff>
      <xdr:row>16</xdr:row>
      <xdr:rowOff>133350</xdr:rowOff>
    </xdr:to>
    <xdr:graphicFrame macro="">
      <xdr:nvGraphicFramePr>
        <xdr:cNvPr id="3062505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17</xdr:row>
      <xdr:rowOff>57150</xdr:rowOff>
    </xdr:from>
    <xdr:to>
      <xdr:col>9</xdr:col>
      <xdr:colOff>295275</xdr:colOff>
      <xdr:row>35</xdr:row>
      <xdr:rowOff>38100</xdr:rowOff>
    </xdr:to>
    <xdr:graphicFrame macro="">
      <xdr:nvGraphicFramePr>
        <xdr:cNvPr id="3062505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2</xdr:row>
      <xdr:rowOff>47625</xdr:rowOff>
    </xdr:from>
    <xdr:to>
      <xdr:col>9</xdr:col>
      <xdr:colOff>1676400</xdr:colOff>
      <xdr:row>24</xdr:row>
      <xdr:rowOff>152400</xdr:rowOff>
    </xdr:to>
    <xdr:grpSp>
      <xdr:nvGrpSpPr>
        <xdr:cNvPr id="30628420" name="Gráfico 7"/>
        <xdr:cNvGrpSpPr>
          <a:grpSpLocks/>
        </xdr:cNvGrpSpPr>
      </xdr:nvGrpSpPr>
      <xdr:grpSpPr bwMode="auto">
        <a:xfrm>
          <a:off x="3681413" y="428625"/>
          <a:ext cx="5841206" cy="4533900"/>
          <a:chOff x="5457825" y="9528"/>
          <a:chExt cx="6438903" cy="4772025"/>
        </a:xfrm>
      </xdr:grpSpPr>
      <xdr:graphicFrame macro="">
        <xdr:nvGraphicFramePr>
          <xdr:cNvPr id="30628422" name="Gráfico 2"/>
          <xdr:cNvGraphicFramePr>
            <a:graphicFrameLocks/>
          </xdr:cNvGraphicFramePr>
        </xdr:nvGraphicFramePr>
        <xdr:xfrm>
          <a:off x="5457825" y="9528"/>
          <a:ext cx="6438903" cy="47720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/>
          <xdr:cNvSpPr txBox="1"/>
        </xdr:nvSpPr>
        <xdr:spPr>
          <a:xfrm>
            <a:off x="5478765" y="39667"/>
            <a:ext cx="6365615" cy="673107"/>
          </a:xfrm>
          <a:prstGeom prst="rect">
            <a:avLst/>
          </a:prstGeom>
          <a:grpFill/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assuntos mais demandados do mês de janeiro em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JANEIRO/23</a:t>
            </a:r>
          </a:p>
        </xdr:txBody>
      </xdr:sp>
    </xdr:grpSp>
    <xdr:clientData/>
  </xdr:twoCellAnchor>
  <xdr:twoCellAnchor editAs="oneCell">
    <xdr:from>
      <xdr:col>9</xdr:col>
      <xdr:colOff>1704975</xdr:colOff>
      <xdr:row>2</xdr:row>
      <xdr:rowOff>47625</xdr:rowOff>
    </xdr:from>
    <xdr:to>
      <xdr:col>17</xdr:col>
      <xdr:colOff>447675</xdr:colOff>
      <xdr:row>24</xdr:row>
      <xdr:rowOff>152400</xdr:rowOff>
    </xdr:to>
    <xdr:graphicFrame macro="">
      <xdr:nvGraphicFramePr>
        <xdr:cNvPr id="30628421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76200</xdr:colOff>
      <xdr:row>0</xdr:row>
      <xdr:rowOff>28575</xdr:rowOff>
    </xdr:from>
    <xdr:to>
      <xdr:col>26</xdr:col>
      <xdr:colOff>419100</xdr:colOff>
      <xdr:row>17</xdr:row>
      <xdr:rowOff>133350</xdr:rowOff>
    </xdr:to>
    <xdr:grpSp>
      <xdr:nvGrpSpPr>
        <xdr:cNvPr id="30631637" name="Gráfico 3"/>
        <xdr:cNvGrpSpPr>
          <a:grpSpLocks/>
        </xdr:cNvGrpSpPr>
      </xdr:nvGrpSpPr>
      <xdr:grpSpPr bwMode="auto">
        <a:xfrm>
          <a:off x="11262783" y="28575"/>
          <a:ext cx="6481234" cy="3851275"/>
          <a:chOff x="10191750" y="57150"/>
          <a:chExt cx="5867400" cy="3781428"/>
        </a:xfrm>
      </xdr:grpSpPr>
      <xdr:graphicFrame macro="">
        <xdr:nvGraphicFramePr>
          <xdr:cNvPr id="30631640" name="Gráfico 2"/>
          <xdr:cNvGraphicFramePr>
            <a:graphicFrameLocks/>
          </xdr:cNvGraphicFramePr>
        </xdr:nvGraphicFramePr>
        <xdr:xfrm>
          <a:off x="10191750" y="57150"/>
          <a:ext cx="5867400" cy="37814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5"/>
          <xdr:cNvSpPr txBox="1"/>
        </xdr:nvSpPr>
        <xdr:spPr>
          <a:xfrm>
            <a:off x="11710678" y="94683"/>
            <a:ext cx="3445796" cy="309645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órgãos mais demandados - Média/2023</a:t>
            </a:r>
          </a:p>
        </xdr:txBody>
      </xdr:sp>
    </xdr:grpSp>
    <xdr:clientData/>
  </xdr:twoCellAnchor>
  <xdr:twoCellAnchor editAs="oneCell">
    <xdr:from>
      <xdr:col>0</xdr:col>
      <xdr:colOff>323850</xdr:colOff>
      <xdr:row>17</xdr:row>
      <xdr:rowOff>142875</xdr:rowOff>
    </xdr:from>
    <xdr:to>
      <xdr:col>8</xdr:col>
      <xdr:colOff>266700</xdr:colOff>
      <xdr:row>26</xdr:row>
      <xdr:rowOff>171450</xdr:rowOff>
    </xdr:to>
    <xdr:graphicFrame macro="">
      <xdr:nvGraphicFramePr>
        <xdr:cNvPr id="3063163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352425</xdr:colOff>
      <xdr:row>17</xdr:row>
      <xdr:rowOff>114300</xdr:rowOff>
    </xdr:from>
    <xdr:ext cx="5504071" cy="381000"/>
    <xdr:sp macro="" textlink="">
      <xdr:nvSpPr>
        <xdr:cNvPr id="3" name="CaixaDeTexto 2"/>
        <xdr:cNvSpPr txBox="1"/>
      </xdr:nvSpPr>
      <xdr:spPr>
        <a:xfrm>
          <a:off x="352425" y="3790950"/>
          <a:ext cx="5504071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UNIDADES - % em relação ao todo de JAN/23 (exetuando-se denúncias)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sz="1400">
            <a:effectLst/>
          </a:endParaRPr>
        </a:p>
        <a:p>
          <a:endParaRPr lang="pt-BR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361950</xdr:colOff>
      <xdr:row>0</xdr:row>
      <xdr:rowOff>19050</xdr:rowOff>
    </xdr:from>
    <xdr:to>
      <xdr:col>17</xdr:col>
      <xdr:colOff>942975</xdr:colOff>
      <xdr:row>16</xdr:row>
      <xdr:rowOff>76200</xdr:rowOff>
    </xdr:to>
    <xdr:graphicFrame macro="">
      <xdr:nvGraphicFramePr>
        <xdr:cNvPr id="30634274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17</xdr:row>
      <xdr:rowOff>57150</xdr:rowOff>
    </xdr:from>
    <xdr:to>
      <xdr:col>7</xdr:col>
      <xdr:colOff>323850</xdr:colOff>
      <xdr:row>25</xdr:row>
      <xdr:rowOff>28575</xdr:rowOff>
    </xdr:to>
    <xdr:graphicFrame macro="">
      <xdr:nvGraphicFramePr>
        <xdr:cNvPr id="3063427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o_Microsoft_Word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Q1" sqref="Q1"/>
    </sheetView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8772993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16</xdr:col>
                <xdr:colOff>76200</xdr:colOff>
                <xdr:row>52</xdr:row>
                <xdr:rowOff>152400</xdr:rowOff>
              </to>
            </anchor>
          </objectPr>
        </oleObject>
      </mc:Choice>
      <mc:Fallback>
        <oleObject progId="Word.Document.12" shapeId="1877299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="90" zoomScaleNormal="90" workbookViewId="0"/>
  </sheetViews>
  <sheetFormatPr defaultColWidth="5.5703125" defaultRowHeight="14.25"/>
  <cols>
    <col min="1" max="1" width="52.140625" style="23" customWidth="1"/>
    <col min="2" max="2" width="7.5703125" style="23" bestFit="1" customWidth="1"/>
    <col min="3" max="3" width="7.7109375" style="55" bestFit="1" customWidth="1"/>
    <col min="4" max="4" width="7.140625" style="23" bestFit="1" customWidth="1"/>
    <col min="5" max="5" width="7" style="53" bestFit="1" customWidth="1"/>
    <col min="6" max="6" width="7.5703125" style="23" bestFit="1" customWidth="1"/>
    <col min="7" max="7" width="6.28515625" style="53" bestFit="1" customWidth="1"/>
    <col min="8" max="8" width="7" style="23" bestFit="1" customWidth="1"/>
    <col min="9" max="9" width="7.5703125" style="23" customWidth="1"/>
    <col min="10" max="10" width="7.140625" style="23" bestFit="1" customWidth="1"/>
    <col min="11" max="11" width="7.5703125" style="23" bestFit="1" customWidth="1"/>
    <col min="12" max="12" width="7.140625" style="23" bestFit="1" customWidth="1"/>
    <col min="13" max="13" width="6.85546875" style="23" bestFit="1" customWidth="1"/>
    <col min="14" max="14" width="6.7109375" style="23" bestFit="1" customWidth="1"/>
    <col min="15" max="15" width="7.140625" style="23" bestFit="1" customWidth="1"/>
    <col min="16" max="16" width="14.85546875" style="23" customWidth="1"/>
    <col min="17" max="215" width="9.140625" style="23" customWidth="1"/>
    <col min="216" max="216" width="58.28515625" style="23" customWidth="1"/>
    <col min="217" max="217" width="3.7109375" style="23" bestFit="1" customWidth="1"/>
    <col min="218" max="218" width="5.5703125" style="23" bestFit="1" customWidth="1"/>
    <col min="219" max="16384" width="5.5703125" style="23"/>
  </cols>
  <sheetData>
    <row r="1" spans="1:20" ht="15">
      <c r="A1" s="51" t="s">
        <v>0</v>
      </c>
      <c r="B1" s="51"/>
      <c r="C1" s="52"/>
      <c r="D1" s="51"/>
    </row>
    <row r="2" spans="1:20" ht="15">
      <c r="A2" s="5" t="s">
        <v>1</v>
      </c>
      <c r="B2" s="5"/>
      <c r="C2" s="54"/>
      <c r="D2" s="5"/>
    </row>
    <row r="3" spans="1:20" ht="15">
      <c r="A3" s="5"/>
      <c r="B3" s="5"/>
      <c r="C3" s="54"/>
      <c r="D3" s="5"/>
    </row>
    <row r="4" spans="1:20" ht="15">
      <c r="A4" s="5" t="s">
        <v>396</v>
      </c>
      <c r="B4" s="5"/>
      <c r="C4" s="54"/>
      <c r="D4" s="5"/>
      <c r="P4" s="140">
        <v>4257</v>
      </c>
    </row>
    <row r="5" spans="1:20" ht="15" thickBot="1">
      <c r="E5" s="23"/>
      <c r="F5" s="53"/>
      <c r="G5" s="23"/>
      <c r="H5" s="53"/>
    </row>
    <row r="6" spans="1:20" ht="48.75" thickBot="1">
      <c r="A6" s="193" t="s">
        <v>146</v>
      </c>
      <c r="B6" s="819">
        <v>44896</v>
      </c>
      <c r="C6" s="190">
        <v>44866</v>
      </c>
      <c r="D6" s="191">
        <v>44835</v>
      </c>
      <c r="E6" s="191">
        <v>44805</v>
      </c>
      <c r="F6" s="191">
        <v>44774</v>
      </c>
      <c r="G6" s="716">
        <v>44743</v>
      </c>
      <c r="H6" s="190">
        <v>44713</v>
      </c>
      <c r="I6" s="191">
        <v>44682</v>
      </c>
      <c r="J6" s="716">
        <v>44652</v>
      </c>
      <c r="K6" s="190">
        <v>44621</v>
      </c>
      <c r="L6" s="192">
        <v>44593</v>
      </c>
      <c r="M6" s="788">
        <v>44562</v>
      </c>
      <c r="N6" s="192" t="s">
        <v>3</v>
      </c>
      <c r="O6" s="116" t="s">
        <v>4</v>
      </c>
      <c r="P6" s="427" t="s">
        <v>397</v>
      </c>
    </row>
    <row r="7" spans="1:20" ht="14.25" customHeight="1" thickBot="1">
      <c r="A7" s="913" t="s">
        <v>159</v>
      </c>
      <c r="B7" s="817"/>
      <c r="C7" s="817"/>
      <c r="D7" s="659"/>
      <c r="E7" s="659"/>
      <c r="F7" s="659"/>
      <c r="G7" s="659"/>
      <c r="H7" s="818"/>
      <c r="I7" s="659"/>
      <c r="J7" s="659"/>
      <c r="K7" s="659"/>
      <c r="L7" s="659"/>
      <c r="M7" s="164">
        <v>564</v>
      </c>
      <c r="N7" s="918">
        <f>SUM(B7:M7)</f>
        <v>564</v>
      </c>
      <c r="O7" s="507">
        <f>AVERAGE(B7:M7)</f>
        <v>564</v>
      </c>
      <c r="P7" s="951">
        <f>(M7*100)/$P$4</f>
        <v>13.24876673713883</v>
      </c>
      <c r="S7" s="53"/>
      <c r="T7" s="53"/>
    </row>
    <row r="8" spans="1:20" ht="15" customHeight="1" thickBot="1">
      <c r="A8" s="913" t="s">
        <v>228</v>
      </c>
      <c r="B8" s="807"/>
      <c r="C8" s="807"/>
      <c r="D8" s="660"/>
      <c r="E8" s="660"/>
      <c r="F8" s="660"/>
      <c r="G8" s="660"/>
      <c r="H8" s="660"/>
      <c r="I8" s="660"/>
      <c r="J8" s="660"/>
      <c r="K8" s="660"/>
      <c r="L8" s="660"/>
      <c r="M8" s="164">
        <v>545</v>
      </c>
      <c r="N8" s="919">
        <f t="shared" ref="N8:N16" si="0">SUM(B8:M8)</f>
        <v>545</v>
      </c>
      <c r="O8" s="171">
        <f t="shared" ref="O8:O16" si="1">AVERAGE(B8:M8)</f>
        <v>545</v>
      </c>
      <c r="P8" s="951">
        <f t="shared" ref="P8:P17" si="2">(M8*100)/$P$4</f>
        <v>12.802443035001174</v>
      </c>
      <c r="S8" s="53"/>
      <c r="T8" s="53"/>
    </row>
    <row r="9" spans="1:20" ht="15.75" thickBot="1">
      <c r="A9" s="913" t="s">
        <v>158</v>
      </c>
      <c r="B9" s="917"/>
      <c r="C9" s="917"/>
      <c r="D9" s="661"/>
      <c r="E9" s="661"/>
      <c r="F9" s="661"/>
      <c r="G9" s="661"/>
      <c r="H9" s="661"/>
      <c r="I9" s="661"/>
      <c r="J9" s="661"/>
      <c r="K9" s="661"/>
      <c r="L9" s="660"/>
      <c r="M9" s="164">
        <v>343</v>
      </c>
      <c r="N9" s="919">
        <f>SUM(B9:M9)</f>
        <v>343</v>
      </c>
      <c r="O9" s="171">
        <f>AVERAGE(B9:M9)</f>
        <v>343</v>
      </c>
      <c r="P9" s="951">
        <f t="shared" si="2"/>
        <v>8.0573173596429406</v>
      </c>
      <c r="S9" s="53"/>
      <c r="T9" s="53"/>
    </row>
    <row r="10" spans="1:20" ht="15.75" thickBot="1">
      <c r="A10" s="913" t="s">
        <v>156</v>
      </c>
      <c r="B10" s="805"/>
      <c r="C10" s="147"/>
      <c r="D10" s="805"/>
      <c r="E10" s="809"/>
      <c r="F10" s="805"/>
      <c r="G10" s="809"/>
      <c r="H10" s="805"/>
      <c r="I10" s="805"/>
      <c r="J10" s="805"/>
      <c r="K10" s="805"/>
      <c r="L10" s="660"/>
      <c r="M10" s="164">
        <v>328</v>
      </c>
      <c r="N10" s="919">
        <f t="shared" si="0"/>
        <v>328</v>
      </c>
      <c r="O10" s="171">
        <f t="shared" si="1"/>
        <v>328</v>
      </c>
      <c r="P10" s="951">
        <f t="shared" si="2"/>
        <v>7.7049565421658448</v>
      </c>
      <c r="S10" s="53"/>
      <c r="T10" s="53"/>
    </row>
    <row r="11" spans="1:20" ht="15.75" thickBot="1">
      <c r="A11" s="913" t="s">
        <v>230</v>
      </c>
      <c r="B11" s="807"/>
      <c r="C11" s="807"/>
      <c r="D11" s="660"/>
      <c r="E11" s="660"/>
      <c r="F11" s="660"/>
      <c r="G11" s="660"/>
      <c r="H11" s="808"/>
      <c r="I11" s="660"/>
      <c r="J11" s="660"/>
      <c r="K11" s="660"/>
      <c r="L11" s="660"/>
      <c r="M11" s="164">
        <v>327</v>
      </c>
      <c r="N11" s="919">
        <f t="shared" si="0"/>
        <v>327</v>
      </c>
      <c r="O11" s="171">
        <f t="shared" si="1"/>
        <v>327</v>
      </c>
      <c r="P11" s="951">
        <f t="shared" si="2"/>
        <v>7.681465821000705</v>
      </c>
      <c r="S11" s="53"/>
      <c r="T11" s="53"/>
    </row>
    <row r="12" spans="1:20" ht="15" customHeight="1" thickBot="1">
      <c r="A12" s="913" t="s">
        <v>341</v>
      </c>
      <c r="B12" s="807"/>
      <c r="C12" s="807"/>
      <c r="D12" s="660"/>
      <c r="E12" s="660"/>
      <c r="F12" s="660"/>
      <c r="G12" s="660"/>
      <c r="H12" s="660"/>
      <c r="I12" s="660"/>
      <c r="J12" s="660"/>
      <c r="K12" s="660"/>
      <c r="L12" s="660"/>
      <c r="M12" s="164">
        <v>247</v>
      </c>
      <c r="N12" s="919">
        <f t="shared" si="0"/>
        <v>247</v>
      </c>
      <c r="O12" s="171">
        <f t="shared" si="1"/>
        <v>247</v>
      </c>
      <c r="P12" s="951">
        <f t="shared" si="2"/>
        <v>5.8022081277895232</v>
      </c>
      <c r="S12" s="53"/>
      <c r="T12" s="53"/>
    </row>
    <row r="13" spans="1:20" ht="15.75" thickBot="1">
      <c r="A13" s="913" t="s">
        <v>231</v>
      </c>
      <c r="B13" s="807"/>
      <c r="C13" s="807"/>
      <c r="D13" s="660"/>
      <c r="E13" s="660"/>
      <c r="F13" s="660"/>
      <c r="G13" s="660"/>
      <c r="H13" s="660"/>
      <c r="I13" s="660"/>
      <c r="J13" s="660"/>
      <c r="K13" s="660"/>
      <c r="L13" s="660"/>
      <c r="M13" s="164">
        <v>140</v>
      </c>
      <c r="N13" s="919">
        <f t="shared" si="0"/>
        <v>140</v>
      </c>
      <c r="O13" s="171">
        <f t="shared" si="1"/>
        <v>140</v>
      </c>
      <c r="P13" s="951">
        <f t="shared" si="2"/>
        <v>3.2887009631195676</v>
      </c>
      <c r="S13" s="53"/>
      <c r="T13" s="53"/>
    </row>
    <row r="14" spans="1:20" ht="15.75" thickBot="1">
      <c r="A14" s="913" t="s">
        <v>162</v>
      </c>
      <c r="B14" s="807"/>
      <c r="C14" s="807"/>
      <c r="D14" s="660"/>
      <c r="E14" s="660"/>
      <c r="F14" s="660"/>
      <c r="G14" s="660"/>
      <c r="H14" s="808"/>
      <c r="I14" s="660"/>
      <c r="J14" s="660"/>
      <c r="K14" s="660"/>
      <c r="L14" s="661"/>
      <c r="M14" s="164">
        <v>131</v>
      </c>
      <c r="N14" s="919">
        <f t="shared" si="0"/>
        <v>131</v>
      </c>
      <c r="O14" s="171">
        <f t="shared" si="1"/>
        <v>131</v>
      </c>
      <c r="P14" s="951">
        <f t="shared" si="2"/>
        <v>3.07728447263331</v>
      </c>
      <c r="S14" s="53"/>
      <c r="T14" s="53"/>
    </row>
    <row r="15" spans="1:20" ht="15.75" thickBot="1">
      <c r="A15" s="913" t="s">
        <v>201</v>
      </c>
      <c r="B15" s="807"/>
      <c r="C15" s="807"/>
      <c r="D15" s="660"/>
      <c r="E15" s="660"/>
      <c r="F15" s="660"/>
      <c r="G15" s="660"/>
      <c r="H15" s="660"/>
      <c r="I15" s="660"/>
      <c r="J15" s="660"/>
      <c r="K15" s="660"/>
      <c r="L15" s="660"/>
      <c r="M15" s="164">
        <v>84</v>
      </c>
      <c r="N15" s="919">
        <f t="shared" si="0"/>
        <v>84</v>
      </c>
      <c r="O15" s="171">
        <f t="shared" si="1"/>
        <v>84</v>
      </c>
      <c r="P15" s="951">
        <f t="shared" si="2"/>
        <v>1.9732205778717407</v>
      </c>
      <c r="S15" s="53"/>
      <c r="T15" s="53"/>
    </row>
    <row r="16" spans="1:20" ht="15.75" thickBot="1">
      <c r="A16" s="913" t="s">
        <v>187</v>
      </c>
      <c r="B16" s="810"/>
      <c r="C16" s="810"/>
      <c r="D16" s="811"/>
      <c r="E16" s="811"/>
      <c r="F16" s="811"/>
      <c r="G16" s="811"/>
      <c r="H16" s="811"/>
      <c r="I16" s="811"/>
      <c r="J16" s="811"/>
      <c r="K16" s="811"/>
      <c r="L16" s="811"/>
      <c r="M16" s="164">
        <v>71</v>
      </c>
      <c r="N16" s="920">
        <f t="shared" si="0"/>
        <v>71</v>
      </c>
      <c r="O16" s="812">
        <f t="shared" si="1"/>
        <v>71</v>
      </c>
      <c r="P16" s="951">
        <f t="shared" si="2"/>
        <v>1.6678412027249236</v>
      </c>
      <c r="S16" s="53"/>
      <c r="T16" s="53"/>
    </row>
    <row r="17" spans="1:41" ht="15.75" customHeight="1" thickBot="1">
      <c r="A17" s="194" t="s">
        <v>3</v>
      </c>
      <c r="B17" s="153">
        <f t="shared" ref="B17:N17" si="3">SUM(B7:B16)</f>
        <v>0</v>
      </c>
      <c r="C17" s="366">
        <f>SUM(C7:C16)</f>
        <v>0</v>
      </c>
      <c r="D17" s="366">
        <f t="shared" si="3"/>
        <v>0</v>
      </c>
      <c r="E17" s="366">
        <f t="shared" si="3"/>
        <v>0</v>
      </c>
      <c r="F17" s="366">
        <f t="shared" si="3"/>
        <v>0</v>
      </c>
      <c r="G17" s="366">
        <f t="shared" si="3"/>
        <v>0</v>
      </c>
      <c r="H17" s="366">
        <f t="shared" si="3"/>
        <v>0</v>
      </c>
      <c r="I17" s="366">
        <f t="shared" si="3"/>
        <v>0</v>
      </c>
      <c r="J17" s="441">
        <f>SUM(J7:J16)</f>
        <v>0</v>
      </c>
      <c r="K17" s="153">
        <f>SUM(K7:K16)</f>
        <v>0</v>
      </c>
      <c r="L17" s="813">
        <f>SUM(L7:L16)</f>
        <v>0</v>
      </c>
      <c r="M17" s="814">
        <f>SUM(M7:M16)</f>
        <v>2780</v>
      </c>
      <c r="N17" s="815">
        <f t="shared" si="3"/>
        <v>2780</v>
      </c>
      <c r="O17" s="816">
        <f>(B17+C17+D17+E17+F17+G17+H17+I17+J17+K17+L17+M17)/12</f>
        <v>231.66666666666666</v>
      </c>
      <c r="P17" s="939">
        <f t="shared" si="2"/>
        <v>65.304204839088555</v>
      </c>
      <c r="S17" s="53"/>
      <c r="T17" s="53"/>
    </row>
    <row r="18" spans="1:41" ht="23.25" customHeight="1">
      <c r="A18" s="57" t="s">
        <v>147</v>
      </c>
      <c r="E18" s="23"/>
      <c r="G18" s="23"/>
      <c r="O18" s="57" t="s">
        <v>148</v>
      </c>
      <c r="P18" s="58">
        <f>100-P17</f>
        <v>34.695795160911445</v>
      </c>
    </row>
    <row r="19" spans="1:41" ht="54.75" customHeight="1">
      <c r="A19" s="59"/>
      <c r="B19" s="59"/>
      <c r="C19" s="60"/>
      <c r="G19" s="23"/>
      <c r="N19" s="987"/>
      <c r="O19" s="987"/>
      <c r="P19" s="987"/>
      <c r="W19" s="53"/>
    </row>
    <row r="20" spans="1:41">
      <c r="A20" s="61"/>
      <c r="B20" s="61"/>
      <c r="C20" s="62"/>
      <c r="G20" s="23"/>
      <c r="O20" s="53"/>
      <c r="W20" s="53"/>
      <c r="AC20" s="63"/>
      <c r="AD20" s="64"/>
      <c r="AE20" s="64"/>
      <c r="AF20" s="64"/>
      <c r="AG20" s="64"/>
      <c r="AH20" s="64"/>
      <c r="AI20" s="64"/>
      <c r="AJ20" s="55"/>
      <c r="AK20" s="64"/>
      <c r="AL20" s="64"/>
      <c r="AM20" s="64"/>
      <c r="AN20" s="64"/>
      <c r="AO20" s="65"/>
    </row>
    <row r="21" spans="1:41" ht="92.25" customHeight="1">
      <c r="A21" s="59"/>
      <c r="B21" s="59"/>
      <c r="C21" s="60"/>
      <c r="G21" s="23"/>
      <c r="L21" s="66"/>
      <c r="N21" s="987"/>
      <c r="O21" s="987"/>
      <c r="P21" s="987"/>
      <c r="W21" s="53"/>
      <c r="AC21" s="63"/>
      <c r="AD21" s="64"/>
      <c r="AE21" s="64"/>
      <c r="AF21" s="64"/>
      <c r="AG21" s="64"/>
      <c r="AH21" s="64"/>
      <c r="AI21" s="64"/>
      <c r="AJ21" s="55"/>
      <c r="AK21" s="64"/>
      <c r="AL21" s="64"/>
      <c r="AM21" s="64"/>
      <c r="AN21" s="64"/>
      <c r="AO21" s="65"/>
    </row>
    <row r="22" spans="1:41">
      <c r="A22" s="59"/>
      <c r="B22" s="59"/>
      <c r="C22" s="60"/>
      <c r="G22" s="23"/>
      <c r="O22" s="53"/>
      <c r="W22" s="67"/>
      <c r="AC22" s="63"/>
      <c r="AD22" s="64"/>
      <c r="AE22" s="64"/>
      <c r="AF22" s="64"/>
      <c r="AG22" s="64"/>
      <c r="AH22" s="64"/>
      <c r="AI22" s="64"/>
      <c r="AJ22" s="55"/>
      <c r="AK22" s="64"/>
      <c r="AL22" s="64"/>
      <c r="AM22" s="64"/>
      <c r="AN22" s="64"/>
      <c r="AO22" s="65"/>
    </row>
    <row r="23" spans="1:41" ht="66.75" customHeight="1">
      <c r="A23" s="59"/>
      <c r="B23" s="59"/>
      <c r="C23" s="60"/>
      <c r="G23" s="23"/>
      <c r="N23" s="987"/>
      <c r="O23" s="987"/>
      <c r="P23" s="987"/>
      <c r="W23" s="53"/>
      <c r="AC23" s="63"/>
      <c r="AD23" s="64"/>
      <c r="AE23" s="64"/>
      <c r="AF23" s="64"/>
      <c r="AG23" s="64"/>
      <c r="AH23" s="64"/>
      <c r="AI23" s="64"/>
      <c r="AJ23" s="55"/>
      <c r="AK23" s="64"/>
      <c r="AL23" s="64"/>
      <c r="AM23" s="64"/>
      <c r="AN23" s="64"/>
      <c r="AO23" s="65"/>
    </row>
    <row r="24" spans="1:41">
      <c r="A24" s="61"/>
      <c r="B24" s="61"/>
      <c r="C24" s="62"/>
      <c r="G24" s="23"/>
      <c r="W24" s="53"/>
      <c r="AC24" s="63"/>
      <c r="AD24" s="64"/>
      <c r="AE24" s="64"/>
      <c r="AF24" s="64"/>
      <c r="AG24" s="64"/>
      <c r="AH24" s="64"/>
      <c r="AI24" s="64"/>
      <c r="AJ24" s="55"/>
      <c r="AK24" s="64"/>
      <c r="AL24" s="64"/>
      <c r="AM24" s="64"/>
      <c r="AN24" s="64"/>
      <c r="AO24" s="65"/>
    </row>
    <row r="25" spans="1:41">
      <c r="A25" s="59"/>
      <c r="B25" s="59"/>
      <c r="C25" s="60"/>
      <c r="G25" s="23"/>
      <c r="W25" s="53"/>
      <c r="AC25" s="63"/>
      <c r="AD25" s="64"/>
      <c r="AE25" s="64"/>
      <c r="AF25" s="64"/>
      <c r="AG25" s="64"/>
      <c r="AH25" s="64"/>
      <c r="AI25" s="64"/>
      <c r="AJ25" s="55"/>
      <c r="AK25" s="64"/>
      <c r="AL25" s="64"/>
      <c r="AM25" s="64"/>
      <c r="AN25" s="64"/>
      <c r="AO25" s="65"/>
    </row>
    <row r="26" spans="1:41">
      <c r="AC26" s="63"/>
      <c r="AD26" s="64"/>
      <c r="AE26" s="64"/>
      <c r="AF26" s="64"/>
      <c r="AG26" s="64"/>
      <c r="AH26" s="64"/>
      <c r="AI26" s="64"/>
      <c r="AJ26" s="55"/>
      <c r="AK26" s="64"/>
      <c r="AL26" s="64"/>
      <c r="AM26" s="64"/>
      <c r="AN26" s="64"/>
      <c r="AO26" s="65"/>
    </row>
    <row r="27" spans="1:41">
      <c r="R27" s="63"/>
      <c r="S27" s="64"/>
      <c r="T27" s="65"/>
      <c r="U27" s="65"/>
      <c r="V27" s="65"/>
      <c r="W27" s="68"/>
      <c r="AC27" s="63"/>
      <c r="AD27" s="64"/>
      <c r="AE27" s="64"/>
      <c r="AF27" s="64"/>
      <c r="AG27" s="64"/>
      <c r="AH27" s="64"/>
      <c r="AI27" s="64"/>
      <c r="AJ27" s="55"/>
      <c r="AK27" s="64"/>
      <c r="AL27" s="64"/>
      <c r="AM27" s="64"/>
      <c r="AN27" s="64"/>
      <c r="AO27" s="65"/>
    </row>
    <row r="28" spans="1:41">
      <c r="R28" s="63"/>
      <c r="S28" s="64"/>
      <c r="T28" s="65"/>
      <c r="U28" s="65"/>
      <c r="V28" s="65"/>
      <c r="W28" s="68"/>
      <c r="AC28" s="63"/>
      <c r="AD28" s="64"/>
      <c r="AE28" s="64"/>
      <c r="AF28" s="64"/>
      <c r="AG28" s="64"/>
      <c r="AH28" s="64"/>
      <c r="AI28" s="64"/>
      <c r="AJ28" s="55"/>
      <c r="AK28" s="64"/>
      <c r="AL28" s="64"/>
      <c r="AM28" s="64"/>
      <c r="AN28" s="64"/>
      <c r="AO28" s="65"/>
    </row>
    <row r="29" spans="1:41">
      <c r="R29" s="63"/>
      <c r="S29" s="64"/>
      <c r="T29" s="65"/>
      <c r="U29" s="65"/>
      <c r="V29" s="65"/>
      <c r="W29" s="68"/>
      <c r="AC29" s="63"/>
      <c r="AD29" s="64"/>
      <c r="AE29" s="64"/>
      <c r="AF29" s="64"/>
      <c r="AG29" s="64"/>
      <c r="AH29" s="64"/>
      <c r="AI29" s="64"/>
      <c r="AJ29" s="55"/>
      <c r="AK29" s="64"/>
      <c r="AL29" s="64"/>
      <c r="AM29" s="64"/>
      <c r="AN29" s="64"/>
      <c r="AO29" s="65"/>
    </row>
    <row r="30" spans="1:41">
      <c r="R30" s="63"/>
      <c r="S30" s="64"/>
      <c r="T30" s="65"/>
      <c r="U30" s="65"/>
      <c r="V30" s="65"/>
      <c r="W30" s="68"/>
      <c r="AO30" s="53"/>
    </row>
    <row r="31" spans="1:41">
      <c r="R31" s="63"/>
      <c r="S31" s="64"/>
      <c r="T31" s="65"/>
      <c r="U31" s="65"/>
      <c r="V31" s="65"/>
      <c r="W31" s="68"/>
    </row>
    <row r="32" spans="1:41">
      <c r="R32" s="63"/>
      <c r="S32" s="64"/>
      <c r="T32" s="65"/>
      <c r="U32" s="65"/>
      <c r="V32" s="65"/>
      <c r="W32" s="68"/>
    </row>
    <row r="33" spans="1:23">
      <c r="R33" s="63"/>
      <c r="S33" s="64"/>
      <c r="T33" s="65"/>
      <c r="U33" s="65"/>
      <c r="V33" s="65"/>
      <c r="W33" s="68"/>
    </row>
    <row r="34" spans="1:23">
      <c r="R34" s="63"/>
      <c r="S34" s="64"/>
      <c r="T34" s="65"/>
      <c r="U34" s="65"/>
      <c r="V34" s="65"/>
      <c r="W34" s="68"/>
    </row>
    <row r="35" spans="1:23">
      <c r="R35" s="63"/>
      <c r="S35" s="64"/>
      <c r="T35" s="65"/>
      <c r="U35" s="65"/>
      <c r="V35" s="65"/>
      <c r="W35" s="68"/>
    </row>
    <row r="36" spans="1:23">
      <c r="R36" s="63"/>
      <c r="S36" s="64"/>
      <c r="T36" s="65"/>
      <c r="U36" s="65"/>
      <c r="V36" s="65"/>
      <c r="W36" s="68"/>
    </row>
    <row r="42" spans="1:23" ht="14.25" customHeight="1"/>
    <row r="43" spans="1:23">
      <c r="A43" s="61"/>
      <c r="B43" s="61"/>
      <c r="C43" s="62"/>
      <c r="D43" s="61"/>
    </row>
    <row r="44" spans="1:23" ht="14.25" customHeight="1"/>
    <row r="45" spans="1:23">
      <c r="A45" s="61"/>
      <c r="B45" s="61"/>
      <c r="C45" s="62"/>
      <c r="D45" s="61"/>
    </row>
    <row r="46" spans="1:23" ht="14.25" customHeight="1"/>
  </sheetData>
  <mergeCells count="3">
    <mergeCell ref="N19:P19"/>
    <mergeCell ref="N21:P21"/>
    <mergeCell ref="N23:P23"/>
  </mergeCells>
  <pageMargins left="0.511811024" right="0.511811024" top="0.78740157500000008" bottom="0.78740157500000008" header="0.31496062000000008" footer="0.31496062000000008"/>
  <pageSetup paperSize="9" orientation="portrait" r:id="rId1"/>
  <ignoredErrors>
    <ignoredError sqref="K17:M17 F17:J17 B17:E17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/>
  </sheetViews>
  <sheetFormatPr defaultRowHeight="14.25"/>
  <cols>
    <col min="1" max="1" width="10.42578125" style="23" customWidth="1"/>
    <col min="2" max="2" width="13.42578125" style="53" customWidth="1"/>
    <col min="3" max="3" width="11.7109375" style="53" bestFit="1" customWidth="1"/>
    <col min="4" max="4" width="6.28515625" style="23" bestFit="1" customWidth="1"/>
    <col min="5" max="5" width="12" style="23" bestFit="1" customWidth="1"/>
    <col min="6" max="6" width="13.42578125" style="23" bestFit="1" customWidth="1"/>
    <col min="7" max="7" width="11.28515625" style="23" bestFit="1" customWidth="1"/>
    <col min="8" max="8" width="7.5703125" style="23" bestFit="1" customWidth="1"/>
    <col min="9" max="9" width="8.5703125" style="23" bestFit="1" customWidth="1"/>
    <col min="10" max="10" width="13.42578125" style="23" bestFit="1" customWidth="1"/>
    <col min="11" max="11" width="11.28515625" style="23" bestFit="1" customWidth="1"/>
    <col min="12" max="12" width="7.140625" style="23" customWidth="1"/>
    <col min="13" max="13" width="8.5703125" style="23" bestFit="1" customWidth="1"/>
    <col min="14" max="14" width="13.42578125" style="23" bestFit="1" customWidth="1"/>
    <col min="15" max="15" width="12" style="23" customWidth="1"/>
    <col min="16" max="16" width="9.7109375" style="23" customWidth="1"/>
    <col min="17" max="17" width="9.140625" style="23" customWidth="1"/>
    <col min="18" max="16384" width="9.140625" style="23"/>
  </cols>
  <sheetData>
    <row r="1" spans="1:15" ht="15">
      <c r="A1" s="5" t="s">
        <v>0</v>
      </c>
    </row>
    <row r="2" spans="1:15" ht="15">
      <c r="A2" s="5" t="s">
        <v>1</v>
      </c>
    </row>
    <row r="3" spans="1:15" ht="15">
      <c r="A3" s="5"/>
    </row>
    <row r="4" spans="1:15" ht="15">
      <c r="A4" s="5" t="s">
        <v>402</v>
      </c>
    </row>
    <row r="5" spans="1:15" ht="15">
      <c r="A5" s="5"/>
    </row>
    <row r="6" spans="1:15">
      <c r="A6" s="23" t="s">
        <v>149</v>
      </c>
    </row>
    <row r="7" spans="1:15">
      <c r="A7" s="23" t="s">
        <v>150</v>
      </c>
    </row>
    <row r="8" spans="1:15" ht="15" thickBot="1">
      <c r="B8" s="23"/>
      <c r="C8" s="23"/>
    </row>
    <row r="9" spans="1:15" s="73" customFormat="1" ht="41.25" customHeight="1" thickBot="1">
      <c r="A9" s="986" t="str">
        <f>'10_UNIDADES_+_demandadas_2023'!A7</f>
        <v>Secretaria Municipal de Assistência e Desenvolvimento Social</v>
      </c>
      <c r="B9" s="986"/>
      <c r="C9" s="986"/>
      <c r="E9" s="986" t="str">
        <f>'10_UNIDADES_+_demandadas_2023'!A8</f>
        <v>Secretaria Municipal das Subprefeituras</v>
      </c>
      <c r="F9" s="986"/>
      <c r="G9" s="986"/>
      <c r="I9" s="986" t="str">
        <f>'10_UNIDADES_+_demandadas_2023'!A9</f>
        <v>Secretaria Municipal da Saúde</v>
      </c>
      <c r="J9" s="986"/>
      <c r="K9" s="986"/>
      <c r="M9" s="986" t="str">
        <f>'10_UNIDADES_+_demandadas_2023'!A10</f>
        <v>Secretaria Municipal da Fazenda</v>
      </c>
      <c r="N9" s="986"/>
      <c r="O9" s="986"/>
    </row>
    <row r="10" spans="1:15" ht="15.75" thickBot="1">
      <c r="A10" s="18" t="s">
        <v>7</v>
      </c>
      <c r="B10" s="18" t="s">
        <v>151</v>
      </c>
      <c r="C10" s="18" t="s">
        <v>152</v>
      </c>
      <c r="E10" s="19" t="s">
        <v>7</v>
      </c>
      <c r="F10" s="18" t="s">
        <v>151</v>
      </c>
      <c r="G10" s="18" t="s">
        <v>152</v>
      </c>
      <c r="I10" s="18" t="s">
        <v>7</v>
      </c>
      <c r="J10" s="18" t="s">
        <v>151</v>
      </c>
      <c r="K10" s="18" t="s">
        <v>152</v>
      </c>
      <c r="M10" s="19" t="s">
        <v>7</v>
      </c>
      <c r="N10" s="19" t="s">
        <v>151</v>
      </c>
      <c r="O10" s="19" t="s">
        <v>152</v>
      </c>
    </row>
    <row r="11" spans="1:15" ht="15">
      <c r="A11" s="466">
        <v>44927</v>
      </c>
      <c r="B11" s="124">
        <f>'10_UNIDADES_+_demandadas_2023'!M7</f>
        <v>564</v>
      </c>
      <c r="C11" s="125">
        <f>((B11-424)/424)*100</f>
        <v>33.018867924528301</v>
      </c>
      <c r="E11" s="466">
        <v>44927</v>
      </c>
      <c r="F11" s="124">
        <f>'10_UNIDADES_+_demandadas_2023'!M8</f>
        <v>545</v>
      </c>
      <c r="G11" s="125">
        <f>((F11-454)/454)*100</f>
        <v>20.044052863436125</v>
      </c>
      <c r="I11" s="466">
        <v>44927</v>
      </c>
      <c r="J11" s="124">
        <f>'10_UNIDADES_+_demandadas_2023'!M9</f>
        <v>343</v>
      </c>
      <c r="K11" s="125">
        <f>((J11-251)/251)*100</f>
        <v>36.65338645418327</v>
      </c>
      <c r="M11" s="466">
        <v>44927</v>
      </c>
      <c r="N11" s="75">
        <f>'10_UNIDADES_+_demandadas_2023'!M10</f>
        <v>328</v>
      </c>
      <c r="O11" s="81">
        <f>((N11-263)/263)*100</f>
        <v>24.714828897338403</v>
      </c>
    </row>
    <row r="12" spans="1:15" ht="15">
      <c r="A12" s="467">
        <v>44958</v>
      </c>
      <c r="B12" s="126">
        <f>'10_UNIDADES_+_demandadas_2023'!L7</f>
        <v>0</v>
      </c>
      <c r="C12" s="127">
        <f t="shared" ref="C12:C22" si="0">((B12-B11)/B11)*100</f>
        <v>-100</v>
      </c>
      <c r="E12" s="467">
        <v>44958</v>
      </c>
      <c r="F12" s="126">
        <f>'10_UNIDADES_+_demandadas_2023'!L8</f>
        <v>0</v>
      </c>
      <c r="G12" s="127">
        <f t="shared" ref="G12:G22" si="1">((F12-F11)/F11)*100</f>
        <v>-100</v>
      </c>
      <c r="I12" s="467">
        <v>44958</v>
      </c>
      <c r="J12" s="126">
        <f>'10_UNIDADES_+_demandadas_2023'!L9</f>
        <v>0</v>
      </c>
      <c r="K12" s="127">
        <f t="shared" ref="K12:K22" si="2">((J12-J11)/J11)*100</f>
        <v>-100</v>
      </c>
      <c r="M12" s="467">
        <v>44958</v>
      </c>
      <c r="N12" s="76">
        <f>'10_UNIDADES_+_demandadas_2023'!L10</f>
        <v>0</v>
      </c>
      <c r="O12" s="21">
        <f t="shared" ref="O12:O22" si="3">((N12-N11)/N11)*100</f>
        <v>-100</v>
      </c>
    </row>
    <row r="13" spans="1:15" ht="15">
      <c r="A13" s="467">
        <v>44986</v>
      </c>
      <c r="B13" s="126">
        <f>'10_UNIDADES_+_demandadas_2023'!K7</f>
        <v>0</v>
      </c>
      <c r="C13" s="127" t="e">
        <f t="shared" si="0"/>
        <v>#DIV/0!</v>
      </c>
      <c r="E13" s="467">
        <v>44986</v>
      </c>
      <c r="F13" s="126">
        <f>'10_UNIDADES_+_demandadas_2023'!K8</f>
        <v>0</v>
      </c>
      <c r="G13" s="127" t="e">
        <f t="shared" si="1"/>
        <v>#DIV/0!</v>
      </c>
      <c r="I13" s="467">
        <v>44986</v>
      </c>
      <c r="J13" s="126" t="e">
        <f>'10_UNIDADES_+_demandadas_2023'!#REF!</f>
        <v>#REF!</v>
      </c>
      <c r="K13" s="127" t="e">
        <f t="shared" si="2"/>
        <v>#REF!</v>
      </c>
      <c r="M13" s="467">
        <v>44986</v>
      </c>
      <c r="N13" s="76">
        <f>'10_UNIDADES_+_demandadas_2023'!K9</f>
        <v>0</v>
      </c>
      <c r="O13" s="21" t="e">
        <f t="shared" si="3"/>
        <v>#DIV/0!</v>
      </c>
    </row>
    <row r="14" spans="1:15" ht="15">
      <c r="A14" s="467">
        <v>45017</v>
      </c>
      <c r="B14" s="126">
        <f>'10_UNIDADES_+_demandadas_2023'!J7</f>
        <v>0</v>
      </c>
      <c r="C14" s="127" t="e">
        <f t="shared" si="0"/>
        <v>#DIV/0!</v>
      </c>
      <c r="E14" s="467">
        <v>45017</v>
      </c>
      <c r="F14" s="126">
        <f>'10_UNIDADES_+_demandadas_2023'!J8</f>
        <v>0</v>
      </c>
      <c r="G14" s="127" t="e">
        <f t="shared" si="1"/>
        <v>#DIV/0!</v>
      </c>
      <c r="I14" s="467">
        <v>45017</v>
      </c>
      <c r="J14" s="126" t="e">
        <f>'10_UNIDADES_+_demandadas_2023'!#REF!</f>
        <v>#REF!</v>
      </c>
      <c r="K14" s="127" t="e">
        <f t="shared" si="2"/>
        <v>#REF!</v>
      </c>
      <c r="M14" s="467">
        <v>45017</v>
      </c>
      <c r="N14" s="76">
        <f>'10_UNIDADES_+_demandadas_2023'!J9</f>
        <v>0</v>
      </c>
      <c r="O14" s="21" t="e">
        <f t="shared" si="3"/>
        <v>#DIV/0!</v>
      </c>
    </row>
    <row r="15" spans="1:15" ht="15">
      <c r="A15" s="467">
        <v>45047</v>
      </c>
      <c r="B15" s="126">
        <f>'10_UNIDADES_+_demandadas_2023'!I7</f>
        <v>0</v>
      </c>
      <c r="C15" s="127" t="e">
        <f t="shared" si="0"/>
        <v>#DIV/0!</v>
      </c>
      <c r="E15" s="467">
        <v>45047</v>
      </c>
      <c r="F15" s="126">
        <f>'10_UNIDADES_+_demandadas_2023'!I8</f>
        <v>0</v>
      </c>
      <c r="G15" s="127" t="e">
        <f t="shared" si="1"/>
        <v>#DIV/0!</v>
      </c>
      <c r="I15" s="467">
        <v>45047</v>
      </c>
      <c r="J15" s="126" t="e">
        <f>'10_UNIDADES_+_demandadas_2023'!#REF!</f>
        <v>#REF!</v>
      </c>
      <c r="K15" s="127" t="e">
        <f t="shared" si="2"/>
        <v>#REF!</v>
      </c>
      <c r="M15" s="467">
        <v>45047</v>
      </c>
      <c r="N15" s="76">
        <f>'10_UNIDADES_+_demandadas_2023'!I9</f>
        <v>0</v>
      </c>
      <c r="O15" s="21" t="e">
        <f t="shared" si="3"/>
        <v>#DIV/0!</v>
      </c>
    </row>
    <row r="16" spans="1:15" ht="15">
      <c r="A16" s="467">
        <v>45078</v>
      </c>
      <c r="B16" s="126">
        <f>'10_UNIDADES_+_demandadas_2023'!H7</f>
        <v>0</v>
      </c>
      <c r="C16" s="127" t="e">
        <f t="shared" si="0"/>
        <v>#DIV/0!</v>
      </c>
      <c r="E16" s="467">
        <v>45078</v>
      </c>
      <c r="F16" s="126">
        <f>'10_UNIDADES_+_demandadas_2023'!H8</f>
        <v>0</v>
      </c>
      <c r="G16" s="127" t="e">
        <f t="shared" si="1"/>
        <v>#DIV/0!</v>
      </c>
      <c r="I16" s="467">
        <v>45078</v>
      </c>
      <c r="J16" s="126" t="e">
        <f>'10_UNIDADES_+_demandadas_2023'!#REF!</f>
        <v>#REF!</v>
      </c>
      <c r="K16" s="127" t="e">
        <f t="shared" si="2"/>
        <v>#REF!</v>
      </c>
      <c r="M16" s="467">
        <v>45078</v>
      </c>
      <c r="N16" s="76">
        <f>'10_UNIDADES_+_demandadas_2023'!H9</f>
        <v>0</v>
      </c>
      <c r="O16" s="21" t="e">
        <f t="shared" si="3"/>
        <v>#DIV/0!</v>
      </c>
    </row>
    <row r="17" spans="1:15" ht="15">
      <c r="A17" s="467">
        <v>45108</v>
      </c>
      <c r="B17" s="126">
        <f>'10_UNIDADES_+_demandadas_2023'!G7</f>
        <v>0</v>
      </c>
      <c r="C17" s="127" t="e">
        <f t="shared" si="0"/>
        <v>#DIV/0!</v>
      </c>
      <c r="E17" s="467">
        <v>45108</v>
      </c>
      <c r="F17" s="126">
        <f>'10_UNIDADES_+_demandadas_2023'!G8</f>
        <v>0</v>
      </c>
      <c r="G17" s="127" t="e">
        <f t="shared" si="1"/>
        <v>#DIV/0!</v>
      </c>
      <c r="I17" s="467">
        <v>45108</v>
      </c>
      <c r="J17" s="126" t="e">
        <f>'10_UNIDADES_+_demandadas_2023'!#REF!</f>
        <v>#REF!</v>
      </c>
      <c r="K17" s="127" t="e">
        <f t="shared" si="2"/>
        <v>#REF!</v>
      </c>
      <c r="M17" s="467">
        <v>45108</v>
      </c>
      <c r="N17" s="76">
        <f>'10_UNIDADES_+_demandadas_2023'!G9</f>
        <v>0</v>
      </c>
      <c r="O17" s="21" t="e">
        <f t="shared" si="3"/>
        <v>#DIV/0!</v>
      </c>
    </row>
    <row r="18" spans="1:15" ht="15">
      <c r="A18" s="467">
        <v>45139</v>
      </c>
      <c r="B18" s="126">
        <f>'10_UNIDADES_+_demandadas_2023'!F7</f>
        <v>0</v>
      </c>
      <c r="C18" s="127" t="e">
        <f t="shared" si="0"/>
        <v>#DIV/0!</v>
      </c>
      <c r="E18" s="467">
        <v>45139</v>
      </c>
      <c r="F18" s="126">
        <f>'10_UNIDADES_+_demandadas_2023'!F8</f>
        <v>0</v>
      </c>
      <c r="G18" s="127" t="e">
        <f t="shared" si="1"/>
        <v>#DIV/0!</v>
      </c>
      <c r="I18" s="467">
        <v>45139</v>
      </c>
      <c r="J18" s="126" t="e">
        <f>'10_UNIDADES_+_demandadas_2023'!#REF!</f>
        <v>#REF!</v>
      </c>
      <c r="K18" s="127" t="e">
        <f t="shared" si="2"/>
        <v>#REF!</v>
      </c>
      <c r="M18" s="467">
        <v>45139</v>
      </c>
      <c r="N18" s="76">
        <f>'10_UNIDADES_+_demandadas_2023'!F9</f>
        <v>0</v>
      </c>
      <c r="O18" s="21" t="e">
        <f t="shared" si="3"/>
        <v>#DIV/0!</v>
      </c>
    </row>
    <row r="19" spans="1:15" ht="15">
      <c r="A19" s="467">
        <v>45170</v>
      </c>
      <c r="B19" s="126">
        <f>'10_UNIDADES_+_demandadas_2023'!E7</f>
        <v>0</v>
      </c>
      <c r="C19" s="127" t="e">
        <f t="shared" si="0"/>
        <v>#DIV/0!</v>
      </c>
      <c r="E19" s="467">
        <v>45170</v>
      </c>
      <c r="F19" s="126">
        <f>'10_UNIDADES_+_demandadas_2023'!E8</f>
        <v>0</v>
      </c>
      <c r="G19" s="127" t="e">
        <f t="shared" si="1"/>
        <v>#DIV/0!</v>
      </c>
      <c r="I19" s="467">
        <v>45170</v>
      </c>
      <c r="J19" s="126" t="e">
        <f>'10_UNIDADES_+_demandadas_2023'!#REF!</f>
        <v>#REF!</v>
      </c>
      <c r="K19" s="127" t="e">
        <f t="shared" si="2"/>
        <v>#REF!</v>
      </c>
      <c r="M19" s="467">
        <v>45170</v>
      </c>
      <c r="N19" s="76">
        <f>'10_UNIDADES_+_demandadas_2023'!E9</f>
        <v>0</v>
      </c>
      <c r="O19" s="21" t="e">
        <f t="shared" si="3"/>
        <v>#DIV/0!</v>
      </c>
    </row>
    <row r="20" spans="1:15" ht="15">
      <c r="A20" s="467">
        <v>45200</v>
      </c>
      <c r="B20" s="126">
        <f>'10_UNIDADES_+_demandadas_2023'!D7</f>
        <v>0</v>
      </c>
      <c r="C20" s="127" t="e">
        <f t="shared" si="0"/>
        <v>#DIV/0!</v>
      </c>
      <c r="E20" s="467">
        <v>45200</v>
      </c>
      <c r="F20" s="126">
        <f>'10_UNIDADES_+_demandadas_2023'!D8</f>
        <v>0</v>
      </c>
      <c r="G20" s="127" t="e">
        <f t="shared" si="1"/>
        <v>#DIV/0!</v>
      </c>
      <c r="I20" s="467">
        <v>45200</v>
      </c>
      <c r="J20" s="126" t="e">
        <f>'10_UNIDADES_+_demandadas_2023'!#REF!</f>
        <v>#REF!</v>
      </c>
      <c r="K20" s="127" t="e">
        <f t="shared" si="2"/>
        <v>#REF!</v>
      </c>
      <c r="M20" s="467">
        <v>45200</v>
      </c>
      <c r="N20" s="76">
        <f>'10_UNIDADES_+_demandadas_2023'!D9</f>
        <v>0</v>
      </c>
      <c r="O20" s="21" t="e">
        <f t="shared" si="3"/>
        <v>#DIV/0!</v>
      </c>
    </row>
    <row r="21" spans="1:15" ht="15">
      <c r="A21" s="467">
        <v>45231</v>
      </c>
      <c r="B21" s="126">
        <f>'10_UNIDADES_+_demandadas_2023'!C7</f>
        <v>0</v>
      </c>
      <c r="C21" s="127" t="e">
        <f t="shared" si="0"/>
        <v>#DIV/0!</v>
      </c>
      <c r="E21" s="467">
        <v>45231</v>
      </c>
      <c r="F21" s="126">
        <f>'10_UNIDADES_+_demandadas_2023'!C8</f>
        <v>0</v>
      </c>
      <c r="G21" s="127" t="e">
        <f t="shared" si="1"/>
        <v>#DIV/0!</v>
      </c>
      <c r="I21" s="467">
        <v>45231</v>
      </c>
      <c r="J21" s="126" t="e">
        <f>'10_UNIDADES_+_demandadas_2023'!#REF!</f>
        <v>#REF!</v>
      </c>
      <c r="K21" s="127" t="e">
        <f t="shared" si="2"/>
        <v>#REF!</v>
      </c>
      <c r="M21" s="467">
        <v>45231</v>
      </c>
      <c r="N21" s="76">
        <f>'10_UNIDADES_+_demandadas_2023'!C9</f>
        <v>0</v>
      </c>
      <c r="O21" s="21" t="e">
        <f t="shared" si="3"/>
        <v>#DIV/0!</v>
      </c>
    </row>
    <row r="22" spans="1:15" ht="15.75" thickBot="1">
      <c r="A22" s="468">
        <v>45261</v>
      </c>
      <c r="B22" s="128">
        <f>'10_UNIDADES_+_demandadas_2023'!$B$7</f>
        <v>0</v>
      </c>
      <c r="C22" s="129" t="e">
        <f t="shared" si="0"/>
        <v>#DIV/0!</v>
      </c>
      <c r="E22" s="468">
        <v>45261</v>
      </c>
      <c r="F22" s="128">
        <f>'10_UNIDADES_+_demandadas_2023'!$B$8</f>
        <v>0</v>
      </c>
      <c r="G22" s="129" t="e">
        <f t="shared" si="1"/>
        <v>#DIV/0!</v>
      </c>
      <c r="I22" s="468">
        <v>45261</v>
      </c>
      <c r="J22" s="128" t="e">
        <f>'10_UNIDADES_+_demandadas_2023'!#REF!</f>
        <v>#REF!</v>
      </c>
      <c r="K22" s="129" t="e">
        <f t="shared" si="2"/>
        <v>#REF!</v>
      </c>
      <c r="M22" s="468">
        <v>45261</v>
      </c>
      <c r="N22" s="104">
        <f>'10_UNIDADES_+_demandadas_2023'!$B$9</f>
        <v>0</v>
      </c>
      <c r="O22" s="27" t="e">
        <f t="shared" si="3"/>
        <v>#DIV/0!</v>
      </c>
    </row>
    <row r="23" spans="1:15">
      <c r="B23" s="23"/>
      <c r="C23" s="23"/>
    </row>
    <row r="24" spans="1:15" ht="15" thickBot="1">
      <c r="B24" s="23"/>
      <c r="C24" s="23"/>
    </row>
    <row r="25" spans="1:15" ht="30.75" customHeight="1" thickBot="1">
      <c r="A25" s="986" t="str">
        <f>'10_UNIDADES_+_demandadas_2023'!A11</f>
        <v>Companhia de Engenharia de Tráfego - CET</v>
      </c>
      <c r="B25" s="986"/>
      <c r="C25" s="986"/>
      <c r="E25" s="986" t="str">
        <f>'10_UNIDADES_+_demandadas_2023'!A12</f>
        <v>Secretaria Executiva de Limpeza Urbana**</v>
      </c>
      <c r="F25" s="986"/>
      <c r="G25" s="986"/>
      <c r="I25" s="986" t="str">
        <f>'10_UNIDADES_+_demandadas_2023'!A13</f>
        <v>São Paulo Transportes - SPTRANS</v>
      </c>
      <c r="J25" s="986"/>
      <c r="K25" s="986"/>
      <c r="M25" s="986" t="str">
        <f>'10_UNIDADES_+_demandadas_2023'!A14</f>
        <v>Secretaria Municipal de Educação</v>
      </c>
      <c r="N25" s="986"/>
      <c r="O25" s="986"/>
    </row>
    <row r="26" spans="1:15" ht="15.75" thickBot="1">
      <c r="A26" s="18" t="s">
        <v>7</v>
      </c>
      <c r="B26" s="19" t="s">
        <v>151</v>
      </c>
      <c r="C26" s="19" t="s">
        <v>152</v>
      </c>
      <c r="E26" s="19" t="s">
        <v>7</v>
      </c>
      <c r="F26" s="19" t="s">
        <v>151</v>
      </c>
      <c r="G26" s="19" t="s">
        <v>152</v>
      </c>
      <c r="I26" s="18" t="s">
        <v>7</v>
      </c>
      <c r="J26" s="19" t="s">
        <v>151</v>
      </c>
      <c r="K26" s="19" t="s">
        <v>152</v>
      </c>
      <c r="M26" s="105" t="s">
        <v>7</v>
      </c>
      <c r="N26" s="19" t="s">
        <v>151</v>
      </c>
      <c r="O26" s="19" t="s">
        <v>152</v>
      </c>
    </row>
    <row r="27" spans="1:15" ht="15">
      <c r="A27" s="466">
        <v>44927</v>
      </c>
      <c r="B27" s="75">
        <f>'10_UNIDADES_+_demandadas_2023'!M11</f>
        <v>327</v>
      </c>
      <c r="C27" s="81">
        <f>((B27-213)/213)*100</f>
        <v>53.521126760563376</v>
      </c>
      <c r="E27" s="466">
        <v>44927</v>
      </c>
      <c r="F27" s="75">
        <f>'10_UNIDADES_+_demandadas_2023'!M12</f>
        <v>247</v>
      </c>
      <c r="G27" s="81">
        <f>((F27-242)/242)*100</f>
        <v>2.0661157024793391</v>
      </c>
      <c r="I27" s="466">
        <v>44927</v>
      </c>
      <c r="J27" s="75">
        <f>'10_UNIDADES_+_demandadas_2023'!M13</f>
        <v>140</v>
      </c>
      <c r="K27" s="81">
        <f>((J27-135)/135)*100</f>
        <v>3.7037037037037033</v>
      </c>
      <c r="M27" s="466">
        <v>44927</v>
      </c>
      <c r="N27" s="75">
        <f>'10_UNIDADES_+_demandadas_2023'!M14</f>
        <v>131</v>
      </c>
      <c r="O27" s="81">
        <f>((N27-112)/112)*100</f>
        <v>16.964285714285715</v>
      </c>
    </row>
    <row r="28" spans="1:15" ht="15">
      <c r="A28" s="467">
        <v>44958</v>
      </c>
      <c r="B28" s="76">
        <f>'10_UNIDADES_+_demandadas_2023'!L11</f>
        <v>0</v>
      </c>
      <c r="C28" s="21">
        <f t="shared" ref="C28:C38" si="4">((B28-B27)/B27)*100</f>
        <v>-100</v>
      </c>
      <c r="E28" s="467">
        <v>44958</v>
      </c>
      <c r="F28" s="76">
        <f>'10_UNIDADES_+_demandadas_2023'!L12</f>
        <v>0</v>
      </c>
      <c r="G28" s="21">
        <f t="shared" ref="G28:G38" si="5">((F28-F27)/F27)*100</f>
        <v>-100</v>
      </c>
      <c r="I28" s="467">
        <v>44958</v>
      </c>
      <c r="J28" s="76">
        <f>'10_UNIDADES_+_demandadas_2023'!L13</f>
        <v>0</v>
      </c>
      <c r="K28" s="21">
        <f t="shared" ref="K28:K38" si="6">((J28-J27)/J27)*100</f>
        <v>-100</v>
      </c>
      <c r="M28" s="467">
        <v>44958</v>
      </c>
      <c r="N28" s="76">
        <f>'10_UNIDADES_+_demandadas_2023'!L14</f>
        <v>0</v>
      </c>
      <c r="O28" s="21">
        <f t="shared" ref="O28:O38" si="7">((N28-N27)/N27)*100</f>
        <v>-100</v>
      </c>
    </row>
    <row r="29" spans="1:15" ht="15">
      <c r="A29" s="467">
        <v>44986</v>
      </c>
      <c r="B29" s="76">
        <f>'10_UNIDADES_+_demandadas_2023'!K11</f>
        <v>0</v>
      </c>
      <c r="C29" s="21" t="e">
        <f t="shared" si="4"/>
        <v>#DIV/0!</v>
      </c>
      <c r="E29" s="467">
        <v>44986</v>
      </c>
      <c r="F29" s="76">
        <f>'10_UNIDADES_+_demandadas_2023'!K12</f>
        <v>0</v>
      </c>
      <c r="G29" s="21" t="e">
        <f t="shared" si="5"/>
        <v>#DIV/0!</v>
      </c>
      <c r="I29" s="467">
        <v>44986</v>
      </c>
      <c r="J29" s="76">
        <f>'10_UNIDADES_+_demandadas_2023'!K13</f>
        <v>0</v>
      </c>
      <c r="K29" s="21" t="e">
        <f t="shared" si="6"/>
        <v>#DIV/0!</v>
      </c>
      <c r="M29" s="467">
        <v>44986</v>
      </c>
      <c r="N29" s="76">
        <f>'10_UNIDADES_+_demandadas_2023'!K14</f>
        <v>0</v>
      </c>
      <c r="O29" s="21" t="e">
        <f t="shared" si="7"/>
        <v>#DIV/0!</v>
      </c>
    </row>
    <row r="30" spans="1:15" ht="15">
      <c r="A30" s="467">
        <v>45017</v>
      </c>
      <c r="B30" s="76">
        <f>'10_UNIDADES_+_demandadas_2023'!J11</f>
        <v>0</v>
      </c>
      <c r="C30" s="21" t="e">
        <f t="shared" si="4"/>
        <v>#DIV/0!</v>
      </c>
      <c r="E30" s="467">
        <v>45017</v>
      </c>
      <c r="F30" s="76">
        <f>'10_UNIDADES_+_demandadas_2023'!J12</f>
        <v>0</v>
      </c>
      <c r="G30" s="21" t="e">
        <f t="shared" si="5"/>
        <v>#DIV/0!</v>
      </c>
      <c r="I30" s="467">
        <v>45017</v>
      </c>
      <c r="J30" s="76">
        <f>'10_UNIDADES_+_demandadas_2023'!J13</f>
        <v>0</v>
      </c>
      <c r="K30" s="21" t="e">
        <f t="shared" si="6"/>
        <v>#DIV/0!</v>
      </c>
      <c r="M30" s="467">
        <v>45017</v>
      </c>
      <c r="N30" s="76">
        <f>'10_UNIDADES_+_demandadas_2023'!J14</f>
        <v>0</v>
      </c>
      <c r="O30" s="21" t="e">
        <f t="shared" si="7"/>
        <v>#DIV/0!</v>
      </c>
    </row>
    <row r="31" spans="1:15" ht="15">
      <c r="A31" s="467">
        <v>45047</v>
      </c>
      <c r="B31" s="76">
        <f>'10_UNIDADES_+_demandadas_2023'!I11</f>
        <v>0</v>
      </c>
      <c r="C31" s="21" t="e">
        <f t="shared" si="4"/>
        <v>#DIV/0!</v>
      </c>
      <c r="E31" s="467">
        <v>45047</v>
      </c>
      <c r="F31" s="76">
        <f>'10_UNIDADES_+_demandadas_2023'!I12</f>
        <v>0</v>
      </c>
      <c r="G31" s="21" t="e">
        <f t="shared" si="5"/>
        <v>#DIV/0!</v>
      </c>
      <c r="I31" s="467">
        <v>45047</v>
      </c>
      <c r="J31" s="76">
        <f>'10_UNIDADES_+_demandadas_2023'!I13</f>
        <v>0</v>
      </c>
      <c r="K31" s="21" t="e">
        <f t="shared" si="6"/>
        <v>#DIV/0!</v>
      </c>
      <c r="M31" s="467">
        <v>45047</v>
      </c>
      <c r="N31" s="76">
        <f>'10_UNIDADES_+_demandadas_2023'!I14</f>
        <v>0</v>
      </c>
      <c r="O31" s="21" t="e">
        <f t="shared" si="7"/>
        <v>#DIV/0!</v>
      </c>
    </row>
    <row r="32" spans="1:15" ht="15">
      <c r="A32" s="467">
        <v>45078</v>
      </c>
      <c r="B32" s="76">
        <f>'10_UNIDADES_+_demandadas_2023'!H11</f>
        <v>0</v>
      </c>
      <c r="C32" s="21" t="e">
        <f t="shared" si="4"/>
        <v>#DIV/0!</v>
      </c>
      <c r="E32" s="467">
        <v>45078</v>
      </c>
      <c r="F32" s="76">
        <f>'10_UNIDADES_+_demandadas_2023'!H12</f>
        <v>0</v>
      </c>
      <c r="G32" s="21" t="e">
        <f t="shared" si="5"/>
        <v>#DIV/0!</v>
      </c>
      <c r="I32" s="467">
        <v>45078</v>
      </c>
      <c r="J32" s="76">
        <f>'10_UNIDADES_+_demandadas_2023'!H13</f>
        <v>0</v>
      </c>
      <c r="K32" s="21" t="e">
        <f t="shared" si="6"/>
        <v>#DIV/0!</v>
      </c>
      <c r="M32" s="467">
        <v>45078</v>
      </c>
      <c r="N32" s="76">
        <f>'10_UNIDADES_+_demandadas_2023'!H14</f>
        <v>0</v>
      </c>
      <c r="O32" s="21" t="e">
        <f t="shared" si="7"/>
        <v>#DIV/0!</v>
      </c>
    </row>
    <row r="33" spans="1:15" ht="15">
      <c r="A33" s="467">
        <v>45108</v>
      </c>
      <c r="B33" s="76">
        <f>'10_UNIDADES_+_demandadas_2023'!G11</f>
        <v>0</v>
      </c>
      <c r="C33" s="21" t="e">
        <f t="shared" si="4"/>
        <v>#DIV/0!</v>
      </c>
      <c r="E33" s="467">
        <v>45108</v>
      </c>
      <c r="F33" s="76">
        <f>'10_UNIDADES_+_demandadas_2023'!G12</f>
        <v>0</v>
      </c>
      <c r="G33" s="21" t="e">
        <f t="shared" si="5"/>
        <v>#DIV/0!</v>
      </c>
      <c r="I33" s="467">
        <v>45108</v>
      </c>
      <c r="J33" s="76">
        <f>'10_UNIDADES_+_demandadas_2023'!G13</f>
        <v>0</v>
      </c>
      <c r="K33" s="21" t="e">
        <f t="shared" si="6"/>
        <v>#DIV/0!</v>
      </c>
      <c r="M33" s="467">
        <v>45108</v>
      </c>
      <c r="N33" s="76">
        <f>'10_UNIDADES_+_demandadas_2023'!G14</f>
        <v>0</v>
      </c>
      <c r="O33" s="21" t="e">
        <f t="shared" si="7"/>
        <v>#DIV/0!</v>
      </c>
    </row>
    <row r="34" spans="1:15" ht="15">
      <c r="A34" s="467">
        <v>45139</v>
      </c>
      <c r="B34" s="76">
        <f>'10_UNIDADES_+_demandadas_2023'!F11</f>
        <v>0</v>
      </c>
      <c r="C34" s="21" t="e">
        <f t="shared" si="4"/>
        <v>#DIV/0!</v>
      </c>
      <c r="E34" s="467">
        <v>45139</v>
      </c>
      <c r="F34" s="76">
        <f>'10_UNIDADES_+_demandadas_2023'!F12</f>
        <v>0</v>
      </c>
      <c r="G34" s="21" t="e">
        <f t="shared" si="5"/>
        <v>#DIV/0!</v>
      </c>
      <c r="I34" s="467">
        <v>45139</v>
      </c>
      <c r="J34" s="76">
        <f>'10_UNIDADES_+_demandadas_2023'!F13</f>
        <v>0</v>
      </c>
      <c r="K34" s="21" t="e">
        <f t="shared" si="6"/>
        <v>#DIV/0!</v>
      </c>
      <c r="M34" s="467">
        <v>45139</v>
      </c>
      <c r="N34" s="76">
        <f>'10_UNIDADES_+_demandadas_2023'!F14</f>
        <v>0</v>
      </c>
      <c r="O34" s="21" t="e">
        <f t="shared" si="7"/>
        <v>#DIV/0!</v>
      </c>
    </row>
    <row r="35" spans="1:15" ht="15">
      <c r="A35" s="467">
        <v>45170</v>
      </c>
      <c r="B35" s="76">
        <f>'10_UNIDADES_+_demandadas_2023'!E11</f>
        <v>0</v>
      </c>
      <c r="C35" s="21" t="e">
        <f t="shared" si="4"/>
        <v>#DIV/0!</v>
      </c>
      <c r="E35" s="467">
        <v>45170</v>
      </c>
      <c r="F35" s="76">
        <f>'10_UNIDADES_+_demandadas_2023'!E12</f>
        <v>0</v>
      </c>
      <c r="G35" s="21" t="e">
        <f t="shared" si="5"/>
        <v>#DIV/0!</v>
      </c>
      <c r="I35" s="467">
        <v>45170</v>
      </c>
      <c r="J35" s="76">
        <f>'10_UNIDADES_+_demandadas_2023'!E13</f>
        <v>0</v>
      </c>
      <c r="K35" s="21" t="e">
        <f t="shared" si="6"/>
        <v>#DIV/0!</v>
      </c>
      <c r="M35" s="467">
        <v>45170</v>
      </c>
      <c r="N35" s="76">
        <f>'10_UNIDADES_+_demandadas_2023'!E14</f>
        <v>0</v>
      </c>
      <c r="O35" s="21" t="e">
        <f t="shared" si="7"/>
        <v>#DIV/0!</v>
      </c>
    </row>
    <row r="36" spans="1:15" ht="15">
      <c r="A36" s="467">
        <v>45200</v>
      </c>
      <c r="B36" s="76">
        <f>'10_UNIDADES_+_demandadas_2023'!D11</f>
        <v>0</v>
      </c>
      <c r="C36" s="21" t="e">
        <f t="shared" si="4"/>
        <v>#DIV/0!</v>
      </c>
      <c r="E36" s="467">
        <v>45200</v>
      </c>
      <c r="F36" s="76">
        <f>'10_UNIDADES_+_demandadas_2023'!D12</f>
        <v>0</v>
      </c>
      <c r="G36" s="21" t="e">
        <f t="shared" si="5"/>
        <v>#DIV/0!</v>
      </c>
      <c r="I36" s="467">
        <v>45200</v>
      </c>
      <c r="J36" s="76">
        <f>'10_UNIDADES_+_demandadas_2023'!D13</f>
        <v>0</v>
      </c>
      <c r="K36" s="21" t="e">
        <f t="shared" si="6"/>
        <v>#DIV/0!</v>
      </c>
      <c r="M36" s="467">
        <v>45200</v>
      </c>
      <c r="N36" s="76">
        <f>'10_UNIDADES_+_demandadas_2023'!D14</f>
        <v>0</v>
      </c>
      <c r="O36" s="21" t="e">
        <f t="shared" si="7"/>
        <v>#DIV/0!</v>
      </c>
    </row>
    <row r="37" spans="1:15" ht="15">
      <c r="A37" s="467">
        <v>45231</v>
      </c>
      <c r="B37" s="76">
        <f>'10_UNIDADES_+_demandadas_2023'!C11</f>
        <v>0</v>
      </c>
      <c r="C37" s="21" t="e">
        <f t="shared" si="4"/>
        <v>#DIV/0!</v>
      </c>
      <c r="E37" s="467">
        <v>45231</v>
      </c>
      <c r="F37" s="77">
        <f>'10_UNIDADES_+_demandadas_2023'!C12</f>
        <v>0</v>
      </c>
      <c r="G37" s="21" t="e">
        <f t="shared" si="5"/>
        <v>#DIV/0!</v>
      </c>
      <c r="I37" s="467">
        <v>45231</v>
      </c>
      <c r="J37" s="76">
        <f>'10_UNIDADES_+_demandadas_2023'!C13</f>
        <v>0</v>
      </c>
      <c r="K37" s="21" t="e">
        <f t="shared" si="6"/>
        <v>#DIV/0!</v>
      </c>
      <c r="M37" s="467">
        <v>45231</v>
      </c>
      <c r="N37" s="76">
        <f>'10_UNIDADES_+_demandadas_2023'!C14</f>
        <v>0</v>
      </c>
      <c r="O37" s="21" t="e">
        <f t="shared" si="7"/>
        <v>#DIV/0!</v>
      </c>
    </row>
    <row r="38" spans="1:15" ht="15.75" thickBot="1">
      <c r="A38" s="468">
        <v>45261</v>
      </c>
      <c r="B38" s="104">
        <f>'10_UNIDADES_+_demandadas_2023'!B11</f>
        <v>0</v>
      </c>
      <c r="C38" s="27" t="e">
        <f t="shared" si="4"/>
        <v>#DIV/0!</v>
      </c>
      <c r="E38" s="468">
        <v>45261</v>
      </c>
      <c r="F38" s="78">
        <f>'10_UNIDADES_+_demandadas_2023'!B12</f>
        <v>0</v>
      </c>
      <c r="G38" s="27" t="e">
        <f t="shared" si="5"/>
        <v>#DIV/0!</v>
      </c>
      <c r="I38" s="468">
        <v>45261</v>
      </c>
      <c r="J38" s="104">
        <f>'10_UNIDADES_+_demandadas_2023'!B13</f>
        <v>0</v>
      </c>
      <c r="K38" s="27" t="e">
        <f t="shared" si="6"/>
        <v>#DIV/0!</v>
      </c>
      <c r="M38" s="468">
        <v>45261</v>
      </c>
      <c r="N38" s="104">
        <f>'10_UNIDADES_+_demandadas_2023'!B14</f>
        <v>0</v>
      </c>
      <c r="O38" s="27" t="e">
        <f t="shared" si="7"/>
        <v>#DIV/0!</v>
      </c>
    </row>
    <row r="39" spans="1:15">
      <c r="B39" s="23"/>
      <c r="C39" s="23"/>
    </row>
    <row r="40" spans="1:15" ht="15" thickBot="1">
      <c r="B40" s="23"/>
      <c r="C40" s="23"/>
    </row>
    <row r="41" spans="1:15" ht="30.75" customHeight="1" thickBot="1">
      <c r="A41" s="986" t="str">
        <f>'10_UNIDADES_+_demandadas_2023'!A15</f>
        <v>Órgão externo</v>
      </c>
      <c r="B41" s="986"/>
      <c r="C41" s="986"/>
      <c r="E41" s="986" t="str">
        <f>'10_UNIDADES_+_demandadas_2023'!A16</f>
        <v>Subprefeitura Penha</v>
      </c>
      <c r="F41" s="986"/>
      <c r="G41" s="986"/>
    </row>
    <row r="42" spans="1:15" ht="15.75" thickBot="1">
      <c r="A42" s="105" t="s">
        <v>7</v>
      </c>
      <c r="B42" s="19" t="s">
        <v>151</v>
      </c>
      <c r="C42" s="19" t="s">
        <v>152</v>
      </c>
      <c r="E42" s="18" t="s">
        <v>7</v>
      </c>
      <c r="F42" s="19" t="s">
        <v>151</v>
      </c>
      <c r="G42" s="19" t="s">
        <v>152</v>
      </c>
    </row>
    <row r="43" spans="1:15" ht="15">
      <c r="A43" s="466">
        <v>44927</v>
      </c>
      <c r="B43" s="75">
        <f>'10_UNIDADES_+_demandadas_2023'!M15</f>
        <v>84</v>
      </c>
      <c r="C43" s="81">
        <f>((B43-76)/76)*100</f>
        <v>10.526315789473683</v>
      </c>
      <c r="E43" s="466">
        <v>44927</v>
      </c>
      <c r="F43" s="75">
        <f>'10_UNIDADES_+_demandadas_2023'!M16</f>
        <v>71</v>
      </c>
      <c r="G43" s="81">
        <f>((F43-55)/55)*100</f>
        <v>29.09090909090909</v>
      </c>
    </row>
    <row r="44" spans="1:15" ht="15">
      <c r="A44" s="467">
        <v>44958</v>
      </c>
      <c r="B44" s="76">
        <f>'10_UNIDADES_+_demandadas_2023'!L15</f>
        <v>0</v>
      </c>
      <c r="C44" s="21">
        <f t="shared" ref="C44:C54" si="8">((B44-B43)/B43)*100</f>
        <v>-100</v>
      </c>
      <c r="E44" s="467">
        <v>44958</v>
      </c>
      <c r="F44" s="76">
        <f>'10_UNIDADES_+_demandadas_2023'!L16</f>
        <v>0</v>
      </c>
      <c r="G44" s="21">
        <f t="shared" ref="G44:G54" si="9">((F44-F43)/F43)*100</f>
        <v>-100</v>
      </c>
    </row>
    <row r="45" spans="1:15" ht="15">
      <c r="A45" s="467">
        <v>44986</v>
      </c>
      <c r="B45" s="76">
        <f>'10_UNIDADES_+_demandadas_2023'!K15</f>
        <v>0</v>
      </c>
      <c r="C45" s="21" t="e">
        <f t="shared" si="8"/>
        <v>#DIV/0!</v>
      </c>
      <c r="E45" s="467">
        <v>44986</v>
      </c>
      <c r="F45" s="76">
        <f>'10_UNIDADES_+_demandadas_2023'!K16</f>
        <v>0</v>
      </c>
      <c r="G45" s="21" t="e">
        <f t="shared" si="9"/>
        <v>#DIV/0!</v>
      </c>
    </row>
    <row r="46" spans="1:15" ht="15">
      <c r="A46" s="467">
        <v>45017</v>
      </c>
      <c r="B46" s="76">
        <f>'10_UNIDADES_+_demandadas_2023'!J15</f>
        <v>0</v>
      </c>
      <c r="C46" s="21" t="e">
        <f t="shared" si="8"/>
        <v>#DIV/0!</v>
      </c>
      <c r="E46" s="467">
        <v>45017</v>
      </c>
      <c r="F46" s="76">
        <f>'10_UNIDADES_+_demandadas_2023'!J16</f>
        <v>0</v>
      </c>
      <c r="G46" s="21" t="e">
        <f t="shared" si="9"/>
        <v>#DIV/0!</v>
      </c>
    </row>
    <row r="47" spans="1:15" ht="15">
      <c r="A47" s="467">
        <v>45047</v>
      </c>
      <c r="B47" s="76">
        <f>'10_UNIDADES_+_demandadas_2023'!I15</f>
        <v>0</v>
      </c>
      <c r="C47" s="21" t="e">
        <f t="shared" si="8"/>
        <v>#DIV/0!</v>
      </c>
      <c r="E47" s="467">
        <v>45047</v>
      </c>
      <c r="F47" s="76">
        <f>'10_UNIDADES_+_demandadas_2023'!I16</f>
        <v>0</v>
      </c>
      <c r="G47" s="21" t="e">
        <f t="shared" si="9"/>
        <v>#DIV/0!</v>
      </c>
    </row>
    <row r="48" spans="1:15" ht="15">
      <c r="A48" s="467">
        <v>45078</v>
      </c>
      <c r="B48" s="76">
        <f>'10_UNIDADES_+_demandadas_2023'!H15</f>
        <v>0</v>
      </c>
      <c r="C48" s="21" t="e">
        <f t="shared" si="8"/>
        <v>#DIV/0!</v>
      </c>
      <c r="E48" s="467">
        <v>45078</v>
      </c>
      <c r="F48" s="76">
        <f>'10_UNIDADES_+_demandadas_2023'!H16</f>
        <v>0</v>
      </c>
      <c r="G48" s="21" t="e">
        <f t="shared" si="9"/>
        <v>#DIV/0!</v>
      </c>
    </row>
    <row r="49" spans="1:7" ht="15">
      <c r="A49" s="467">
        <v>45108</v>
      </c>
      <c r="B49" s="76">
        <f>'10_UNIDADES_+_demandadas_2023'!G15</f>
        <v>0</v>
      </c>
      <c r="C49" s="21" t="e">
        <f t="shared" si="8"/>
        <v>#DIV/0!</v>
      </c>
      <c r="E49" s="467">
        <v>45108</v>
      </c>
      <c r="F49" s="76">
        <f>'10_UNIDADES_+_demandadas_2023'!G16</f>
        <v>0</v>
      </c>
      <c r="G49" s="21" t="e">
        <f t="shared" si="9"/>
        <v>#DIV/0!</v>
      </c>
    </row>
    <row r="50" spans="1:7" ht="15">
      <c r="A50" s="467">
        <v>45139</v>
      </c>
      <c r="B50" s="76">
        <f>'10_UNIDADES_+_demandadas_2023'!F15</f>
        <v>0</v>
      </c>
      <c r="C50" s="21" t="e">
        <f t="shared" si="8"/>
        <v>#DIV/0!</v>
      </c>
      <c r="E50" s="467">
        <v>45139</v>
      </c>
      <c r="F50" s="76">
        <f>'10_UNIDADES_+_demandadas_2023'!F16</f>
        <v>0</v>
      </c>
      <c r="G50" s="21" t="e">
        <f t="shared" si="9"/>
        <v>#DIV/0!</v>
      </c>
    </row>
    <row r="51" spans="1:7" ht="15">
      <c r="A51" s="467">
        <v>45170</v>
      </c>
      <c r="B51" s="76">
        <f>'10_UNIDADES_+_demandadas_2023'!E15</f>
        <v>0</v>
      </c>
      <c r="C51" s="21" t="e">
        <f t="shared" si="8"/>
        <v>#DIV/0!</v>
      </c>
      <c r="E51" s="467">
        <v>45170</v>
      </c>
      <c r="F51" s="76">
        <f>'10_UNIDADES_+_demandadas_2023'!E16</f>
        <v>0</v>
      </c>
      <c r="G51" s="21" t="e">
        <f t="shared" si="9"/>
        <v>#DIV/0!</v>
      </c>
    </row>
    <row r="52" spans="1:7" ht="15">
      <c r="A52" s="467">
        <v>45200</v>
      </c>
      <c r="B52" s="76">
        <f>'10_UNIDADES_+_demandadas_2023'!D15</f>
        <v>0</v>
      </c>
      <c r="C52" s="21" t="e">
        <f t="shared" si="8"/>
        <v>#DIV/0!</v>
      </c>
      <c r="E52" s="467">
        <v>45200</v>
      </c>
      <c r="F52" s="76">
        <f>'10_UNIDADES_+_demandadas_2023'!D16</f>
        <v>0</v>
      </c>
      <c r="G52" s="21" t="e">
        <f t="shared" si="9"/>
        <v>#DIV/0!</v>
      </c>
    </row>
    <row r="53" spans="1:7" ht="15">
      <c r="A53" s="467">
        <v>45231</v>
      </c>
      <c r="B53" s="76">
        <f>'10_UNIDADES_+_demandadas_2023'!C15</f>
        <v>0</v>
      </c>
      <c r="C53" s="21" t="e">
        <f t="shared" si="8"/>
        <v>#DIV/0!</v>
      </c>
      <c r="E53" s="467">
        <v>45231</v>
      </c>
      <c r="F53" s="76">
        <f>'10_UNIDADES_+_demandadas_2023'!C16</f>
        <v>0</v>
      </c>
      <c r="G53" s="21" t="e">
        <f t="shared" si="9"/>
        <v>#DIV/0!</v>
      </c>
    </row>
    <row r="54" spans="1:7" ht="15.75" thickBot="1">
      <c r="A54" s="468">
        <v>45261</v>
      </c>
      <c r="B54" s="104">
        <f>'10_UNIDADES_+_demandadas_2023'!B15</f>
        <v>0</v>
      </c>
      <c r="C54" s="27" t="e">
        <f t="shared" si="8"/>
        <v>#DIV/0!</v>
      </c>
      <c r="E54" s="468">
        <v>45261</v>
      </c>
      <c r="F54" s="78">
        <f>'10_UNIDADES_+_demandadas_2023'!B16</f>
        <v>0</v>
      </c>
      <c r="G54" s="27" t="e">
        <f t="shared" si="9"/>
        <v>#DIV/0!</v>
      </c>
    </row>
    <row r="55" spans="1:7">
      <c r="B55" s="23"/>
      <c r="C55" s="23"/>
    </row>
    <row r="56" spans="1:7">
      <c r="B56" s="23"/>
      <c r="C56" s="23"/>
    </row>
    <row r="57" spans="1:7">
      <c r="B57" s="23"/>
      <c r="C57" s="23"/>
    </row>
    <row r="58" spans="1:7">
      <c r="B58" s="23"/>
      <c r="C58" s="23"/>
    </row>
    <row r="59" spans="1:7">
      <c r="B59" s="23"/>
      <c r="C59" s="23"/>
    </row>
    <row r="60" spans="1:7" ht="15">
      <c r="A60" s="5"/>
    </row>
  </sheetData>
  <mergeCells count="10">
    <mergeCell ref="A41:C41"/>
    <mergeCell ref="E41:G41"/>
    <mergeCell ref="A9:C9"/>
    <mergeCell ref="E9:G9"/>
    <mergeCell ref="I9:K9"/>
    <mergeCell ref="M9:O9"/>
    <mergeCell ref="A25:C25"/>
    <mergeCell ref="E25:G25"/>
    <mergeCell ref="I25:K25"/>
    <mergeCell ref="M25:O2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opLeftCell="A4" workbookViewId="0"/>
  </sheetViews>
  <sheetFormatPr defaultColWidth="5.5703125" defaultRowHeight="14.25"/>
  <cols>
    <col min="1" max="1" width="52.42578125" style="23" customWidth="1"/>
    <col min="2" max="2" width="7.7109375" style="64" bestFit="1" customWidth="1"/>
    <col min="3" max="4" width="7.5703125" style="64" bestFit="1" customWidth="1"/>
    <col min="5" max="5" width="7.5703125" style="64" customWidth="1"/>
    <col min="6" max="6" width="9.140625" style="64" customWidth="1"/>
    <col min="7" max="7" width="3" style="23" customWidth="1"/>
    <col min="8" max="17" width="9.140625" style="23" customWidth="1"/>
    <col min="18" max="18" width="15.42578125" style="23" customWidth="1"/>
    <col min="19" max="222" width="9.140625" style="23" customWidth="1"/>
    <col min="223" max="223" width="58.28515625" style="23" customWidth="1"/>
    <col min="224" max="224" width="3.7109375" style="23" bestFit="1" customWidth="1"/>
    <col min="225" max="225" width="5.5703125" style="23" bestFit="1" customWidth="1"/>
    <col min="226" max="226" width="5.5703125" style="23" customWidth="1"/>
    <col min="227" max="16384" width="5.5703125" style="23"/>
  </cols>
  <sheetData>
    <row r="1" spans="1:18" ht="15">
      <c r="A1" s="51" t="s">
        <v>0</v>
      </c>
      <c r="B1" s="94"/>
      <c r="C1" s="94"/>
      <c r="D1" s="94"/>
      <c r="E1" s="94"/>
    </row>
    <row r="2" spans="1:18" ht="15">
      <c r="A2" s="5" t="s">
        <v>1</v>
      </c>
      <c r="B2" s="96"/>
      <c r="C2" s="96"/>
      <c r="D2" s="96"/>
      <c r="E2" s="96"/>
    </row>
    <row r="3" spans="1:18" ht="15">
      <c r="A3" s="5"/>
      <c r="B3" s="96"/>
      <c r="C3" s="96"/>
      <c r="D3" s="96"/>
      <c r="E3" s="96"/>
    </row>
    <row r="4" spans="1:18" ht="15">
      <c r="A4" s="5" t="s">
        <v>202</v>
      </c>
      <c r="B4" s="96"/>
      <c r="C4" s="96"/>
      <c r="D4" s="96"/>
      <c r="E4" s="96"/>
    </row>
    <row r="5" spans="1:18" ht="15" thickBot="1"/>
    <row r="6" spans="1:18" ht="15.75" thickBot="1">
      <c r="A6" s="720" t="s">
        <v>146</v>
      </c>
      <c r="B6" s="859">
        <v>44927</v>
      </c>
      <c r="C6" s="859">
        <v>44896</v>
      </c>
      <c r="D6" s="195">
        <v>44866</v>
      </c>
      <c r="E6" s="117" t="s">
        <v>3</v>
      </c>
      <c r="F6" s="107" t="s">
        <v>4</v>
      </c>
    </row>
    <row r="7" spans="1:18" ht="14.25" customHeight="1" thickBot="1">
      <c r="A7" s="913" t="s">
        <v>159</v>
      </c>
      <c r="B7" s="134">
        <v>564</v>
      </c>
      <c r="C7" s="134">
        <v>424</v>
      </c>
      <c r="D7" s="134">
        <v>855</v>
      </c>
      <c r="E7" s="186">
        <f>SUM(B7:D7)</f>
        <v>1843</v>
      </c>
      <c r="F7" s="187">
        <f>AVERAGE(B7:D7)</f>
        <v>614.33333333333337</v>
      </c>
      <c r="R7" s="63"/>
    </row>
    <row r="8" spans="1:18" ht="15" customHeight="1" thickBot="1">
      <c r="A8" s="913" t="s">
        <v>228</v>
      </c>
      <c r="B8" s="134">
        <v>545</v>
      </c>
      <c r="C8" s="134">
        <v>454</v>
      </c>
      <c r="D8" s="134">
        <v>359</v>
      </c>
      <c r="E8" s="186">
        <f t="shared" ref="E8:E16" si="0">SUM(B8:D8)</f>
        <v>1358</v>
      </c>
      <c r="F8" s="187">
        <f t="shared" ref="F8:F16" si="1">AVERAGE(B8:D8)</f>
        <v>452.66666666666669</v>
      </c>
      <c r="R8" s="63"/>
    </row>
    <row r="9" spans="1:18" ht="15.75" thickBot="1">
      <c r="A9" s="913" t="s">
        <v>156</v>
      </c>
      <c r="B9" s="134">
        <v>328</v>
      </c>
      <c r="C9" s="134">
        <v>263</v>
      </c>
      <c r="D9" s="134">
        <v>320</v>
      </c>
      <c r="E9" s="186">
        <f t="shared" si="0"/>
        <v>911</v>
      </c>
      <c r="F9" s="187">
        <f t="shared" si="1"/>
        <v>303.66666666666669</v>
      </c>
      <c r="R9" s="63"/>
    </row>
    <row r="10" spans="1:18" ht="15.75" thickBot="1">
      <c r="A10" s="913" t="s">
        <v>158</v>
      </c>
      <c r="B10" s="134">
        <v>343</v>
      </c>
      <c r="C10" s="134">
        <v>251</v>
      </c>
      <c r="D10" s="134">
        <v>228</v>
      </c>
      <c r="E10" s="186">
        <f t="shared" si="0"/>
        <v>822</v>
      </c>
      <c r="F10" s="187">
        <f t="shared" si="1"/>
        <v>274</v>
      </c>
      <c r="R10" s="63"/>
    </row>
    <row r="11" spans="1:18" ht="15.75" thickBot="1">
      <c r="A11" s="913" t="s">
        <v>230</v>
      </c>
      <c r="B11" s="134">
        <v>327</v>
      </c>
      <c r="C11" s="134">
        <v>213</v>
      </c>
      <c r="D11" s="134">
        <v>234</v>
      </c>
      <c r="E11" s="186">
        <f t="shared" si="0"/>
        <v>774</v>
      </c>
      <c r="F11" s="187">
        <f t="shared" si="1"/>
        <v>258</v>
      </c>
      <c r="R11" s="63"/>
    </row>
    <row r="12" spans="1:18" ht="15" customHeight="1" thickBot="1">
      <c r="A12" s="913" t="s">
        <v>341</v>
      </c>
      <c r="B12" s="134">
        <v>247</v>
      </c>
      <c r="C12" s="134">
        <v>242</v>
      </c>
      <c r="D12" s="134">
        <v>159</v>
      </c>
      <c r="E12" s="186">
        <f t="shared" si="0"/>
        <v>648</v>
      </c>
      <c r="F12" s="187">
        <f t="shared" si="1"/>
        <v>216</v>
      </c>
      <c r="R12" s="63"/>
    </row>
    <row r="13" spans="1:18" ht="15.75" thickBot="1">
      <c r="A13" s="913" t="s">
        <v>231</v>
      </c>
      <c r="B13" s="134">
        <v>140</v>
      </c>
      <c r="C13" s="134">
        <v>135</v>
      </c>
      <c r="D13" s="134">
        <v>113</v>
      </c>
      <c r="E13" s="186">
        <f t="shared" si="0"/>
        <v>388</v>
      </c>
      <c r="F13" s="187">
        <f t="shared" si="1"/>
        <v>129.33333333333334</v>
      </c>
      <c r="R13" s="63"/>
    </row>
    <row r="14" spans="1:18" ht="15.75" thickBot="1">
      <c r="A14" s="913" t="s">
        <v>162</v>
      </c>
      <c r="B14" s="134">
        <v>131</v>
      </c>
      <c r="C14" s="134">
        <v>112</v>
      </c>
      <c r="D14" s="134">
        <v>94</v>
      </c>
      <c r="E14" s="186">
        <f t="shared" si="0"/>
        <v>337</v>
      </c>
      <c r="F14" s="187">
        <f t="shared" si="1"/>
        <v>112.33333333333333</v>
      </c>
      <c r="R14" s="63"/>
    </row>
    <row r="15" spans="1:18" ht="15.75" thickBot="1">
      <c r="A15" s="913" t="s">
        <v>201</v>
      </c>
      <c r="B15" s="134">
        <v>84</v>
      </c>
      <c r="C15" s="134">
        <v>76</v>
      </c>
      <c r="D15" s="134">
        <v>93</v>
      </c>
      <c r="E15" s="186">
        <f t="shared" si="0"/>
        <v>253</v>
      </c>
      <c r="F15" s="187">
        <f t="shared" si="1"/>
        <v>84.333333333333329</v>
      </c>
      <c r="R15" s="63"/>
    </row>
    <row r="16" spans="1:18" ht="15.75" thickBot="1">
      <c r="A16" s="913" t="s">
        <v>274</v>
      </c>
      <c r="B16" s="134">
        <v>70</v>
      </c>
      <c r="C16" s="134">
        <v>76</v>
      </c>
      <c r="D16" s="134">
        <v>87</v>
      </c>
      <c r="E16" s="862">
        <f t="shared" si="0"/>
        <v>233</v>
      </c>
      <c r="F16" s="863">
        <f t="shared" si="1"/>
        <v>77.666666666666671</v>
      </c>
      <c r="R16" s="63"/>
    </row>
    <row r="17" spans="1:7" ht="15.75" customHeight="1" thickBot="1">
      <c r="A17" s="194" t="s">
        <v>3</v>
      </c>
      <c r="B17" s="860">
        <f>SUM(B7:B16)</f>
        <v>2779</v>
      </c>
      <c r="C17" s="720">
        <f>SUM(C7:C16)</f>
        <v>2246</v>
      </c>
      <c r="D17" s="861">
        <f>SUM(D7:D16)</f>
        <v>2542</v>
      </c>
      <c r="E17" s="185">
        <f>SUM(E7:E16)</f>
        <v>7567</v>
      </c>
      <c r="F17" s="37">
        <f>AVERAGE(B17:D17)</f>
        <v>2522.3333333333335</v>
      </c>
    </row>
    <row r="18" spans="1:7" s="110" customFormat="1" ht="15">
      <c r="A18" s="108"/>
      <c r="B18" s="2"/>
      <c r="C18" s="2"/>
      <c r="D18" s="2"/>
      <c r="E18" s="2"/>
      <c r="F18" s="109"/>
    </row>
    <row r="19" spans="1:7" ht="57" customHeight="1">
      <c r="A19" s="111"/>
      <c r="B19" s="101"/>
      <c r="C19" s="101"/>
      <c r="D19" s="101"/>
      <c r="E19" s="101"/>
      <c r="F19" s="988"/>
      <c r="G19" s="988"/>
    </row>
    <row r="20" spans="1:7">
      <c r="A20" s="61"/>
      <c r="B20" s="102"/>
      <c r="C20" s="102"/>
      <c r="D20" s="102"/>
      <c r="E20" s="102"/>
    </row>
    <row r="21" spans="1:7" ht="82.5" customHeight="1">
      <c r="A21" s="111"/>
      <c r="B21" s="101"/>
      <c r="C21" s="101"/>
      <c r="D21" s="101"/>
      <c r="E21" s="101"/>
      <c r="F21" s="988"/>
      <c r="G21" s="988"/>
    </row>
    <row r="22" spans="1:7">
      <c r="A22" s="111"/>
      <c r="B22" s="101"/>
      <c r="C22" s="101"/>
      <c r="D22" s="101"/>
      <c r="E22" s="101"/>
    </row>
    <row r="23" spans="1:7" ht="66.75" customHeight="1">
      <c r="A23" s="111"/>
      <c r="B23" s="101"/>
      <c r="C23" s="101"/>
      <c r="D23" s="101"/>
      <c r="E23" s="101"/>
      <c r="F23" s="988"/>
      <c r="G23" s="988"/>
    </row>
    <row r="24" spans="1:7">
      <c r="A24" s="61"/>
      <c r="B24" s="102"/>
      <c r="C24" s="102"/>
      <c r="D24" s="102"/>
      <c r="E24" s="102"/>
    </row>
    <row r="25" spans="1:7">
      <c r="A25" s="59"/>
      <c r="B25" s="103"/>
      <c r="C25" s="103"/>
      <c r="D25" s="103"/>
      <c r="E25" s="103"/>
    </row>
  </sheetData>
  <mergeCells count="3">
    <mergeCell ref="F19:G19"/>
    <mergeCell ref="F21:G21"/>
    <mergeCell ref="F23:G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F7:F16 B17:D17" formulaRange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zoomScale="90" zoomScaleNormal="90" workbookViewId="0"/>
  </sheetViews>
  <sheetFormatPr defaultColWidth="5.5703125" defaultRowHeight="14.25"/>
  <cols>
    <col min="1" max="1" width="58.28515625" style="23" customWidth="1"/>
    <col min="2" max="2" width="7.5703125" style="64" bestFit="1" customWidth="1"/>
    <col min="3" max="16" width="9.140625" style="23" customWidth="1"/>
    <col min="17" max="21" width="9.140625" style="57" customWidth="1"/>
    <col min="22" max="22" width="12" style="57" customWidth="1"/>
    <col min="23" max="23" width="9.140625" style="57" customWidth="1"/>
    <col min="24" max="24" width="12.85546875" style="57" customWidth="1"/>
    <col min="25" max="25" width="20.28515625" style="57" bestFit="1" customWidth="1"/>
    <col min="26" max="26" width="24.28515625" style="57" hidden="1" customWidth="1"/>
    <col min="27" max="27" width="9.140625" style="57" customWidth="1"/>
    <col min="28" max="235" width="9.140625" style="23" customWidth="1"/>
    <col min="236" max="236" width="58.28515625" style="23" customWidth="1"/>
    <col min="237" max="237" width="3.7109375" style="23" bestFit="1" customWidth="1"/>
    <col min="238" max="238" width="5.5703125" style="23" bestFit="1"/>
    <col min="239" max="16384" width="5.5703125" style="23"/>
  </cols>
  <sheetData>
    <row r="1" spans="1:15" ht="15">
      <c r="A1" s="976" t="s">
        <v>0</v>
      </c>
    </row>
    <row r="2" spans="1:15" ht="15">
      <c r="A2" s="5" t="s">
        <v>1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</row>
    <row r="3" spans="1:15" ht="15">
      <c r="A3" s="5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1:15" ht="15">
      <c r="A4" s="13" t="s">
        <v>403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1:15" ht="15" thickBot="1"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</row>
    <row r="6" spans="1:15" ht="15.75" thickBot="1">
      <c r="A6" s="842" t="s">
        <v>146</v>
      </c>
      <c r="B6" s="843">
        <v>44927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</row>
    <row r="7" spans="1:15">
      <c r="A7" s="922" t="s">
        <v>159</v>
      </c>
      <c r="B7" s="924">
        <v>564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</row>
    <row r="8" spans="1:15">
      <c r="A8" s="922" t="s">
        <v>228</v>
      </c>
      <c r="B8" s="925">
        <v>545</v>
      </c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</row>
    <row r="9" spans="1:15" ht="15" customHeight="1">
      <c r="A9" s="922" t="s">
        <v>158</v>
      </c>
      <c r="B9" s="925">
        <v>343</v>
      </c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</row>
    <row r="10" spans="1:15">
      <c r="A10" s="922" t="s">
        <v>156</v>
      </c>
      <c r="B10" s="925">
        <v>328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</row>
    <row r="11" spans="1:15">
      <c r="A11" s="922" t="s">
        <v>230</v>
      </c>
      <c r="B11" s="925">
        <v>327</v>
      </c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</row>
    <row r="12" spans="1:15">
      <c r="A12" s="922" t="s">
        <v>341</v>
      </c>
      <c r="B12" s="925">
        <v>247</v>
      </c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</row>
    <row r="13" spans="1:15" ht="15" customHeight="1">
      <c r="A13" s="922" t="s">
        <v>231</v>
      </c>
      <c r="B13" s="925">
        <v>140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</row>
    <row r="14" spans="1:15">
      <c r="A14" s="922" t="s">
        <v>162</v>
      </c>
      <c r="B14" s="925">
        <v>131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</row>
    <row r="15" spans="1:15">
      <c r="A15" s="922" t="s">
        <v>201</v>
      </c>
      <c r="B15" s="925">
        <v>84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</row>
    <row r="16" spans="1:15" ht="15" thickBot="1">
      <c r="A16" s="923" t="s">
        <v>187</v>
      </c>
      <c r="B16" s="926">
        <v>71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</row>
    <row r="17" spans="1:31" ht="15.75" thickBot="1">
      <c r="A17" s="915" t="s">
        <v>3</v>
      </c>
      <c r="B17" s="865">
        <f>SUM(B7:B16)</f>
        <v>2780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</row>
    <row r="18" spans="1:31" ht="15">
      <c r="A18" s="447"/>
      <c r="B18" s="448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</row>
    <row r="19" spans="1:31">
      <c r="A19" s="407" t="s">
        <v>351</v>
      </c>
      <c r="B19" s="408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844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</row>
    <row r="20" spans="1:31" ht="15.75" customHeight="1">
      <c r="A20" s="409"/>
      <c r="B20" s="410"/>
      <c r="C20" s="140"/>
      <c r="D20" s="140"/>
      <c r="E20" s="140"/>
      <c r="F20" s="140"/>
      <c r="G20" s="140"/>
      <c r="H20" s="140"/>
      <c r="I20" s="140"/>
      <c r="J20" s="140"/>
      <c r="K20" s="140"/>
      <c r="L20" s="138"/>
      <c r="M20" s="138"/>
      <c r="N20" s="140"/>
      <c r="O20" s="140"/>
      <c r="P20" s="140"/>
      <c r="Q20" s="140"/>
      <c r="R20" s="140"/>
      <c r="S20" s="140"/>
      <c r="T20" s="140"/>
      <c r="U20" s="138"/>
      <c r="V20" s="138"/>
      <c r="W20" s="138"/>
      <c r="X20" s="138"/>
      <c r="Y20" s="138"/>
      <c r="Z20" s="140"/>
      <c r="AA20" s="140"/>
    </row>
    <row r="21" spans="1:31">
      <c r="A21" s="407"/>
      <c r="B21" s="408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38"/>
      <c r="N21" s="140"/>
      <c r="O21" s="140"/>
      <c r="P21" s="140"/>
      <c r="Q21" s="140"/>
      <c r="R21" s="140"/>
      <c r="S21" s="140"/>
      <c r="T21" s="140"/>
      <c r="U21" s="138"/>
      <c r="V21" s="138"/>
      <c r="W21" s="138"/>
      <c r="X21" s="138"/>
      <c r="Y21" s="138"/>
      <c r="Z21" s="140"/>
      <c r="AA21" s="140"/>
      <c r="AB21" s="282"/>
    </row>
    <row r="22" spans="1:31" ht="15" customHeight="1">
      <c r="A22" s="428"/>
      <c r="B22" s="425" t="str">
        <f>A7</f>
        <v>Secretaria Municipal de Assistência e Desenvolvimento Social</v>
      </c>
      <c r="C22" s="425" t="str">
        <f>A8</f>
        <v>Secretaria Municipal das Subprefeituras</v>
      </c>
      <c r="D22" s="425" t="str">
        <f>A9</f>
        <v>Secretaria Municipal da Saúde</v>
      </c>
      <c r="E22" s="425" t="str">
        <f>A10</f>
        <v>Secretaria Municipal da Fazenda</v>
      </c>
      <c r="F22" s="425" t="str">
        <f>A11</f>
        <v>Companhia de Engenharia de Tráfego - CET</v>
      </c>
      <c r="G22" s="425" t="str">
        <f>A12</f>
        <v>Secretaria Executiva de Limpeza Urbana**</v>
      </c>
      <c r="H22" s="425" t="str">
        <f>A13</f>
        <v>São Paulo Transportes - SPTRANS</v>
      </c>
      <c r="I22" s="425" t="str">
        <f>A14</f>
        <v>Secretaria Municipal de Educação</v>
      </c>
      <c r="J22" s="425" t="str">
        <f>A15</f>
        <v>Órgão externo</v>
      </c>
      <c r="K22" s="425" t="str">
        <f>A16</f>
        <v>Subprefeitura Penha</v>
      </c>
      <c r="L22" s="425" t="s">
        <v>3</v>
      </c>
      <c r="M22" s="921"/>
      <c r="N22" s="140"/>
      <c r="O22" s="140"/>
      <c r="P22" s="140"/>
      <c r="Q22" s="140"/>
      <c r="R22" s="140"/>
      <c r="S22" s="140"/>
      <c r="T22" s="140"/>
      <c r="U22" s="138"/>
      <c r="V22" s="138"/>
      <c r="W22" s="138"/>
      <c r="X22" s="138"/>
      <c r="Y22" s="138"/>
      <c r="Z22" s="140"/>
      <c r="AA22" s="140"/>
      <c r="AB22" s="282"/>
      <c r="AC22" s="138"/>
      <c r="AD22" s="138"/>
      <c r="AE22" s="138"/>
    </row>
    <row r="23" spans="1:31">
      <c r="A23" s="407"/>
      <c r="B23" s="425">
        <f>B7</f>
        <v>564</v>
      </c>
      <c r="C23" s="425">
        <f>B8</f>
        <v>545</v>
      </c>
      <c r="D23" s="425">
        <f>B9</f>
        <v>343</v>
      </c>
      <c r="E23" s="425">
        <f>B10</f>
        <v>328</v>
      </c>
      <c r="F23" s="425">
        <f>B11</f>
        <v>327</v>
      </c>
      <c r="G23" s="425">
        <f>B12</f>
        <v>247</v>
      </c>
      <c r="H23" s="425">
        <f>B13</f>
        <v>140</v>
      </c>
      <c r="I23" s="425">
        <f>B14</f>
        <v>131</v>
      </c>
      <c r="J23" s="425">
        <f>B15</f>
        <v>84</v>
      </c>
      <c r="K23" s="425">
        <f>B16</f>
        <v>71</v>
      </c>
      <c r="L23" s="425"/>
      <c r="M23" s="921"/>
      <c r="N23" s="138"/>
      <c r="O23" s="138"/>
      <c r="P23" s="138"/>
      <c r="Q23" s="138"/>
      <c r="R23" s="138"/>
      <c r="S23" s="779"/>
      <c r="T23" s="139"/>
      <c r="U23" s="139"/>
      <c r="V23" s="139"/>
      <c r="W23" s="139"/>
      <c r="X23" s="139"/>
      <c r="Y23" s="139"/>
      <c r="Z23" s="780"/>
      <c r="AA23" s="139"/>
      <c r="AB23" s="699"/>
      <c r="AC23" s="139"/>
      <c r="AD23" s="139"/>
      <c r="AE23" s="174"/>
    </row>
    <row r="24" spans="1:31" ht="16.5" customHeight="1">
      <c r="A24" s="409"/>
      <c r="B24" s="425"/>
      <c r="C24" s="425"/>
      <c r="D24" s="425"/>
      <c r="E24" s="425"/>
      <c r="F24" s="425"/>
      <c r="G24" s="425"/>
      <c r="H24" s="425"/>
      <c r="I24" s="425"/>
      <c r="J24" s="425"/>
      <c r="K24" s="425"/>
      <c r="L24" s="425"/>
      <c r="M24" s="921"/>
      <c r="N24" s="138"/>
      <c r="O24" s="138"/>
      <c r="P24" s="138"/>
      <c r="Q24" s="138"/>
      <c r="R24" s="138"/>
      <c r="S24" s="779"/>
      <c r="T24" s="139"/>
      <c r="U24" s="139"/>
      <c r="V24" s="139"/>
      <c r="W24" s="139"/>
      <c r="X24" s="139"/>
      <c r="Y24" s="139"/>
      <c r="Z24" s="780"/>
      <c r="AA24" s="139"/>
      <c r="AB24" s="699"/>
      <c r="AC24" s="139"/>
      <c r="AD24" s="139"/>
      <c r="AE24" s="174"/>
    </row>
    <row r="25" spans="1:31">
      <c r="A25" s="407"/>
      <c r="B25" s="425"/>
      <c r="C25" s="425"/>
      <c r="D25" s="425"/>
      <c r="E25" s="425"/>
      <c r="F25" s="425"/>
      <c r="G25" s="425"/>
      <c r="H25" s="425"/>
      <c r="I25" s="425"/>
      <c r="J25" s="425"/>
      <c r="K25" s="425"/>
      <c r="L25" s="426">
        <v>4257</v>
      </c>
      <c r="M25" s="921"/>
      <c r="N25" s="138"/>
      <c r="O25" s="138"/>
      <c r="P25" s="138"/>
      <c r="Q25" s="138"/>
      <c r="R25" s="138"/>
      <c r="S25" s="779"/>
      <c r="T25" s="139"/>
      <c r="U25" s="139"/>
      <c r="V25" s="139"/>
      <c r="W25" s="139"/>
      <c r="X25" s="139"/>
      <c r="Y25" s="139"/>
      <c r="Z25" s="780"/>
      <c r="AA25" s="139"/>
      <c r="AB25" s="699"/>
      <c r="AC25" s="139"/>
      <c r="AD25" s="139"/>
      <c r="AE25" s="174"/>
    </row>
    <row r="26" spans="1:31" ht="15">
      <c r="A26" s="844"/>
      <c r="B26" s="845"/>
      <c r="C26" s="844"/>
      <c r="D26" s="844"/>
      <c r="E26" s="844"/>
      <c r="F26" s="844"/>
      <c r="G26" s="844"/>
      <c r="H26" s="846"/>
      <c r="I26" s="844"/>
      <c r="J26" s="844"/>
      <c r="K26" s="844"/>
      <c r="L26" s="138"/>
      <c r="M26" s="138"/>
      <c r="N26" s="138"/>
      <c r="O26" s="138"/>
      <c r="P26" s="138"/>
      <c r="Q26" s="138"/>
      <c r="R26" s="138"/>
      <c r="S26" s="779"/>
      <c r="T26" s="139"/>
      <c r="U26" s="139"/>
      <c r="V26" s="139"/>
      <c r="W26" s="139"/>
      <c r="X26" s="139"/>
      <c r="Y26" s="139"/>
      <c r="Z26" s="780"/>
      <c r="AA26" s="139"/>
      <c r="AB26" s="699"/>
      <c r="AC26" s="64"/>
      <c r="AD26" s="64"/>
      <c r="AE26" s="65"/>
    </row>
    <row r="27" spans="1:31">
      <c r="A27" s="844"/>
      <c r="B27" s="845"/>
      <c r="C27" s="844"/>
      <c r="D27" s="844"/>
      <c r="E27" s="844"/>
      <c r="F27" s="844"/>
      <c r="G27" s="844"/>
      <c r="H27" s="844"/>
      <c r="I27" s="844"/>
      <c r="J27" s="844"/>
      <c r="K27" s="844"/>
      <c r="L27" s="844"/>
      <c r="M27" s="844"/>
      <c r="N27" s="138"/>
      <c r="O27" s="138"/>
      <c r="P27" s="138"/>
      <c r="Q27" s="138"/>
      <c r="R27" s="138"/>
      <c r="S27" s="779"/>
      <c r="T27" s="139"/>
      <c r="U27" s="139"/>
      <c r="V27" s="139"/>
      <c r="W27" s="139"/>
      <c r="X27" s="139"/>
      <c r="Y27" s="139"/>
      <c r="Z27" s="780"/>
      <c r="AA27" s="139"/>
      <c r="AB27" s="699"/>
      <c r="AC27" s="64"/>
      <c r="AD27" s="64"/>
      <c r="AE27" s="65"/>
    </row>
    <row r="28" spans="1:31">
      <c r="A28" s="844"/>
      <c r="B28" s="845"/>
      <c r="C28" s="844"/>
      <c r="D28" s="844"/>
      <c r="E28" s="844"/>
      <c r="F28" s="844"/>
      <c r="G28" s="844"/>
      <c r="H28" s="844"/>
      <c r="I28" s="844"/>
      <c r="J28" s="844"/>
      <c r="K28" s="844"/>
      <c r="L28" s="844"/>
      <c r="M28" s="844"/>
      <c r="N28" s="138"/>
      <c r="O28" s="138"/>
      <c r="P28" s="138"/>
      <c r="Q28" s="138"/>
      <c r="R28" s="138"/>
      <c r="S28" s="779"/>
      <c r="T28" s="139"/>
      <c r="U28" s="139"/>
      <c r="V28" s="139"/>
      <c r="W28" s="139"/>
      <c r="X28" s="139"/>
      <c r="Y28" s="139"/>
      <c r="Z28" s="780"/>
      <c r="AA28" s="139"/>
      <c r="AB28" s="699"/>
      <c r="AC28" s="64"/>
      <c r="AD28" s="64"/>
      <c r="AE28" s="65"/>
    </row>
    <row r="29" spans="1:31">
      <c r="A29" s="138"/>
      <c r="B29" s="139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779"/>
      <c r="T29" s="139"/>
      <c r="U29" s="139"/>
      <c r="V29" s="139"/>
      <c r="W29" s="139"/>
      <c r="X29" s="139"/>
      <c r="Y29" s="139"/>
      <c r="Z29" s="780"/>
      <c r="AA29" s="139"/>
      <c r="AB29" s="699"/>
      <c r="AC29" s="64"/>
      <c r="AD29" s="64"/>
      <c r="AE29" s="65"/>
    </row>
    <row r="30" spans="1:31">
      <c r="A30" s="138"/>
      <c r="B30" s="139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779"/>
      <c r="T30" s="139"/>
      <c r="U30" s="139"/>
      <c r="V30" s="139"/>
      <c r="W30" s="139"/>
      <c r="X30" s="139"/>
      <c r="Y30" s="139"/>
      <c r="Z30" s="780"/>
      <c r="AA30" s="139"/>
      <c r="AB30" s="699"/>
      <c r="AC30" s="64"/>
      <c r="AD30" s="64"/>
      <c r="AE30" s="65"/>
    </row>
    <row r="31" spans="1:31">
      <c r="A31" s="138"/>
      <c r="B31" s="139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779"/>
      <c r="T31" s="139"/>
      <c r="U31" s="139"/>
      <c r="V31" s="139"/>
      <c r="W31" s="139"/>
      <c r="X31" s="139"/>
      <c r="Y31" s="139"/>
      <c r="Z31" s="780"/>
      <c r="AA31" s="139"/>
      <c r="AB31" s="699"/>
      <c r="AC31" s="64"/>
      <c r="AD31" s="64"/>
      <c r="AE31" s="65"/>
    </row>
    <row r="32" spans="1:31">
      <c r="A32" s="138"/>
      <c r="B32" s="139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779"/>
      <c r="T32" s="139"/>
      <c r="U32" s="139"/>
      <c r="V32" s="139"/>
      <c r="W32" s="139"/>
      <c r="X32" s="139"/>
      <c r="Y32" s="139"/>
      <c r="Z32" s="780"/>
      <c r="AA32" s="139"/>
      <c r="AB32" s="112"/>
      <c r="AC32" s="64"/>
      <c r="AD32" s="64"/>
      <c r="AE32" s="65"/>
    </row>
    <row r="33" spans="1:28">
      <c r="A33" s="138"/>
      <c r="B33" s="139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57"/>
    </row>
    <row r="34" spans="1:28">
      <c r="A34" s="138"/>
      <c r="B34" s="139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57"/>
    </row>
    <row r="35" spans="1:28">
      <c r="A35" s="140"/>
      <c r="B35" s="141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38"/>
      <c r="V35" s="138"/>
      <c r="W35" s="138"/>
      <c r="X35" s="138"/>
      <c r="Y35" s="138"/>
      <c r="Z35" s="282"/>
      <c r="AA35" s="282"/>
      <c r="AB35" s="57"/>
    </row>
    <row r="36" spans="1:28">
      <c r="A36" s="140"/>
      <c r="B36" s="141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38"/>
      <c r="V36" s="138"/>
      <c r="W36" s="138"/>
      <c r="X36" s="138"/>
      <c r="Y36" s="138"/>
      <c r="Z36" s="282"/>
      <c r="AA36" s="282"/>
      <c r="AB36" s="57"/>
    </row>
    <row r="37" spans="1:28">
      <c r="A37" s="140"/>
      <c r="B37" s="141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38"/>
      <c r="V37" s="138"/>
      <c r="W37" s="138"/>
      <c r="X37" s="138"/>
      <c r="Y37" s="138"/>
      <c r="Z37" s="282"/>
      <c r="AA37" s="282"/>
      <c r="AB37" s="57"/>
    </row>
    <row r="38" spans="1:28">
      <c r="A38" s="140"/>
      <c r="B38" s="141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38"/>
      <c r="V38" s="138"/>
      <c r="W38" s="138"/>
      <c r="X38" s="138"/>
      <c r="Y38" s="138"/>
      <c r="Z38" s="282"/>
      <c r="AA38" s="282"/>
      <c r="AB38" s="57"/>
    </row>
    <row r="39" spans="1:28">
      <c r="A39" s="140"/>
      <c r="B39" s="141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38"/>
      <c r="V39" s="138"/>
      <c r="W39" s="138"/>
      <c r="X39" s="138"/>
      <c r="Y39" s="138"/>
      <c r="Z39" s="282"/>
      <c r="AA39" s="282"/>
      <c r="AB39" s="57"/>
    </row>
    <row r="40" spans="1:28">
      <c r="A40" s="138"/>
      <c r="B40" s="139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282"/>
      <c r="AA40" s="282"/>
    </row>
    <row r="41" spans="1:28">
      <c r="A41" s="138"/>
      <c r="B41" s="139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282"/>
      <c r="AA41" s="282"/>
    </row>
  </sheetData>
  <pageMargins left="0.511811024" right="0.511811024" top="0.78740157499999996" bottom="0.78740157499999996" header="0.31496062000000002" footer="0.31496062000000002"/>
  <ignoredErrors>
    <ignoredError sqref="B17" formulaRange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opLeftCell="A4" zoomScaleNormal="100" workbookViewId="0"/>
  </sheetViews>
  <sheetFormatPr defaultRowHeight="15"/>
  <cols>
    <col min="1" max="1" width="24.85546875" style="115" customWidth="1"/>
    <col min="2" max="3" width="6.85546875" bestFit="1" customWidth="1"/>
    <col min="4" max="4" width="6.42578125" bestFit="1" customWidth="1"/>
    <col min="5" max="5" width="6.140625" style="39" bestFit="1" customWidth="1"/>
    <col min="6" max="6" width="7" style="113" bestFit="1" customWidth="1"/>
    <col min="7" max="7" width="5.85546875" style="113" bestFit="1" customWidth="1"/>
    <col min="8" max="8" width="6.42578125" style="113" bestFit="1" customWidth="1"/>
    <col min="9" max="9" width="7" style="113" bestFit="1" customWidth="1"/>
    <col min="10" max="10" width="6.5703125" style="114" bestFit="1" customWidth="1"/>
    <col min="11" max="11" width="7.140625" style="113" bestFit="1" customWidth="1"/>
    <col min="12" max="12" width="6.28515625" style="113" bestFit="1" customWidth="1"/>
    <col min="13" max="13" width="6.42578125" bestFit="1" customWidth="1"/>
    <col min="14" max="14" width="6.7109375" bestFit="1" customWidth="1"/>
    <col min="15" max="15" width="7.140625" style="17" bestFit="1" customWidth="1"/>
    <col min="16" max="16" width="13.7109375" customWidth="1"/>
  </cols>
  <sheetData>
    <row r="1" spans="1:16">
      <c r="A1" s="93" t="s">
        <v>0</v>
      </c>
      <c r="B1" s="51"/>
      <c r="C1" s="51"/>
      <c r="D1" s="51"/>
      <c r="E1" s="52"/>
      <c r="F1" s="94"/>
      <c r="G1" s="94"/>
    </row>
    <row r="2" spans="1:16">
      <c r="A2" s="95" t="s">
        <v>1</v>
      </c>
      <c r="B2" s="5"/>
      <c r="C2" s="5"/>
      <c r="D2" s="5"/>
      <c r="E2" s="54"/>
      <c r="F2" s="96"/>
      <c r="G2" s="96"/>
    </row>
    <row r="3" spans="1:16" ht="15.75" thickBot="1"/>
    <row r="4" spans="1:16" ht="52.5" thickBot="1">
      <c r="A4" s="365" t="s">
        <v>146</v>
      </c>
      <c r="B4" s="435">
        <v>45261</v>
      </c>
      <c r="C4" s="436">
        <v>45231</v>
      </c>
      <c r="D4" s="437">
        <v>45200</v>
      </c>
      <c r="E4" s="438">
        <v>45170</v>
      </c>
      <c r="F4" s="436">
        <v>45139</v>
      </c>
      <c r="G4" s="437">
        <v>45108</v>
      </c>
      <c r="H4" s="435">
        <v>45078</v>
      </c>
      <c r="I4" s="435">
        <v>45047</v>
      </c>
      <c r="J4" s="435">
        <v>45017</v>
      </c>
      <c r="K4" s="435">
        <v>44986</v>
      </c>
      <c r="L4" s="435">
        <v>44958</v>
      </c>
      <c r="M4" s="927">
        <v>44927</v>
      </c>
      <c r="N4" s="191" t="s">
        <v>3</v>
      </c>
      <c r="O4" s="192" t="s">
        <v>4</v>
      </c>
      <c r="P4" s="434" t="s">
        <v>233</v>
      </c>
    </row>
    <row r="5" spans="1:16">
      <c r="A5" s="916" t="s">
        <v>415</v>
      </c>
      <c r="B5" s="787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930">
        <v>24</v>
      </c>
      <c r="N5" s="469">
        <f>SUM(B5:M5)</f>
        <v>24</v>
      </c>
      <c r="O5" s="176">
        <f>AVERAGE(B5:M5)</f>
        <v>24</v>
      </c>
      <c r="P5" s="411">
        <f t="shared" ref="P5:P36" si="0">N5/$N$37*100</f>
        <v>2.2835394862036158</v>
      </c>
    </row>
    <row r="6" spans="1:16">
      <c r="A6" s="913" t="s">
        <v>408</v>
      </c>
      <c r="B6" s="786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64">
        <v>52</v>
      </c>
      <c r="N6" s="470">
        <f t="shared" ref="N6:N36" si="1">SUM(B6:M6)</f>
        <v>52</v>
      </c>
      <c r="O6" s="175">
        <f t="shared" ref="O6:O36" si="2">AVERAGE(B6:M6)</f>
        <v>52</v>
      </c>
      <c r="P6" s="412">
        <f t="shared" si="0"/>
        <v>4.9476688867745002</v>
      </c>
    </row>
    <row r="7" spans="1:16">
      <c r="A7" s="913" t="s">
        <v>406</v>
      </c>
      <c r="B7" s="786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64">
        <v>62</v>
      </c>
      <c r="N7" s="470">
        <f t="shared" si="1"/>
        <v>62</v>
      </c>
      <c r="O7" s="175">
        <f t="shared" si="2"/>
        <v>62</v>
      </c>
      <c r="P7" s="412">
        <f t="shared" si="0"/>
        <v>5.8991436726926736</v>
      </c>
    </row>
    <row r="8" spans="1:16">
      <c r="A8" s="913" t="s">
        <v>416</v>
      </c>
      <c r="B8" s="786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64">
        <v>29</v>
      </c>
      <c r="N8" s="470">
        <f t="shared" si="1"/>
        <v>29</v>
      </c>
      <c r="O8" s="175">
        <f t="shared" si="2"/>
        <v>29</v>
      </c>
      <c r="P8" s="412">
        <f t="shared" si="0"/>
        <v>2.759276879162702</v>
      </c>
    </row>
    <row r="9" spans="1:16">
      <c r="A9" s="913" t="s">
        <v>417</v>
      </c>
      <c r="B9" s="786"/>
      <c r="C9" s="134"/>
      <c r="D9" s="148"/>
      <c r="E9" s="134"/>
      <c r="F9" s="134"/>
      <c r="G9" s="148"/>
      <c r="H9" s="134"/>
      <c r="I9" s="148"/>
      <c r="J9" s="134"/>
      <c r="K9" s="148"/>
      <c r="L9" s="134"/>
      <c r="M9" s="164">
        <v>25</v>
      </c>
      <c r="N9" s="470">
        <f t="shared" si="1"/>
        <v>25</v>
      </c>
      <c r="O9" s="175">
        <f t="shared" si="2"/>
        <v>25</v>
      </c>
      <c r="P9" s="412">
        <f t="shared" si="0"/>
        <v>2.378686964795433</v>
      </c>
    </row>
    <row r="10" spans="1:16">
      <c r="A10" s="913" t="s">
        <v>418</v>
      </c>
      <c r="B10" s="786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64">
        <v>41</v>
      </c>
      <c r="N10" s="470">
        <f t="shared" si="1"/>
        <v>41</v>
      </c>
      <c r="O10" s="175">
        <f t="shared" si="2"/>
        <v>41</v>
      </c>
      <c r="P10" s="412">
        <f t="shared" si="0"/>
        <v>3.9010466222645097</v>
      </c>
    </row>
    <row r="11" spans="1:16">
      <c r="A11" s="913" t="s">
        <v>419</v>
      </c>
      <c r="B11" s="786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64">
        <v>6</v>
      </c>
      <c r="N11" s="470">
        <f t="shared" si="1"/>
        <v>6</v>
      </c>
      <c r="O11" s="175">
        <f t="shared" si="2"/>
        <v>6</v>
      </c>
      <c r="P11" s="412">
        <f t="shared" si="0"/>
        <v>0.57088487155090395</v>
      </c>
    </row>
    <row r="12" spans="1:16">
      <c r="A12" s="913" t="s">
        <v>420</v>
      </c>
      <c r="B12" s="786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64">
        <v>14</v>
      </c>
      <c r="N12" s="470">
        <f t="shared" si="1"/>
        <v>14</v>
      </c>
      <c r="O12" s="175">
        <f t="shared" si="2"/>
        <v>14</v>
      </c>
      <c r="P12" s="412">
        <f t="shared" si="0"/>
        <v>1.3320647002854424</v>
      </c>
    </row>
    <row r="13" spans="1:16">
      <c r="A13" s="913" t="s">
        <v>421</v>
      </c>
      <c r="B13" s="786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64">
        <v>22</v>
      </c>
      <c r="N13" s="470">
        <f t="shared" si="1"/>
        <v>22</v>
      </c>
      <c r="O13" s="175">
        <f t="shared" si="2"/>
        <v>22</v>
      </c>
      <c r="P13" s="412">
        <f t="shared" si="0"/>
        <v>2.093244529019981</v>
      </c>
    </row>
    <row r="14" spans="1:16">
      <c r="A14" s="913" t="s">
        <v>422</v>
      </c>
      <c r="B14" s="786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64">
        <v>10</v>
      </c>
      <c r="N14" s="470">
        <f t="shared" si="1"/>
        <v>10</v>
      </c>
      <c r="O14" s="175">
        <f t="shared" si="2"/>
        <v>10</v>
      </c>
      <c r="P14" s="412">
        <f t="shared" si="0"/>
        <v>0.95147478591817314</v>
      </c>
    </row>
    <row r="15" spans="1:16">
      <c r="A15" s="913" t="s">
        <v>423</v>
      </c>
      <c r="B15" s="786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64">
        <v>41</v>
      </c>
      <c r="N15" s="470">
        <f t="shared" si="1"/>
        <v>41</v>
      </c>
      <c r="O15" s="175">
        <f t="shared" si="2"/>
        <v>41</v>
      </c>
      <c r="P15" s="412">
        <f t="shared" si="0"/>
        <v>3.9010466222645097</v>
      </c>
    </row>
    <row r="16" spans="1:16">
      <c r="A16" s="913" t="s">
        <v>424</v>
      </c>
      <c r="B16" s="786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64">
        <v>28</v>
      </c>
      <c r="N16" s="470">
        <f t="shared" si="1"/>
        <v>28</v>
      </c>
      <c r="O16" s="175">
        <f t="shared" si="2"/>
        <v>28</v>
      </c>
      <c r="P16" s="412">
        <f t="shared" si="0"/>
        <v>2.6641294005708849</v>
      </c>
    </row>
    <row r="17" spans="1:20">
      <c r="A17" s="913" t="s">
        <v>409</v>
      </c>
      <c r="B17" s="786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64">
        <v>49</v>
      </c>
      <c r="N17" s="470">
        <f t="shared" si="1"/>
        <v>49</v>
      </c>
      <c r="O17" s="175">
        <f t="shared" si="2"/>
        <v>49</v>
      </c>
      <c r="P17" s="412">
        <f t="shared" si="0"/>
        <v>4.6622264509990483</v>
      </c>
    </row>
    <row r="18" spans="1:20">
      <c r="A18" s="913" t="s">
        <v>425</v>
      </c>
      <c r="B18" s="786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64">
        <v>20</v>
      </c>
      <c r="N18" s="470">
        <f t="shared" si="1"/>
        <v>20</v>
      </c>
      <c r="O18" s="175">
        <f t="shared" si="2"/>
        <v>20</v>
      </c>
      <c r="P18" s="412">
        <f t="shared" si="0"/>
        <v>1.9029495718363463</v>
      </c>
    </row>
    <row r="19" spans="1:20">
      <c r="A19" s="913" t="s">
        <v>426</v>
      </c>
      <c r="B19" s="786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64">
        <v>22</v>
      </c>
      <c r="N19" s="470">
        <f t="shared" si="1"/>
        <v>22</v>
      </c>
      <c r="O19" s="175">
        <f t="shared" si="2"/>
        <v>22</v>
      </c>
      <c r="P19" s="412">
        <f t="shared" si="0"/>
        <v>2.093244529019981</v>
      </c>
      <c r="Q19" s="393"/>
      <c r="R19" s="395"/>
      <c r="S19" s="395"/>
      <c r="T19" s="394"/>
    </row>
    <row r="20" spans="1:20">
      <c r="A20" s="913" t="s">
        <v>405</v>
      </c>
      <c r="B20" s="786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64">
        <v>70</v>
      </c>
      <c r="N20" s="470">
        <f t="shared" si="1"/>
        <v>70</v>
      </c>
      <c r="O20" s="175">
        <f t="shared" si="2"/>
        <v>70</v>
      </c>
      <c r="P20" s="412">
        <f t="shared" si="0"/>
        <v>6.6603235014272126</v>
      </c>
      <c r="Q20" s="393"/>
      <c r="R20" s="395"/>
      <c r="S20" s="395"/>
      <c r="T20" s="394"/>
    </row>
    <row r="21" spans="1:20">
      <c r="A21" s="913" t="s">
        <v>427</v>
      </c>
      <c r="B21" s="786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64">
        <v>22</v>
      </c>
      <c r="N21" s="470">
        <f t="shared" si="1"/>
        <v>22</v>
      </c>
      <c r="O21" s="175">
        <f t="shared" si="2"/>
        <v>22</v>
      </c>
      <c r="P21" s="412">
        <f t="shared" si="0"/>
        <v>2.093244529019981</v>
      </c>
      <c r="Q21" s="393"/>
      <c r="R21" s="395"/>
      <c r="S21" s="395"/>
      <c r="T21" s="394"/>
    </row>
    <row r="22" spans="1:20">
      <c r="A22" s="913" t="s">
        <v>407</v>
      </c>
      <c r="B22" s="786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64">
        <v>53</v>
      </c>
      <c r="N22" s="470">
        <f t="shared" si="1"/>
        <v>53</v>
      </c>
      <c r="O22" s="175">
        <f t="shared" si="2"/>
        <v>53</v>
      </c>
      <c r="P22" s="412">
        <f t="shared" si="0"/>
        <v>5.0428163653663178</v>
      </c>
      <c r="Q22" s="393"/>
      <c r="R22" s="395"/>
      <c r="S22" s="395"/>
      <c r="T22" s="394"/>
    </row>
    <row r="23" spans="1:20">
      <c r="A23" s="913" t="s">
        <v>428</v>
      </c>
      <c r="B23" s="786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64">
        <v>5</v>
      </c>
      <c r="N23" s="470">
        <f t="shared" si="1"/>
        <v>5</v>
      </c>
      <c r="O23" s="175">
        <f t="shared" si="2"/>
        <v>5</v>
      </c>
      <c r="P23" s="412">
        <f t="shared" si="0"/>
        <v>0.47573739295908657</v>
      </c>
      <c r="Q23" s="396"/>
      <c r="R23" s="395"/>
      <c r="S23" s="395"/>
      <c r="T23" s="397"/>
    </row>
    <row r="24" spans="1:20">
      <c r="A24" s="913" t="s">
        <v>404</v>
      </c>
      <c r="B24" s="786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64">
        <v>71</v>
      </c>
      <c r="N24" s="470">
        <f t="shared" si="1"/>
        <v>71</v>
      </c>
      <c r="O24" s="175">
        <f t="shared" si="2"/>
        <v>71</v>
      </c>
      <c r="P24" s="412">
        <f t="shared" si="0"/>
        <v>6.7554709800190293</v>
      </c>
      <c r="Q24" s="393"/>
      <c r="R24" s="395"/>
      <c r="S24" s="395"/>
      <c r="T24" s="394"/>
    </row>
    <row r="25" spans="1:20">
      <c r="A25" s="913" t="s">
        <v>429</v>
      </c>
      <c r="B25" s="786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64">
        <v>10</v>
      </c>
      <c r="N25" s="470">
        <f t="shared" si="1"/>
        <v>10</v>
      </c>
      <c r="O25" s="175">
        <f t="shared" si="2"/>
        <v>10</v>
      </c>
      <c r="P25" s="412">
        <f t="shared" si="0"/>
        <v>0.95147478591817314</v>
      </c>
      <c r="Q25" s="393"/>
      <c r="R25" s="395"/>
      <c r="S25" s="395"/>
      <c r="T25" s="394"/>
    </row>
    <row r="26" spans="1:20">
      <c r="A26" s="913" t="s">
        <v>411</v>
      </c>
      <c r="B26" s="786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64">
        <v>47</v>
      </c>
      <c r="N26" s="470">
        <f t="shared" si="1"/>
        <v>47</v>
      </c>
      <c r="O26" s="175">
        <f t="shared" si="2"/>
        <v>47</v>
      </c>
      <c r="P26" s="412">
        <f t="shared" si="0"/>
        <v>4.471931493815414</v>
      </c>
      <c r="Q26" s="393"/>
      <c r="R26" s="395"/>
      <c r="S26" s="395"/>
      <c r="T26" s="394"/>
    </row>
    <row r="27" spans="1:20">
      <c r="A27" s="913" t="s">
        <v>430</v>
      </c>
      <c r="B27" s="786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64">
        <v>38</v>
      </c>
      <c r="N27" s="470">
        <f t="shared" si="1"/>
        <v>38</v>
      </c>
      <c r="O27" s="175">
        <f t="shared" si="2"/>
        <v>38</v>
      </c>
      <c r="P27" s="412">
        <f t="shared" si="0"/>
        <v>3.6156041864890582</v>
      </c>
      <c r="Q27" s="393"/>
      <c r="R27" s="395"/>
      <c r="S27" s="395"/>
      <c r="T27" s="394"/>
    </row>
    <row r="28" spans="1:20">
      <c r="A28" s="913" t="s">
        <v>431</v>
      </c>
      <c r="B28" s="786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64">
        <v>42</v>
      </c>
      <c r="N28" s="470">
        <f t="shared" si="1"/>
        <v>42</v>
      </c>
      <c r="O28" s="175">
        <f t="shared" si="2"/>
        <v>42</v>
      </c>
      <c r="P28" s="412">
        <f t="shared" si="0"/>
        <v>3.9961941008563278</v>
      </c>
      <c r="Q28" s="393"/>
      <c r="R28" s="395"/>
      <c r="S28" s="395"/>
      <c r="T28" s="394"/>
    </row>
    <row r="29" spans="1:20">
      <c r="A29" s="913" t="s">
        <v>413</v>
      </c>
      <c r="B29" s="786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64">
        <v>44</v>
      </c>
      <c r="N29" s="470">
        <f t="shared" si="1"/>
        <v>44</v>
      </c>
      <c r="O29" s="175">
        <f t="shared" si="2"/>
        <v>44</v>
      </c>
      <c r="P29" s="412">
        <f t="shared" si="0"/>
        <v>4.1864890580399621</v>
      </c>
      <c r="Q29" s="393"/>
      <c r="R29" s="395"/>
      <c r="S29" s="395"/>
      <c r="T29" s="394"/>
    </row>
    <row r="30" spans="1:20">
      <c r="A30" s="913" t="s">
        <v>432</v>
      </c>
      <c r="B30" s="786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64">
        <v>32</v>
      </c>
      <c r="N30" s="470">
        <f t="shared" si="1"/>
        <v>32</v>
      </c>
      <c r="O30" s="175">
        <f t="shared" si="2"/>
        <v>32</v>
      </c>
      <c r="P30" s="412">
        <f t="shared" si="0"/>
        <v>3.0447193149381544</v>
      </c>
      <c r="Q30" s="393"/>
      <c r="R30" s="395"/>
      <c r="S30" s="395"/>
      <c r="T30" s="394"/>
    </row>
    <row r="31" spans="1:20">
      <c r="A31" s="913" t="s">
        <v>433</v>
      </c>
      <c r="B31" s="786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64">
        <v>10</v>
      </c>
      <c r="N31" s="470">
        <f t="shared" si="1"/>
        <v>10</v>
      </c>
      <c r="O31" s="175">
        <f t="shared" si="2"/>
        <v>10</v>
      </c>
      <c r="P31" s="412">
        <f t="shared" si="0"/>
        <v>0.95147478591817314</v>
      </c>
      <c r="Q31" s="393"/>
      <c r="R31" s="395"/>
      <c r="S31" s="395"/>
      <c r="T31" s="394"/>
    </row>
    <row r="32" spans="1:20">
      <c r="A32" s="913" t="s">
        <v>434</v>
      </c>
      <c r="B32" s="786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64">
        <v>23</v>
      </c>
      <c r="N32" s="470">
        <f t="shared" si="1"/>
        <v>23</v>
      </c>
      <c r="O32" s="175">
        <f t="shared" si="2"/>
        <v>23</v>
      </c>
      <c r="P32" s="412">
        <f t="shared" si="0"/>
        <v>2.1883920076117986</v>
      </c>
      <c r="Q32" s="393"/>
      <c r="R32" s="395"/>
      <c r="S32" s="395"/>
      <c r="T32" s="394"/>
    </row>
    <row r="33" spans="1:20">
      <c r="A33" s="913" t="s">
        <v>412</v>
      </c>
      <c r="B33" s="786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64">
        <v>46</v>
      </c>
      <c r="N33" s="470">
        <f t="shared" si="1"/>
        <v>46</v>
      </c>
      <c r="O33" s="175">
        <f t="shared" si="2"/>
        <v>46</v>
      </c>
      <c r="P33" s="412">
        <f t="shared" si="0"/>
        <v>4.3767840152235973</v>
      </c>
      <c r="Q33" s="393"/>
      <c r="R33" s="395"/>
      <c r="S33" s="395"/>
      <c r="T33" s="394"/>
    </row>
    <row r="34" spans="1:20">
      <c r="A34" s="913" t="s">
        <v>435</v>
      </c>
      <c r="B34" s="786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64">
        <v>28</v>
      </c>
      <c r="N34" s="470">
        <f t="shared" si="1"/>
        <v>28</v>
      </c>
      <c r="O34" s="175">
        <f t="shared" si="2"/>
        <v>28</v>
      </c>
      <c r="P34" s="412">
        <f t="shared" si="0"/>
        <v>2.6641294005708849</v>
      </c>
      <c r="Q34" s="393"/>
      <c r="R34" s="395"/>
      <c r="S34" s="395"/>
      <c r="T34" s="394"/>
    </row>
    <row r="35" spans="1:20">
      <c r="A35" s="913" t="s">
        <v>410</v>
      </c>
      <c r="B35" s="786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64">
        <v>48</v>
      </c>
      <c r="N35" s="470">
        <f t="shared" si="1"/>
        <v>48</v>
      </c>
      <c r="O35" s="175">
        <f t="shared" si="2"/>
        <v>48</v>
      </c>
      <c r="P35" s="412">
        <f t="shared" si="0"/>
        <v>4.5670789724072316</v>
      </c>
      <c r="Q35" s="393"/>
      <c r="R35" s="395"/>
      <c r="S35" s="395"/>
      <c r="T35" s="394"/>
    </row>
    <row r="36" spans="1:20" ht="15.75" thickBot="1">
      <c r="A36" s="914" t="s">
        <v>436</v>
      </c>
      <c r="B36" s="790"/>
      <c r="C36" s="439"/>
      <c r="D36" s="439"/>
      <c r="E36" s="439"/>
      <c r="F36" s="439"/>
      <c r="G36" s="439"/>
      <c r="H36" s="439"/>
      <c r="I36" s="439"/>
      <c r="J36" s="439"/>
      <c r="K36" s="439"/>
      <c r="L36" s="439"/>
      <c r="M36" s="499">
        <v>17</v>
      </c>
      <c r="N36" s="471">
        <f t="shared" si="1"/>
        <v>17</v>
      </c>
      <c r="O36" s="440">
        <f t="shared" si="2"/>
        <v>17</v>
      </c>
      <c r="P36" s="412">
        <f t="shared" si="0"/>
        <v>1.6175071360608944</v>
      </c>
      <c r="Q36" s="393"/>
      <c r="R36" s="395"/>
      <c r="S36" s="395"/>
      <c r="T36" s="394"/>
    </row>
    <row r="37" spans="1:20" ht="15.75" thickBot="1">
      <c r="A37" s="928" t="s">
        <v>3</v>
      </c>
      <c r="B37" s="158">
        <f t="shared" ref="B37:N37" si="3">SUM(B5:B36)</f>
        <v>0</v>
      </c>
      <c r="C37" s="159">
        <f>SUM(C5:C36)</f>
        <v>0</v>
      </c>
      <c r="D37" s="159">
        <f t="shared" si="3"/>
        <v>0</v>
      </c>
      <c r="E37" s="366">
        <f t="shared" si="3"/>
        <v>0</v>
      </c>
      <c r="F37" s="366">
        <f t="shared" si="3"/>
        <v>0</v>
      </c>
      <c r="G37" s="366">
        <f t="shared" si="3"/>
        <v>0</v>
      </c>
      <c r="H37" s="441">
        <f>SUM(H5:H36)</f>
        <v>0</v>
      </c>
      <c r="I37" s="193">
        <f t="shared" si="3"/>
        <v>0</v>
      </c>
      <c r="J37" s="193">
        <f>SUM(J5:J36)</f>
        <v>0</v>
      </c>
      <c r="K37" s="193">
        <f>SUM(K5:K36)</f>
        <v>0</v>
      </c>
      <c r="L37" s="193">
        <f>SUM(L5:L36)</f>
        <v>0</v>
      </c>
      <c r="M37" s="929">
        <f>SUM(M5:M36)</f>
        <v>1051</v>
      </c>
      <c r="N37" s="815">
        <f t="shared" si="3"/>
        <v>1051</v>
      </c>
      <c r="O37" s="442">
        <f>(B37+C37+D37+E37+F37+G37+H37+I37+J37+K37+L37+M37)/12</f>
        <v>87.583333333333329</v>
      </c>
      <c r="P37" s="413">
        <f>SUM(P5:P36)</f>
        <v>100.00000000000001</v>
      </c>
      <c r="Q37" s="393"/>
      <c r="R37" s="395"/>
      <c r="S37" s="395"/>
      <c r="T37" s="394"/>
    </row>
    <row r="38" spans="1:20">
      <c r="Q38" s="393"/>
      <c r="R38" s="395"/>
      <c r="S38" s="395"/>
      <c r="T38" s="394"/>
    </row>
    <row r="39" spans="1:20">
      <c r="Q39" s="393"/>
      <c r="R39" s="395"/>
      <c r="S39" s="395"/>
      <c r="T39" s="394"/>
    </row>
    <row r="40" spans="1:20">
      <c r="Q40" s="393"/>
      <c r="R40" s="395"/>
      <c r="S40" s="395"/>
      <c r="T40" s="394"/>
    </row>
    <row r="41" spans="1:20">
      <c r="Q41" s="393"/>
      <c r="R41" s="395"/>
      <c r="S41" s="395"/>
      <c r="T41" s="394"/>
    </row>
    <row r="42" spans="1:20">
      <c r="Q42" s="393"/>
      <c r="R42" s="395"/>
      <c r="S42" s="395"/>
      <c r="T42" s="394"/>
    </row>
    <row r="43" spans="1:20">
      <c r="Q43" s="393"/>
      <c r="R43" s="395"/>
      <c r="S43" s="395"/>
      <c r="T43" s="394"/>
    </row>
    <row r="44" spans="1:20">
      <c r="Q44" s="393"/>
      <c r="R44" s="395"/>
      <c r="S44" s="395"/>
      <c r="T44" s="394"/>
    </row>
    <row r="45" spans="1:20">
      <c r="Q45" s="393"/>
      <c r="R45" s="395"/>
      <c r="S45" s="395"/>
      <c r="T45" s="394"/>
    </row>
    <row r="46" spans="1:20">
      <c r="Q46" s="393"/>
      <c r="R46" s="395"/>
      <c r="S46" s="395"/>
      <c r="T46" s="394"/>
    </row>
    <row r="47" spans="1:20">
      <c r="Q47" s="393"/>
      <c r="R47" s="395"/>
      <c r="S47" s="395"/>
      <c r="T47" s="394"/>
    </row>
    <row r="48" spans="1:20">
      <c r="Q48" s="393"/>
      <c r="R48" s="395"/>
      <c r="S48" s="395"/>
      <c r="T48" s="394"/>
    </row>
    <row r="49" spans="17:20">
      <c r="Q49" s="393"/>
      <c r="R49" s="395"/>
      <c r="S49" s="395"/>
      <c r="T49" s="394"/>
    </row>
    <row r="50" spans="17:20">
      <c r="Q50" s="393"/>
      <c r="R50" s="395"/>
      <c r="S50" s="395"/>
      <c r="T50" s="394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F37:J37 K37:M37 B37:E37" formulaRange="1"/>
    <ignoredError sqref="O37" formula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zoomScale="90" zoomScaleNormal="90" workbookViewId="0"/>
  </sheetViews>
  <sheetFormatPr defaultRowHeight="15"/>
  <cols>
    <col min="1" max="1" width="19.710937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bestFit="1" customWidth="1"/>
    <col min="7" max="7" width="6.28515625" bestFit="1" customWidth="1"/>
    <col min="8" max="8" width="7" bestFit="1" customWidth="1"/>
    <col min="9" max="9" width="7.5703125" customWidth="1"/>
    <col min="10" max="10" width="7.140625" bestFit="1" customWidth="1"/>
    <col min="11" max="11" width="7.5703125" bestFit="1" customWidth="1"/>
    <col min="12" max="12" width="7.140625" bestFit="1" customWidth="1"/>
    <col min="13" max="13" width="7.5703125" customWidth="1"/>
    <col min="14" max="14" width="6.140625" bestFit="1" customWidth="1"/>
    <col min="15" max="15" width="7.85546875" bestFit="1" customWidth="1"/>
    <col min="16" max="16" width="17.85546875" customWidth="1"/>
    <col min="17" max="17" width="9.140625" customWidth="1"/>
  </cols>
  <sheetData>
    <row r="1" spans="1:16">
      <c r="A1" s="5" t="s">
        <v>0</v>
      </c>
      <c r="P1" s="133">
        <v>4257</v>
      </c>
    </row>
    <row r="2" spans="1:16">
      <c r="A2" s="5" t="s">
        <v>272</v>
      </c>
    </row>
    <row r="3" spans="1:16">
      <c r="A3" s="5"/>
    </row>
    <row r="4" spans="1:16">
      <c r="A4" s="5" t="s">
        <v>414</v>
      </c>
    </row>
    <row r="5" spans="1:16" ht="15.75" thickBot="1"/>
    <row r="6" spans="1:16" ht="45.75" customHeight="1" thickBot="1">
      <c r="A6" s="283" t="s">
        <v>146</v>
      </c>
      <c r="B6" s="190">
        <v>45261</v>
      </c>
      <c r="C6" s="191">
        <v>45231</v>
      </c>
      <c r="D6" s="191">
        <v>45200</v>
      </c>
      <c r="E6" s="191">
        <v>45170</v>
      </c>
      <c r="F6" s="191">
        <v>45139</v>
      </c>
      <c r="G6" s="191">
        <v>45108</v>
      </c>
      <c r="H6" s="716">
        <v>45078</v>
      </c>
      <c r="I6" s="717">
        <v>45047</v>
      </c>
      <c r="J6" s="718">
        <v>45017</v>
      </c>
      <c r="K6" s="718">
        <v>44986</v>
      </c>
      <c r="L6" s="718">
        <v>44958</v>
      </c>
      <c r="M6" s="719">
        <v>44927</v>
      </c>
      <c r="N6" s="715" t="s">
        <v>3</v>
      </c>
      <c r="O6" s="761" t="s">
        <v>4</v>
      </c>
      <c r="P6" s="770" t="s">
        <v>397</v>
      </c>
    </row>
    <row r="7" spans="1:16" ht="15.75" thickBot="1">
      <c r="A7" s="913" t="s">
        <v>404</v>
      </c>
      <c r="B7" s="136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>
        <v>71</v>
      </c>
      <c r="N7" s="665">
        <f>SUM(B7:M7)</f>
        <v>71</v>
      </c>
      <c r="O7" s="680">
        <f>AVERAGE(B7:M7)</f>
        <v>71</v>
      </c>
      <c r="P7" s="421">
        <f>(M7*100)/$P$1</f>
        <v>1.6678412027249236</v>
      </c>
    </row>
    <row r="8" spans="1:16" ht="15.75" thickBot="1">
      <c r="A8" s="913" t="s">
        <v>405</v>
      </c>
      <c r="B8" s="136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>
        <v>70</v>
      </c>
      <c r="N8" s="666">
        <f t="shared" ref="N8:N16" si="0">SUM(B8:M8)</f>
        <v>70</v>
      </c>
      <c r="O8" s="681">
        <f t="shared" ref="O8:O16" si="1">AVERAGE(B8:M8)</f>
        <v>70</v>
      </c>
      <c r="P8" s="421">
        <f t="shared" ref="P8:P17" si="2">(M8*100)/$P$1</f>
        <v>1.6443504815597838</v>
      </c>
    </row>
    <row r="9" spans="1:16" ht="15.75" thickBot="1">
      <c r="A9" s="913" t="s">
        <v>406</v>
      </c>
      <c r="B9" s="136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>
        <v>62</v>
      </c>
      <c r="N9" s="666">
        <f t="shared" si="0"/>
        <v>62</v>
      </c>
      <c r="O9" s="681">
        <f t="shared" si="1"/>
        <v>62</v>
      </c>
      <c r="P9" s="421">
        <f t="shared" si="2"/>
        <v>1.4564247122386658</v>
      </c>
    </row>
    <row r="10" spans="1:16" ht="15.75" thickBot="1">
      <c r="A10" s="913" t="s">
        <v>407</v>
      </c>
      <c r="B10" s="136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>
        <v>53</v>
      </c>
      <c r="N10" s="666">
        <f t="shared" si="0"/>
        <v>53</v>
      </c>
      <c r="O10" s="681">
        <f t="shared" si="1"/>
        <v>53</v>
      </c>
      <c r="P10" s="421">
        <f t="shared" si="2"/>
        <v>1.2450082217524079</v>
      </c>
    </row>
    <row r="11" spans="1:16" ht="15.75" thickBot="1">
      <c r="A11" s="913" t="s">
        <v>408</v>
      </c>
      <c r="B11" s="136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>
        <v>52</v>
      </c>
      <c r="N11" s="666">
        <f t="shared" si="0"/>
        <v>52</v>
      </c>
      <c r="O11" s="681">
        <f t="shared" si="1"/>
        <v>52</v>
      </c>
      <c r="P11" s="421">
        <f t="shared" si="2"/>
        <v>1.221517500587268</v>
      </c>
    </row>
    <row r="12" spans="1:16" ht="15.75" thickBot="1">
      <c r="A12" s="913" t="s">
        <v>409</v>
      </c>
      <c r="B12" s="136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>
        <v>49</v>
      </c>
      <c r="N12" s="666">
        <f t="shared" si="0"/>
        <v>49</v>
      </c>
      <c r="O12" s="681">
        <f t="shared" si="1"/>
        <v>49</v>
      </c>
      <c r="P12" s="421">
        <f t="shared" si="2"/>
        <v>1.1510453370918488</v>
      </c>
    </row>
    <row r="13" spans="1:16" ht="15.75" thickBot="1">
      <c r="A13" s="913" t="s">
        <v>410</v>
      </c>
      <c r="B13" s="136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>
        <v>48</v>
      </c>
      <c r="N13" s="666">
        <f t="shared" si="0"/>
        <v>48</v>
      </c>
      <c r="O13" s="681">
        <f t="shared" si="1"/>
        <v>48</v>
      </c>
      <c r="P13" s="421">
        <f t="shared" si="2"/>
        <v>1.1275546159267089</v>
      </c>
    </row>
    <row r="14" spans="1:16" ht="15.75" thickBot="1">
      <c r="A14" s="913" t="s">
        <v>411</v>
      </c>
      <c r="B14" s="136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>
        <v>47</v>
      </c>
      <c r="N14" s="666">
        <f t="shared" si="0"/>
        <v>47</v>
      </c>
      <c r="O14" s="681">
        <f t="shared" si="1"/>
        <v>47</v>
      </c>
      <c r="P14" s="421">
        <f t="shared" si="2"/>
        <v>1.1040638947615691</v>
      </c>
    </row>
    <row r="15" spans="1:16" ht="15.75" thickBot="1">
      <c r="A15" s="913" t="s">
        <v>412</v>
      </c>
      <c r="B15" s="136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>
        <v>46</v>
      </c>
      <c r="N15" s="666">
        <f t="shared" si="0"/>
        <v>46</v>
      </c>
      <c r="O15" s="681">
        <f t="shared" si="1"/>
        <v>46</v>
      </c>
      <c r="P15" s="421">
        <f t="shared" si="2"/>
        <v>1.0805731735964295</v>
      </c>
    </row>
    <row r="16" spans="1:16" ht="15.75" thickBot="1">
      <c r="A16" s="913" t="s">
        <v>413</v>
      </c>
      <c r="B16" s="136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>
        <v>44</v>
      </c>
      <c r="N16" s="667">
        <f t="shared" si="0"/>
        <v>44</v>
      </c>
      <c r="O16" s="682">
        <f t="shared" si="1"/>
        <v>44</v>
      </c>
      <c r="P16" s="421">
        <f t="shared" si="2"/>
        <v>1.0335917312661498</v>
      </c>
    </row>
    <row r="17" spans="1:33" ht="15.75" thickBot="1">
      <c r="A17" s="449" t="s">
        <v>3</v>
      </c>
      <c r="B17" s="720">
        <f>SUM(B7:B16)</f>
        <v>0</v>
      </c>
      <c r="C17" s="158">
        <f>SUM(C7:C16)</f>
        <v>0</v>
      </c>
      <c r="D17" s="159">
        <f>SUM(D7:D16)</f>
        <v>0</v>
      </c>
      <c r="E17" s="159">
        <f>SUM(E7:E16)</f>
        <v>0</v>
      </c>
      <c r="F17" s="159">
        <f t="shared" ref="F17:K17" si="3">SUM(F7:F16)</f>
        <v>0</v>
      </c>
      <c r="G17" s="159">
        <f t="shared" si="3"/>
        <v>0</v>
      </c>
      <c r="H17" s="721">
        <f t="shared" si="3"/>
        <v>0</v>
      </c>
      <c r="I17" s="720">
        <f t="shared" si="3"/>
        <v>0</v>
      </c>
      <c r="J17" s="860">
        <f t="shared" si="3"/>
        <v>0</v>
      </c>
      <c r="K17" s="864">
        <f t="shared" si="3"/>
        <v>0</v>
      </c>
      <c r="L17" s="860">
        <f>SUM(L7:L16)</f>
        <v>0</v>
      </c>
      <c r="M17" s="865">
        <f>SUM(M7:M16)</f>
        <v>542</v>
      </c>
      <c r="N17" s="866">
        <f>SUM(B17:M17)</f>
        <v>542</v>
      </c>
      <c r="O17" s="867">
        <f>(B17+C17+D17+E17+F17+G17+H17+I17+J17+K17+M17+L17)/12</f>
        <v>45.166666666666664</v>
      </c>
      <c r="P17" s="462">
        <f t="shared" si="2"/>
        <v>12.731970871505755</v>
      </c>
    </row>
    <row r="18" spans="1:33">
      <c r="A18" s="118" t="s">
        <v>147</v>
      </c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160">
        <f>SUM(N7:N16)</f>
        <v>542</v>
      </c>
      <c r="O18" s="91"/>
      <c r="P18" s="119">
        <f>100-P17</f>
        <v>87.268029128494248</v>
      </c>
    </row>
    <row r="19" spans="1:33">
      <c r="B19" s="5"/>
      <c r="C19" s="5"/>
      <c r="D19" s="5"/>
      <c r="N19" s="6"/>
      <c r="P19" s="855"/>
      <c r="Q19" s="395"/>
      <c r="R19" s="395"/>
      <c r="S19" s="395"/>
      <c r="T19" s="395"/>
      <c r="U19" s="395"/>
      <c r="V19" s="395"/>
      <c r="W19" s="395"/>
      <c r="X19" s="395"/>
      <c r="Y19" s="395"/>
      <c r="Z19" s="395"/>
      <c r="AA19" s="395"/>
      <c r="AB19" s="395"/>
      <c r="AC19" s="395"/>
      <c r="AD19" s="395"/>
    </row>
    <row r="20" spans="1:33">
      <c r="B20" s="5"/>
      <c r="C20" s="5"/>
      <c r="D20" s="5"/>
      <c r="P20" s="395"/>
      <c r="Q20" s="393"/>
      <c r="R20" s="852"/>
      <c r="S20" s="853"/>
      <c r="T20" s="852"/>
      <c r="U20" s="852"/>
      <c r="V20" s="852"/>
      <c r="W20" s="852"/>
      <c r="X20" s="852"/>
      <c r="Y20" s="852"/>
      <c r="Z20" s="852"/>
      <c r="AA20" s="852"/>
      <c r="AB20" s="852"/>
      <c r="AC20" s="853"/>
      <c r="AD20" s="852"/>
      <c r="AE20" s="64"/>
      <c r="AF20" s="64"/>
      <c r="AG20" s="65"/>
    </row>
    <row r="21" spans="1:33">
      <c r="B21" s="5"/>
      <c r="C21" s="5"/>
      <c r="D21" s="5"/>
      <c r="P21" s="395"/>
      <c r="Q21" s="393"/>
      <c r="R21" s="852"/>
      <c r="S21" s="853"/>
      <c r="T21" s="852"/>
      <c r="U21" s="852"/>
      <c r="V21" s="852"/>
      <c r="W21" s="852"/>
      <c r="X21" s="852"/>
      <c r="Y21" s="852"/>
      <c r="Z21" s="852"/>
      <c r="AA21" s="852"/>
      <c r="AB21" s="852"/>
      <c r="AC21" s="853"/>
      <c r="AD21" s="852"/>
      <c r="AE21" s="64"/>
      <c r="AF21" s="64"/>
      <c r="AG21" s="65"/>
    </row>
    <row r="22" spans="1:33">
      <c r="B22" s="5"/>
      <c r="C22" s="5"/>
      <c r="D22" s="5"/>
      <c r="P22" s="395"/>
      <c r="Q22" s="395"/>
      <c r="R22" s="395"/>
      <c r="S22" s="395"/>
      <c r="T22" s="395"/>
      <c r="U22" s="393"/>
      <c r="V22" s="852"/>
      <c r="W22" s="852"/>
      <c r="X22" s="852"/>
      <c r="Y22" s="852"/>
      <c r="Z22" s="852"/>
      <c r="AA22" s="852"/>
      <c r="AB22" s="394"/>
      <c r="AC22" s="852"/>
      <c r="AD22" s="852"/>
      <c r="AE22" s="64"/>
      <c r="AF22" s="64"/>
      <c r="AG22" s="65"/>
    </row>
    <row r="23" spans="1:33">
      <c r="P23" s="395"/>
      <c r="Q23" s="395"/>
      <c r="R23" s="395"/>
      <c r="S23" s="395"/>
      <c r="T23" s="395"/>
      <c r="U23" s="393"/>
      <c r="V23" s="852"/>
      <c r="W23" s="852"/>
      <c r="X23" s="852"/>
      <c r="Y23" s="852"/>
      <c r="Z23" s="852"/>
      <c r="AA23" s="852"/>
      <c r="AB23" s="394"/>
      <c r="AC23" s="852"/>
      <c r="AD23" s="852"/>
      <c r="AE23" s="64"/>
      <c r="AF23" s="64"/>
      <c r="AG23" s="65"/>
    </row>
    <row r="24" spans="1:33">
      <c r="U24" s="63"/>
      <c r="V24" s="64"/>
      <c r="W24" s="64"/>
      <c r="X24" s="64"/>
      <c r="Y24" s="64"/>
      <c r="Z24" s="64"/>
      <c r="AA24" s="64"/>
      <c r="AB24" s="55"/>
      <c r="AC24" s="64"/>
      <c r="AD24" s="64"/>
      <c r="AE24" s="64"/>
      <c r="AF24" s="64"/>
      <c r="AG24" s="65"/>
    </row>
    <row r="25" spans="1:33">
      <c r="U25" s="63"/>
      <c r="V25" s="64"/>
      <c r="W25" s="64"/>
      <c r="X25" s="64"/>
      <c r="Y25" s="64"/>
      <c r="Z25" s="64"/>
      <c r="AA25" s="64"/>
      <c r="AB25" s="55"/>
      <c r="AC25" s="64"/>
      <c r="AD25" s="64"/>
      <c r="AE25" s="64"/>
      <c r="AF25" s="64"/>
      <c r="AG25" s="65"/>
    </row>
    <row r="26" spans="1:33">
      <c r="U26" s="63"/>
      <c r="V26" s="64"/>
      <c r="W26" s="64"/>
      <c r="X26" s="64"/>
      <c r="Y26" s="64"/>
      <c r="Z26" s="64"/>
      <c r="AA26" s="64"/>
      <c r="AB26" s="55"/>
      <c r="AC26" s="64"/>
      <c r="AD26" s="64"/>
      <c r="AE26" s="64"/>
      <c r="AF26" s="64"/>
      <c r="AG26" s="65"/>
    </row>
    <row r="27" spans="1:33">
      <c r="U27" s="63"/>
      <c r="V27" s="64"/>
      <c r="W27" s="64"/>
      <c r="X27" s="64"/>
      <c r="Y27" s="64"/>
      <c r="Z27" s="64"/>
      <c r="AA27" s="64"/>
      <c r="AB27" s="55"/>
      <c r="AC27" s="64"/>
      <c r="AD27" s="64"/>
      <c r="AE27" s="64"/>
      <c r="AF27" s="64"/>
      <c r="AG27" s="65"/>
    </row>
    <row r="28" spans="1:33">
      <c r="U28" s="63"/>
      <c r="V28" s="64"/>
      <c r="W28" s="64"/>
      <c r="X28" s="64"/>
      <c r="Y28" s="64"/>
      <c r="Z28" s="64"/>
      <c r="AA28" s="64"/>
      <c r="AB28" s="55"/>
      <c r="AC28" s="64"/>
      <c r="AD28" s="64"/>
      <c r="AE28" s="64"/>
      <c r="AF28" s="64"/>
      <c r="AG28" s="65"/>
    </row>
    <row r="29" spans="1:33">
      <c r="U29" s="63"/>
      <c r="V29" s="64"/>
      <c r="W29" s="64"/>
      <c r="X29" s="64"/>
      <c r="Y29" s="64"/>
      <c r="Z29" s="64"/>
      <c r="AA29" s="64"/>
      <c r="AB29" s="55"/>
      <c r="AC29" s="64"/>
      <c r="AD29" s="64"/>
      <c r="AE29" s="64"/>
      <c r="AF29" s="64"/>
      <c r="AG29" s="65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K17:M17 F17:J17 B17:E17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workbookViewId="0">
      <selection activeCell="B1" sqref="B1"/>
    </sheetView>
  </sheetViews>
  <sheetFormatPr defaultRowHeight="14.25"/>
  <cols>
    <col min="1" max="1" width="11.42578125" style="23" customWidth="1"/>
    <col min="2" max="2" width="12.85546875" style="53" bestFit="1" customWidth="1"/>
    <col min="3" max="3" width="11.42578125" style="53" bestFit="1" customWidth="1"/>
    <col min="4" max="4" width="6.28515625" style="23" bestFit="1" customWidth="1"/>
    <col min="5" max="5" width="9.42578125" style="23" customWidth="1"/>
    <col min="6" max="6" width="12.85546875" style="23" bestFit="1" customWidth="1"/>
    <col min="7" max="7" width="11.42578125" style="23" bestFit="1" customWidth="1"/>
    <col min="8" max="8" width="7.140625" style="23" customWidth="1"/>
    <col min="9" max="9" width="9.5703125" style="23" customWidth="1"/>
    <col min="10" max="10" width="12.85546875" style="23" bestFit="1" customWidth="1"/>
    <col min="11" max="11" width="11.42578125" style="23" bestFit="1" customWidth="1"/>
    <col min="12" max="12" width="7.140625" style="23" customWidth="1"/>
    <col min="13" max="13" width="9.42578125" style="23" customWidth="1"/>
    <col min="14" max="14" width="12.85546875" style="23" bestFit="1" customWidth="1"/>
    <col min="15" max="15" width="11.42578125" style="23" bestFit="1" customWidth="1"/>
    <col min="16" max="16" width="9.140625" style="23" customWidth="1"/>
    <col min="17" max="16384" width="9.140625" style="23"/>
  </cols>
  <sheetData>
    <row r="1" spans="1:15" ht="15">
      <c r="A1" s="5" t="s">
        <v>0</v>
      </c>
    </row>
    <row r="2" spans="1:15" ht="15">
      <c r="A2" s="5" t="s">
        <v>1</v>
      </c>
    </row>
    <row r="3" spans="1:15" ht="15">
      <c r="A3" s="5"/>
    </row>
    <row r="4" spans="1:15" ht="15">
      <c r="A4" s="5" t="s">
        <v>443</v>
      </c>
    </row>
    <row r="5" spans="1:15" ht="15">
      <c r="A5" s="5"/>
    </row>
    <row r="6" spans="1:15">
      <c r="A6" s="23" t="s">
        <v>149</v>
      </c>
    </row>
    <row r="7" spans="1:15">
      <c r="A7" s="23" t="s">
        <v>150</v>
      </c>
    </row>
    <row r="8" spans="1:15" ht="15" thickBot="1">
      <c r="B8" s="23"/>
      <c r="C8" s="23"/>
    </row>
    <row r="9" spans="1:15" ht="15.75" thickBot="1">
      <c r="A9" s="989" t="str">
        <f>'10_SUB''s_+_demandadas_2023'!A7</f>
        <v>Penha</v>
      </c>
      <c r="B9" s="989"/>
      <c r="C9" s="989"/>
      <c r="E9" s="989" t="str">
        <f>'10_SUB''s_+_demandadas_2023'!A8</f>
        <v>Lapa</v>
      </c>
      <c r="F9" s="989"/>
      <c r="G9" s="989"/>
      <c r="I9" s="989" t="str">
        <f>'10_SUB''s_+_demandadas_2023'!A9</f>
        <v>Campo Limpo</v>
      </c>
      <c r="J9" s="989"/>
      <c r="K9" s="989"/>
      <c r="M9" s="989" t="str">
        <f>'10_SUB''s_+_demandadas_2023'!A10</f>
        <v>Mooca</v>
      </c>
      <c r="N9" s="989"/>
      <c r="O9" s="989"/>
    </row>
    <row r="10" spans="1:15" ht="15.75" thickBot="1">
      <c r="A10" s="18" t="s">
        <v>7</v>
      </c>
      <c r="B10" s="19" t="s">
        <v>151</v>
      </c>
      <c r="C10" s="18" t="s">
        <v>152</v>
      </c>
      <c r="E10" s="18" t="s">
        <v>7</v>
      </c>
      <c r="F10" s="19" t="s">
        <v>151</v>
      </c>
      <c r="G10" s="19" t="s">
        <v>152</v>
      </c>
      <c r="I10" s="18" t="s">
        <v>7</v>
      </c>
      <c r="J10" s="19" t="s">
        <v>151</v>
      </c>
      <c r="K10" s="19" t="s">
        <v>152</v>
      </c>
      <c r="M10" s="18" t="s">
        <v>7</v>
      </c>
      <c r="N10" s="19" t="s">
        <v>151</v>
      </c>
      <c r="O10" s="18" t="s">
        <v>152</v>
      </c>
    </row>
    <row r="11" spans="1:15" ht="15">
      <c r="A11" s="466">
        <v>44927</v>
      </c>
      <c r="B11" s="177">
        <f>'10_SUB''s_+_demandadas_2023'!M7</f>
        <v>71</v>
      </c>
      <c r="C11" s="181">
        <f>((B11-55)/55)*100</f>
        <v>29.09090909090909</v>
      </c>
      <c r="E11" s="466">
        <v>44927</v>
      </c>
      <c r="F11" s="75">
        <f>'10_SUB''s_+_demandadas_2023'!M8</f>
        <v>70</v>
      </c>
      <c r="G11" s="21">
        <f>((F11-49)/49)*100</f>
        <v>42.857142857142854</v>
      </c>
      <c r="I11" s="466">
        <v>44927</v>
      </c>
      <c r="J11" s="75">
        <f>'10_SUB''s_+_demandadas_2023'!M9</f>
        <v>62</v>
      </c>
      <c r="K11" s="21">
        <f>((J11-34)/34)*100</f>
        <v>82.35294117647058</v>
      </c>
      <c r="M11" s="466">
        <v>44927</v>
      </c>
      <c r="N11" s="177">
        <f>'10_SUB''s_+_demandadas_2023'!M10</f>
        <v>53</v>
      </c>
      <c r="O11" s="181">
        <f>((N11-34)/34)*100</f>
        <v>55.882352941176471</v>
      </c>
    </row>
    <row r="12" spans="1:15" ht="15">
      <c r="A12" s="467">
        <v>44958</v>
      </c>
      <c r="B12" s="178">
        <f>'10_SUB''s_+_demandadas_2023'!L7</f>
        <v>0</v>
      </c>
      <c r="C12" s="182">
        <f>((B12-51)/51)*100</f>
        <v>-100</v>
      </c>
      <c r="E12" s="467">
        <v>44958</v>
      </c>
      <c r="F12" s="76">
        <f>'10_SUB''s_+_demandadas_2023'!L8</f>
        <v>0</v>
      </c>
      <c r="G12" s="21">
        <f t="shared" ref="G12:G22" si="0">((F12-F11)/F11)*100</f>
        <v>-100</v>
      </c>
      <c r="I12" s="467">
        <v>44958</v>
      </c>
      <c r="J12" s="76">
        <f>'10_SUB''s_+_demandadas_2023'!L9</f>
        <v>0</v>
      </c>
      <c r="K12" s="21">
        <f t="shared" ref="K12:K22" si="1">((J12-J11)/J11)*100</f>
        <v>-100</v>
      </c>
      <c r="M12" s="467">
        <v>44958</v>
      </c>
      <c r="N12" s="178">
        <f>'10_SUB''s_+_demandadas_2023'!L10</f>
        <v>0</v>
      </c>
      <c r="O12" s="182">
        <f t="shared" ref="O12:O22" si="2">((N12-N11)/N11)*100</f>
        <v>-100</v>
      </c>
    </row>
    <row r="13" spans="1:15" ht="15">
      <c r="A13" s="467">
        <v>44986</v>
      </c>
      <c r="B13" s="178">
        <f>'10_SUB''s_+_demandadas_2023'!K7</f>
        <v>0</v>
      </c>
      <c r="C13" s="182" t="e">
        <f t="shared" ref="C13:C22" si="3">((B13-B12)/B12)*100</f>
        <v>#DIV/0!</v>
      </c>
      <c r="E13" s="467">
        <v>44986</v>
      </c>
      <c r="F13" s="76">
        <f>'10_SUB''s_+_demandadas_2023'!$K$8</f>
        <v>0</v>
      </c>
      <c r="G13" s="21" t="e">
        <f t="shared" si="0"/>
        <v>#DIV/0!</v>
      </c>
      <c r="I13" s="467">
        <v>44986</v>
      </c>
      <c r="J13" s="76">
        <f>'10_SUB''s_+_demandadas_2023'!$K$9</f>
        <v>0</v>
      </c>
      <c r="K13" s="21" t="e">
        <f t="shared" si="1"/>
        <v>#DIV/0!</v>
      </c>
      <c r="M13" s="467">
        <v>44986</v>
      </c>
      <c r="N13" s="178">
        <f>'10_SUB''s_+_demandadas_2023'!$K$10</f>
        <v>0</v>
      </c>
      <c r="O13" s="182" t="e">
        <f t="shared" si="2"/>
        <v>#DIV/0!</v>
      </c>
    </row>
    <row r="14" spans="1:15" ht="15">
      <c r="A14" s="467">
        <v>45017</v>
      </c>
      <c r="B14" s="178">
        <f>'10_SUB''s_+_demandadas_2023'!J7</f>
        <v>0</v>
      </c>
      <c r="C14" s="182" t="e">
        <f t="shared" si="3"/>
        <v>#DIV/0!</v>
      </c>
      <c r="E14" s="467">
        <v>45017</v>
      </c>
      <c r="F14" s="76">
        <f>'10_SUB''s_+_demandadas_2023'!$J$8</f>
        <v>0</v>
      </c>
      <c r="G14" s="21" t="e">
        <f t="shared" si="0"/>
        <v>#DIV/0!</v>
      </c>
      <c r="I14" s="467">
        <v>45017</v>
      </c>
      <c r="J14" s="76">
        <f>'10_SUB''s_+_demandadas_2023'!$J$9</f>
        <v>0</v>
      </c>
      <c r="K14" s="21" t="e">
        <f t="shared" si="1"/>
        <v>#DIV/0!</v>
      </c>
      <c r="M14" s="467">
        <v>45017</v>
      </c>
      <c r="N14" s="178">
        <f>'10_SUB''s_+_demandadas_2023'!$J$10</f>
        <v>0</v>
      </c>
      <c r="O14" s="182" t="e">
        <f t="shared" si="2"/>
        <v>#DIV/0!</v>
      </c>
    </row>
    <row r="15" spans="1:15" ht="15">
      <c r="A15" s="467">
        <v>45047</v>
      </c>
      <c r="B15" s="178">
        <f>'10_SUB''s_+_demandadas_2023'!I7</f>
        <v>0</v>
      </c>
      <c r="C15" s="182" t="e">
        <f t="shared" si="3"/>
        <v>#DIV/0!</v>
      </c>
      <c r="E15" s="467">
        <v>45047</v>
      </c>
      <c r="F15" s="76">
        <f>'10_SUB''s_+_demandadas_2023'!I8</f>
        <v>0</v>
      </c>
      <c r="G15" s="21" t="e">
        <f t="shared" si="0"/>
        <v>#DIV/0!</v>
      </c>
      <c r="I15" s="467">
        <v>45047</v>
      </c>
      <c r="J15" s="76">
        <f>'10_SUB''s_+_demandadas_2023'!I9</f>
        <v>0</v>
      </c>
      <c r="K15" s="21" t="e">
        <f t="shared" si="1"/>
        <v>#DIV/0!</v>
      </c>
      <c r="M15" s="467">
        <v>45047</v>
      </c>
      <c r="N15" s="178">
        <f>'10_SUB''s_+_demandadas_2023'!I10</f>
        <v>0</v>
      </c>
      <c r="O15" s="182" t="e">
        <f t="shared" si="2"/>
        <v>#DIV/0!</v>
      </c>
    </row>
    <row r="16" spans="1:15" ht="15">
      <c r="A16" s="467">
        <v>45078</v>
      </c>
      <c r="B16" s="178">
        <f>'10_SUB''s_+_demandadas_2023'!H7</f>
        <v>0</v>
      </c>
      <c r="C16" s="182" t="e">
        <f t="shared" si="3"/>
        <v>#DIV/0!</v>
      </c>
      <c r="E16" s="467">
        <v>45078</v>
      </c>
      <c r="F16" s="76">
        <f>'10_SUB''s_+_demandadas_2023'!H8</f>
        <v>0</v>
      </c>
      <c r="G16" s="21" t="e">
        <f t="shared" si="0"/>
        <v>#DIV/0!</v>
      </c>
      <c r="I16" s="467">
        <v>45078</v>
      </c>
      <c r="J16" s="76">
        <f>'10_SUB''s_+_demandadas_2023'!H9</f>
        <v>0</v>
      </c>
      <c r="K16" s="21" t="e">
        <f t="shared" si="1"/>
        <v>#DIV/0!</v>
      </c>
      <c r="M16" s="467">
        <v>45078</v>
      </c>
      <c r="N16" s="178">
        <f>'10_SUB''s_+_demandadas_2023'!H10</f>
        <v>0</v>
      </c>
      <c r="O16" s="182" t="e">
        <f t="shared" si="2"/>
        <v>#DIV/0!</v>
      </c>
    </row>
    <row r="17" spans="1:15" ht="15">
      <c r="A17" s="467">
        <v>45108</v>
      </c>
      <c r="B17" s="178">
        <f>'10_SUB''s_+_demandadas_2023'!G7</f>
        <v>0</v>
      </c>
      <c r="C17" s="182" t="e">
        <f t="shared" si="3"/>
        <v>#DIV/0!</v>
      </c>
      <c r="E17" s="467">
        <v>45108</v>
      </c>
      <c r="F17" s="76">
        <f>'10_SUB''s_+_demandadas_2023'!G8</f>
        <v>0</v>
      </c>
      <c r="G17" s="21" t="e">
        <f t="shared" si="0"/>
        <v>#DIV/0!</v>
      </c>
      <c r="I17" s="467">
        <v>45108</v>
      </c>
      <c r="J17" s="76">
        <f>'10_SUB''s_+_demandadas_2023'!G9</f>
        <v>0</v>
      </c>
      <c r="K17" s="21" t="e">
        <f t="shared" si="1"/>
        <v>#DIV/0!</v>
      </c>
      <c r="M17" s="467">
        <v>45108</v>
      </c>
      <c r="N17" s="178">
        <f>'10_SUB''s_+_demandadas_2023'!G10</f>
        <v>0</v>
      </c>
      <c r="O17" s="182" t="e">
        <f t="shared" si="2"/>
        <v>#DIV/0!</v>
      </c>
    </row>
    <row r="18" spans="1:15" ht="15">
      <c r="A18" s="467">
        <v>45139</v>
      </c>
      <c r="B18" s="178">
        <f>'10_SUB''s_+_demandadas_2023'!F7</f>
        <v>0</v>
      </c>
      <c r="C18" s="182" t="e">
        <f t="shared" si="3"/>
        <v>#DIV/0!</v>
      </c>
      <c r="E18" s="467">
        <v>45139</v>
      </c>
      <c r="F18" s="76">
        <f>'10_SUB''s_+_demandadas_2023'!F8</f>
        <v>0</v>
      </c>
      <c r="G18" s="21" t="e">
        <f t="shared" si="0"/>
        <v>#DIV/0!</v>
      </c>
      <c r="I18" s="467">
        <v>45139</v>
      </c>
      <c r="J18" s="76">
        <f>'10_SUB''s_+_demandadas_2023'!F9</f>
        <v>0</v>
      </c>
      <c r="K18" s="21" t="e">
        <f t="shared" si="1"/>
        <v>#DIV/0!</v>
      </c>
      <c r="M18" s="467">
        <v>45139</v>
      </c>
      <c r="N18" s="178">
        <f>'10_SUB''s_+_demandadas_2023'!F10</f>
        <v>0</v>
      </c>
      <c r="O18" s="182" t="e">
        <f t="shared" si="2"/>
        <v>#DIV/0!</v>
      </c>
    </row>
    <row r="19" spans="1:15" ht="15">
      <c r="A19" s="467">
        <v>45170</v>
      </c>
      <c r="B19" s="178">
        <f>'10_SUB''s_+_demandadas_2023'!E7</f>
        <v>0</v>
      </c>
      <c r="C19" s="182" t="e">
        <f t="shared" si="3"/>
        <v>#DIV/0!</v>
      </c>
      <c r="E19" s="467">
        <v>45170</v>
      </c>
      <c r="F19" s="76">
        <f>'10_SUB''s_+_demandadas_2023'!E8</f>
        <v>0</v>
      </c>
      <c r="G19" s="21" t="e">
        <f t="shared" si="0"/>
        <v>#DIV/0!</v>
      </c>
      <c r="I19" s="467">
        <v>45170</v>
      </c>
      <c r="J19" s="76">
        <f>'10_SUB''s_+_demandadas_2023'!E9</f>
        <v>0</v>
      </c>
      <c r="K19" s="21" t="e">
        <f t="shared" si="1"/>
        <v>#DIV/0!</v>
      </c>
      <c r="M19" s="467">
        <v>45170</v>
      </c>
      <c r="N19" s="178">
        <f>'10_SUB''s_+_demandadas_2023'!E10</f>
        <v>0</v>
      </c>
      <c r="O19" s="182" t="e">
        <f t="shared" si="2"/>
        <v>#DIV/0!</v>
      </c>
    </row>
    <row r="20" spans="1:15" ht="15">
      <c r="A20" s="467">
        <v>45200</v>
      </c>
      <c r="B20" s="178">
        <f>'10_SUB''s_+_demandadas_2023'!D7</f>
        <v>0</v>
      </c>
      <c r="C20" s="182" t="e">
        <f t="shared" si="3"/>
        <v>#DIV/0!</v>
      </c>
      <c r="E20" s="467">
        <v>45200</v>
      </c>
      <c r="F20" s="76">
        <f>'10_SUB''s_+_demandadas_2023'!$D$8</f>
        <v>0</v>
      </c>
      <c r="G20" s="21" t="e">
        <f t="shared" si="0"/>
        <v>#DIV/0!</v>
      </c>
      <c r="I20" s="467">
        <v>45200</v>
      </c>
      <c r="J20" s="76">
        <f>'10_SUB''s_+_demandadas_2023'!$D$9</f>
        <v>0</v>
      </c>
      <c r="K20" s="21" t="e">
        <f t="shared" si="1"/>
        <v>#DIV/0!</v>
      </c>
      <c r="M20" s="467">
        <v>45200</v>
      </c>
      <c r="N20" s="178">
        <f>'10_SUB''s_+_demandadas_2023'!$D$10</f>
        <v>0</v>
      </c>
      <c r="O20" s="182" t="e">
        <f t="shared" si="2"/>
        <v>#DIV/0!</v>
      </c>
    </row>
    <row r="21" spans="1:15" ht="15">
      <c r="A21" s="467">
        <v>45231</v>
      </c>
      <c r="B21" s="179">
        <f>'10_SUB''s_+_demandadas_2023'!C7</f>
        <v>0</v>
      </c>
      <c r="C21" s="182" t="e">
        <f t="shared" si="3"/>
        <v>#DIV/0!</v>
      </c>
      <c r="E21" s="467">
        <v>45231</v>
      </c>
      <c r="F21" s="76">
        <f>'10_SUB''s_+_demandadas_2023'!C8</f>
        <v>0</v>
      </c>
      <c r="G21" s="21" t="e">
        <f t="shared" si="0"/>
        <v>#DIV/0!</v>
      </c>
      <c r="I21" s="467">
        <v>45231</v>
      </c>
      <c r="J21" s="76">
        <f>'10_SUB''s_+_demandadas_2023'!C9</f>
        <v>0</v>
      </c>
      <c r="K21" s="21" t="e">
        <f t="shared" si="1"/>
        <v>#DIV/0!</v>
      </c>
      <c r="M21" s="467">
        <v>45231</v>
      </c>
      <c r="N21" s="178">
        <f>'10_SUB''s_+_demandadas_2023'!C10</f>
        <v>0</v>
      </c>
      <c r="O21" s="182" t="e">
        <f t="shared" si="2"/>
        <v>#DIV/0!</v>
      </c>
    </row>
    <row r="22" spans="1:15" ht="15.75" thickBot="1">
      <c r="A22" s="468">
        <v>45261</v>
      </c>
      <c r="B22" s="180">
        <f>'10_SUB''s_+_demandadas_2023'!B7</f>
        <v>0</v>
      </c>
      <c r="C22" s="183" t="e">
        <f t="shared" si="3"/>
        <v>#DIV/0!</v>
      </c>
      <c r="E22" s="468">
        <v>45261</v>
      </c>
      <c r="F22" s="78">
        <f>'10_SUB''s_+_demandadas_2023'!$B$8</f>
        <v>0</v>
      </c>
      <c r="G22" s="27" t="e">
        <f t="shared" si="0"/>
        <v>#DIV/0!</v>
      </c>
      <c r="I22" s="468">
        <v>45261</v>
      </c>
      <c r="J22" s="78">
        <f>'10_SUB''s_+_demandadas_2023'!$B$9</f>
        <v>0</v>
      </c>
      <c r="K22" s="27" t="e">
        <f t="shared" si="1"/>
        <v>#DIV/0!</v>
      </c>
      <c r="M22" s="468">
        <v>45261</v>
      </c>
      <c r="N22" s="180">
        <f>'10_SUB''s_+_demandadas_2023'!$B$10</f>
        <v>0</v>
      </c>
      <c r="O22" s="183" t="e">
        <f t="shared" si="2"/>
        <v>#DIV/0!</v>
      </c>
    </row>
    <row r="23" spans="1:15">
      <c r="B23" s="23"/>
      <c r="C23" s="23"/>
    </row>
    <row r="24" spans="1:15" ht="15" thickBot="1">
      <c r="B24" s="23"/>
      <c r="C24" s="23"/>
    </row>
    <row r="25" spans="1:15" ht="15.75" thickBot="1">
      <c r="A25" s="989" t="str">
        <f>'10_SUB''s_+_demandadas_2023'!A11</f>
        <v>Butantã</v>
      </c>
      <c r="B25" s="989"/>
      <c r="C25" s="989"/>
      <c r="E25" s="989" t="str">
        <f>'10_SUB''s_+_demandadas_2023'!A12</f>
        <v>Itaquera</v>
      </c>
      <c r="F25" s="989"/>
      <c r="G25" s="989"/>
      <c r="I25" s="989" t="str">
        <f>'10_SUB''s_+_demandadas_2023'!A13</f>
        <v>Vila Mariana</v>
      </c>
      <c r="J25" s="989"/>
      <c r="K25" s="989"/>
      <c r="M25" s="989" t="str">
        <f>'10_SUB''s_+_demandadas_2023'!A14</f>
        <v>Pinheiros</v>
      </c>
      <c r="N25" s="989"/>
      <c r="O25" s="989"/>
    </row>
    <row r="26" spans="1:15" ht="15.75" thickBot="1">
      <c r="A26" s="18" t="s">
        <v>7</v>
      </c>
      <c r="B26" s="18" t="s">
        <v>151</v>
      </c>
      <c r="C26" s="18" t="s">
        <v>152</v>
      </c>
      <c r="E26" s="18" t="s">
        <v>7</v>
      </c>
      <c r="F26" s="19" t="s">
        <v>151</v>
      </c>
      <c r="G26" s="19" t="s">
        <v>152</v>
      </c>
      <c r="I26" s="19" t="s">
        <v>7</v>
      </c>
      <c r="J26" s="19" t="s">
        <v>151</v>
      </c>
      <c r="K26" s="19" t="s">
        <v>152</v>
      </c>
      <c r="M26" s="19" t="s">
        <v>7</v>
      </c>
      <c r="N26" s="120" t="s">
        <v>151</v>
      </c>
      <c r="O26" s="18" t="s">
        <v>152</v>
      </c>
    </row>
    <row r="27" spans="1:15" ht="15">
      <c r="A27" s="466">
        <v>44927</v>
      </c>
      <c r="B27" s="75">
        <f>'10_SUB''s_+_demandadas_2023'!M11</f>
        <v>52</v>
      </c>
      <c r="C27" s="21">
        <f>((B27-31)/31)*100</f>
        <v>67.741935483870961</v>
      </c>
      <c r="E27" s="466">
        <v>44927</v>
      </c>
      <c r="F27" s="75">
        <f>'10_SUB''s_+_demandadas_2023'!M12</f>
        <v>49</v>
      </c>
      <c r="G27" s="21">
        <f>((F27-35)/35)*100</f>
        <v>40</v>
      </c>
      <c r="I27" s="466">
        <v>44927</v>
      </c>
      <c r="J27" s="75">
        <f>'10_SUB''s_+_demandadas_2023'!M13</f>
        <v>48</v>
      </c>
      <c r="K27" s="21">
        <f>((J27-51)/51)*100</f>
        <v>-5.8823529411764701</v>
      </c>
      <c r="M27" s="466">
        <v>44927</v>
      </c>
      <c r="N27" s="75">
        <f>'10_SUB''s_+_demandadas_2023'!M14</f>
        <v>47</v>
      </c>
      <c r="O27" s="21">
        <f>((N27-39)/39)*100</f>
        <v>20.512820512820511</v>
      </c>
    </row>
    <row r="28" spans="1:15" ht="15">
      <c r="A28" s="467">
        <v>44958</v>
      </c>
      <c r="B28" s="76">
        <f>'10_SUB''s_+_demandadas_2023'!L11</f>
        <v>0</v>
      </c>
      <c r="C28" s="21">
        <f t="shared" ref="C28:C38" si="4">((B28-B27)/B27)*100</f>
        <v>-100</v>
      </c>
      <c r="E28" s="467">
        <v>44958</v>
      </c>
      <c r="F28" s="76">
        <f>'10_SUB''s_+_demandadas_2023'!L12</f>
        <v>0</v>
      </c>
      <c r="G28" s="21">
        <f t="shared" ref="G28:G38" si="5">((F28-F27)/F27)*100</f>
        <v>-100</v>
      </c>
      <c r="I28" s="467">
        <v>44958</v>
      </c>
      <c r="J28" s="76">
        <f>'10_SUB''s_+_demandadas_2023'!L13</f>
        <v>0</v>
      </c>
      <c r="K28" s="21">
        <f t="shared" ref="K28:K38" si="6">((J28-J27)/J27)*100</f>
        <v>-100</v>
      </c>
      <c r="M28" s="467">
        <v>44958</v>
      </c>
      <c r="N28" s="76">
        <f>'10_SUB''s_+_demandadas_2023'!L14</f>
        <v>0</v>
      </c>
      <c r="O28" s="21">
        <f t="shared" ref="O28:O38" si="7">((N28-N27)/N27)*100</f>
        <v>-100</v>
      </c>
    </row>
    <row r="29" spans="1:15" ht="15">
      <c r="A29" s="467">
        <v>44986</v>
      </c>
      <c r="B29" s="76">
        <f>'10_SUB''s_+_demandadas_2023'!$K$11</f>
        <v>0</v>
      </c>
      <c r="C29" s="21" t="e">
        <f t="shared" si="4"/>
        <v>#DIV/0!</v>
      </c>
      <c r="E29" s="467">
        <v>44986</v>
      </c>
      <c r="F29" s="76">
        <f>'10_SUB''s_+_demandadas_2023'!$K$12</f>
        <v>0</v>
      </c>
      <c r="G29" s="21" t="e">
        <f t="shared" si="5"/>
        <v>#DIV/0!</v>
      </c>
      <c r="I29" s="467">
        <v>44986</v>
      </c>
      <c r="J29" s="76">
        <f>'10_SUB''s_+_demandadas_2023'!$K$13</f>
        <v>0</v>
      </c>
      <c r="K29" s="21" t="e">
        <f t="shared" si="6"/>
        <v>#DIV/0!</v>
      </c>
      <c r="M29" s="467">
        <v>44986</v>
      </c>
      <c r="N29" s="76">
        <f>'10_SUB''s_+_demandadas_2023'!$K$14</f>
        <v>0</v>
      </c>
      <c r="O29" s="21" t="e">
        <f t="shared" si="7"/>
        <v>#DIV/0!</v>
      </c>
    </row>
    <row r="30" spans="1:15" ht="15">
      <c r="A30" s="467">
        <v>45017</v>
      </c>
      <c r="B30" s="76">
        <f>'10_SUB''s_+_demandadas_2023'!$J$11</f>
        <v>0</v>
      </c>
      <c r="C30" s="21" t="e">
        <f t="shared" si="4"/>
        <v>#DIV/0!</v>
      </c>
      <c r="E30" s="467">
        <v>45017</v>
      </c>
      <c r="F30" s="76">
        <f>'10_SUB''s_+_demandadas_2023'!$J$12</f>
        <v>0</v>
      </c>
      <c r="G30" s="21" t="e">
        <f t="shared" si="5"/>
        <v>#DIV/0!</v>
      </c>
      <c r="I30" s="467">
        <v>45017</v>
      </c>
      <c r="J30" s="76">
        <f>'10_SUB''s_+_demandadas_2023'!$J$13</f>
        <v>0</v>
      </c>
      <c r="K30" s="21" t="e">
        <f t="shared" si="6"/>
        <v>#DIV/0!</v>
      </c>
      <c r="M30" s="467">
        <v>45017</v>
      </c>
      <c r="N30" s="76">
        <f>'10_SUB''s_+_demandadas_2023'!$J$14</f>
        <v>0</v>
      </c>
      <c r="O30" s="21" t="e">
        <f t="shared" si="7"/>
        <v>#DIV/0!</v>
      </c>
    </row>
    <row r="31" spans="1:15" ht="15">
      <c r="A31" s="467">
        <v>45047</v>
      </c>
      <c r="B31" s="76">
        <f>'10_SUB''s_+_demandadas_2023'!I11</f>
        <v>0</v>
      </c>
      <c r="C31" s="21" t="e">
        <f t="shared" si="4"/>
        <v>#DIV/0!</v>
      </c>
      <c r="E31" s="467">
        <v>45047</v>
      </c>
      <c r="F31" s="76">
        <f>'10_SUB''s_+_demandadas_2023'!I12</f>
        <v>0</v>
      </c>
      <c r="G31" s="21" t="e">
        <f t="shared" si="5"/>
        <v>#DIV/0!</v>
      </c>
      <c r="I31" s="467">
        <v>45047</v>
      </c>
      <c r="J31" s="76">
        <f>'10_SUB''s_+_demandadas_2023'!I13</f>
        <v>0</v>
      </c>
      <c r="K31" s="21" t="e">
        <f t="shared" si="6"/>
        <v>#DIV/0!</v>
      </c>
      <c r="M31" s="467">
        <v>45047</v>
      </c>
      <c r="N31" s="76">
        <f>'10_SUB''s_+_demandadas_2023'!I14</f>
        <v>0</v>
      </c>
      <c r="O31" s="21" t="e">
        <f t="shared" si="7"/>
        <v>#DIV/0!</v>
      </c>
    </row>
    <row r="32" spans="1:15" ht="15">
      <c r="A32" s="467">
        <v>45078</v>
      </c>
      <c r="B32" s="76">
        <f>'10_SUB''s_+_demandadas_2023'!H11</f>
        <v>0</v>
      </c>
      <c r="C32" s="21" t="e">
        <f t="shared" si="4"/>
        <v>#DIV/0!</v>
      </c>
      <c r="E32" s="467">
        <v>45078</v>
      </c>
      <c r="F32" s="76">
        <f>'10_SUB''s_+_demandadas_2023'!H12</f>
        <v>0</v>
      </c>
      <c r="G32" s="21" t="e">
        <f t="shared" si="5"/>
        <v>#DIV/0!</v>
      </c>
      <c r="I32" s="467">
        <v>45078</v>
      </c>
      <c r="J32" s="76">
        <f>'10_SUB''s_+_demandadas_2023'!H13</f>
        <v>0</v>
      </c>
      <c r="K32" s="21" t="e">
        <f t="shared" si="6"/>
        <v>#DIV/0!</v>
      </c>
      <c r="M32" s="467">
        <v>45078</v>
      </c>
      <c r="N32" s="76">
        <f>'10_SUB''s_+_demandadas_2023'!H14</f>
        <v>0</v>
      </c>
      <c r="O32" s="21" t="e">
        <f t="shared" si="7"/>
        <v>#DIV/0!</v>
      </c>
    </row>
    <row r="33" spans="1:15" ht="15">
      <c r="A33" s="467">
        <v>45108</v>
      </c>
      <c r="B33" s="76">
        <f>'10_SUB''s_+_demandadas_2023'!G11</f>
        <v>0</v>
      </c>
      <c r="C33" s="21" t="e">
        <f t="shared" si="4"/>
        <v>#DIV/0!</v>
      </c>
      <c r="E33" s="467">
        <v>45108</v>
      </c>
      <c r="F33" s="76">
        <f>'10_SUB''s_+_demandadas_2023'!G12</f>
        <v>0</v>
      </c>
      <c r="G33" s="21" t="e">
        <f t="shared" si="5"/>
        <v>#DIV/0!</v>
      </c>
      <c r="I33" s="467">
        <v>45108</v>
      </c>
      <c r="J33" s="76">
        <f>'10_SUB''s_+_demandadas_2023'!G13</f>
        <v>0</v>
      </c>
      <c r="K33" s="21" t="e">
        <f t="shared" si="6"/>
        <v>#DIV/0!</v>
      </c>
      <c r="M33" s="467">
        <v>45108</v>
      </c>
      <c r="N33" s="76">
        <f>'10_SUB''s_+_demandadas_2023'!G14</f>
        <v>0</v>
      </c>
      <c r="O33" s="21" t="e">
        <f t="shared" si="7"/>
        <v>#DIV/0!</v>
      </c>
    </row>
    <row r="34" spans="1:15" ht="15">
      <c r="A34" s="467">
        <v>45139</v>
      </c>
      <c r="B34" s="76">
        <f>'10_SUB''s_+_demandadas_2023'!F11</f>
        <v>0</v>
      </c>
      <c r="C34" s="21" t="e">
        <f t="shared" si="4"/>
        <v>#DIV/0!</v>
      </c>
      <c r="E34" s="467">
        <v>45139</v>
      </c>
      <c r="F34" s="76">
        <f>'10_SUB''s_+_demandadas_2023'!F12</f>
        <v>0</v>
      </c>
      <c r="G34" s="21" t="e">
        <f t="shared" si="5"/>
        <v>#DIV/0!</v>
      </c>
      <c r="I34" s="467">
        <v>45139</v>
      </c>
      <c r="J34" s="76">
        <f>'10_SUB''s_+_demandadas_2023'!F13</f>
        <v>0</v>
      </c>
      <c r="K34" s="21" t="e">
        <f t="shared" si="6"/>
        <v>#DIV/0!</v>
      </c>
      <c r="M34" s="467">
        <v>45139</v>
      </c>
      <c r="N34" s="76">
        <f>'10_SUB''s_+_demandadas_2023'!F14</f>
        <v>0</v>
      </c>
      <c r="O34" s="21" t="e">
        <f t="shared" si="7"/>
        <v>#DIV/0!</v>
      </c>
    </row>
    <row r="35" spans="1:15" ht="15">
      <c r="A35" s="467">
        <v>45170</v>
      </c>
      <c r="B35" s="76">
        <f>'10_SUB''s_+_demandadas_2023'!E11</f>
        <v>0</v>
      </c>
      <c r="C35" s="21" t="e">
        <f t="shared" si="4"/>
        <v>#DIV/0!</v>
      </c>
      <c r="E35" s="467">
        <v>45170</v>
      </c>
      <c r="F35" s="76">
        <f>'10_SUB''s_+_demandadas_2023'!E12</f>
        <v>0</v>
      </c>
      <c r="G35" s="21" t="e">
        <f t="shared" si="5"/>
        <v>#DIV/0!</v>
      </c>
      <c r="I35" s="467">
        <v>45170</v>
      </c>
      <c r="J35" s="76">
        <f>'10_SUB''s_+_demandadas_2023'!E13</f>
        <v>0</v>
      </c>
      <c r="K35" s="21" t="e">
        <f t="shared" si="6"/>
        <v>#DIV/0!</v>
      </c>
      <c r="M35" s="467">
        <v>45170</v>
      </c>
      <c r="N35" s="76">
        <f>'10_SUB''s_+_demandadas_2023'!E14</f>
        <v>0</v>
      </c>
      <c r="O35" s="21" t="e">
        <f t="shared" si="7"/>
        <v>#DIV/0!</v>
      </c>
    </row>
    <row r="36" spans="1:15" ht="15">
      <c r="A36" s="467">
        <v>45200</v>
      </c>
      <c r="B36" s="76">
        <f>'10_SUB''s_+_demandadas_2023'!$D$11</f>
        <v>0</v>
      </c>
      <c r="C36" s="21" t="e">
        <f t="shared" si="4"/>
        <v>#DIV/0!</v>
      </c>
      <c r="E36" s="467">
        <v>45200</v>
      </c>
      <c r="F36" s="76">
        <f>'10_SUB''s_+_demandadas_2023'!$D$12</f>
        <v>0</v>
      </c>
      <c r="G36" s="21" t="e">
        <f t="shared" si="5"/>
        <v>#DIV/0!</v>
      </c>
      <c r="I36" s="467">
        <v>45200</v>
      </c>
      <c r="J36" s="76">
        <f>'10_SUB''s_+_demandadas_2023'!$D$13</f>
        <v>0</v>
      </c>
      <c r="K36" s="21" t="e">
        <f t="shared" si="6"/>
        <v>#DIV/0!</v>
      </c>
      <c r="M36" s="467">
        <v>45200</v>
      </c>
      <c r="N36" s="76">
        <f>'10_SUB''s_+_demandadas_2023'!$D$14</f>
        <v>0</v>
      </c>
      <c r="O36" s="21" t="e">
        <f t="shared" si="7"/>
        <v>#DIV/0!</v>
      </c>
    </row>
    <row r="37" spans="1:15" ht="15">
      <c r="A37" s="467">
        <v>45231</v>
      </c>
      <c r="B37" s="76">
        <f>'10_SUB''s_+_demandadas_2023'!C11</f>
        <v>0</v>
      </c>
      <c r="C37" s="21" t="e">
        <f t="shared" si="4"/>
        <v>#DIV/0!</v>
      </c>
      <c r="E37" s="467">
        <v>45231</v>
      </c>
      <c r="F37" s="77">
        <f>'10_SUB''s_+_demandadas_2023'!C12</f>
        <v>0</v>
      </c>
      <c r="G37" s="21" t="e">
        <f t="shared" si="5"/>
        <v>#DIV/0!</v>
      </c>
      <c r="I37" s="467">
        <v>45231</v>
      </c>
      <c r="J37" s="77">
        <f>'10_SUB''s_+_demandadas_2023'!C13</f>
        <v>0</v>
      </c>
      <c r="K37" s="21" t="e">
        <f t="shared" si="6"/>
        <v>#DIV/0!</v>
      </c>
      <c r="M37" s="467">
        <v>45231</v>
      </c>
      <c r="N37" s="76">
        <f>'10_SUB''s_+_demandadas_2023'!C14</f>
        <v>0</v>
      </c>
      <c r="O37" s="21" t="e">
        <f t="shared" si="7"/>
        <v>#DIV/0!</v>
      </c>
    </row>
    <row r="38" spans="1:15" ht="15.75" thickBot="1">
      <c r="A38" s="468">
        <v>45261</v>
      </c>
      <c r="B38" s="78">
        <f>'10_SUB''s_+_demandadas_2023'!$B$11</f>
        <v>0</v>
      </c>
      <c r="C38" s="27" t="e">
        <f t="shared" si="4"/>
        <v>#DIV/0!</v>
      </c>
      <c r="E38" s="468">
        <v>45261</v>
      </c>
      <c r="F38" s="78">
        <f>'10_SUB''s_+_demandadas_2023'!$B$12</f>
        <v>0</v>
      </c>
      <c r="G38" s="21" t="e">
        <f t="shared" si="5"/>
        <v>#DIV/0!</v>
      </c>
      <c r="I38" s="468">
        <v>45261</v>
      </c>
      <c r="J38" s="78">
        <f>'10_SUB''s_+_demandadas_2023'!$B$13</f>
        <v>0</v>
      </c>
      <c r="K38" s="27" t="e">
        <f t="shared" si="6"/>
        <v>#DIV/0!</v>
      </c>
      <c r="M38" s="468">
        <v>45261</v>
      </c>
      <c r="N38" s="78">
        <f>'10_SUB''s_+_demandadas_2023'!$B$14</f>
        <v>0</v>
      </c>
      <c r="O38" s="27" t="e">
        <f t="shared" si="7"/>
        <v>#DIV/0!</v>
      </c>
    </row>
    <row r="40" spans="1:15" ht="15" thickBot="1"/>
    <row r="41" spans="1:15" ht="15.75" thickBot="1">
      <c r="A41" s="989" t="str">
        <f>'10_SUB''s_+_demandadas_2023'!A15</f>
        <v>Sé</v>
      </c>
      <c r="B41" s="989"/>
      <c r="C41" s="989"/>
      <c r="E41" s="989" t="str">
        <f>'10_SUB''s_+_demandadas_2023'!A16</f>
        <v>Santo Amaro</v>
      </c>
      <c r="F41" s="989"/>
      <c r="G41" s="989"/>
    </row>
    <row r="42" spans="1:15" ht="15.75" thickBot="1">
      <c r="A42" s="18" t="s">
        <v>7</v>
      </c>
      <c r="B42" s="19" t="s">
        <v>151</v>
      </c>
      <c r="C42" s="19" t="s">
        <v>152</v>
      </c>
      <c r="E42" s="18" t="s">
        <v>7</v>
      </c>
      <c r="F42" s="19" t="s">
        <v>151</v>
      </c>
      <c r="G42" s="19" t="s">
        <v>152</v>
      </c>
    </row>
    <row r="43" spans="1:15" ht="15">
      <c r="A43" s="466">
        <v>44927</v>
      </c>
      <c r="B43" s="75">
        <f>'10_SUB''s_+_demandadas_2023'!M15</f>
        <v>46</v>
      </c>
      <c r="C43" s="21">
        <f>((B43-51)/51)*100</f>
        <v>-9.8039215686274517</v>
      </c>
      <c r="E43" s="466">
        <v>44927</v>
      </c>
      <c r="F43" s="99">
        <f>'10_SUB''s_+_demandadas_2023'!M16</f>
        <v>44</v>
      </c>
      <c r="G43" s="21">
        <f>((F43-31)/31)*100</f>
        <v>41.935483870967744</v>
      </c>
    </row>
    <row r="44" spans="1:15" ht="15">
      <c r="A44" s="467">
        <v>44958</v>
      </c>
      <c r="B44" s="76">
        <f>'10_SUB''s_+_demandadas_2023'!L15</f>
        <v>0</v>
      </c>
      <c r="C44" s="21">
        <f t="shared" ref="C44:C54" si="8">((B44-B43)/B43)*100</f>
        <v>-100</v>
      </c>
      <c r="E44" s="467">
        <v>44958</v>
      </c>
      <c r="F44" s="121">
        <f>'10_SUB''s_+_demandadas_2023'!L16</f>
        <v>0</v>
      </c>
      <c r="G44" s="21">
        <f t="shared" ref="G44:G54" si="9">((F44-F43)/F43)*100</f>
        <v>-100</v>
      </c>
    </row>
    <row r="45" spans="1:15" ht="15">
      <c r="A45" s="467">
        <v>44986</v>
      </c>
      <c r="B45" s="76">
        <f>'10_SUB''s_+_demandadas_2023'!$K$15</f>
        <v>0</v>
      </c>
      <c r="C45" s="21" t="e">
        <f t="shared" si="8"/>
        <v>#DIV/0!</v>
      </c>
      <c r="E45" s="467">
        <v>44986</v>
      </c>
      <c r="F45" s="56">
        <f>'10_SUB''s_+_demandadas_2023'!$K$16</f>
        <v>0</v>
      </c>
      <c r="G45" s="21" t="e">
        <f t="shared" si="9"/>
        <v>#DIV/0!</v>
      </c>
    </row>
    <row r="46" spans="1:15" ht="15">
      <c r="A46" s="467">
        <v>45017</v>
      </c>
      <c r="B46" s="76">
        <f>'10_SUB''s_+_demandadas_2023'!$J$15</f>
        <v>0</v>
      </c>
      <c r="C46" s="21" t="e">
        <f t="shared" si="8"/>
        <v>#DIV/0!</v>
      </c>
      <c r="E46" s="467">
        <v>45017</v>
      </c>
      <c r="F46" s="56">
        <f>'10_SUB''s_+_demandadas_2023'!$J$16</f>
        <v>0</v>
      </c>
      <c r="G46" s="21" t="e">
        <f t="shared" si="9"/>
        <v>#DIV/0!</v>
      </c>
    </row>
    <row r="47" spans="1:15" ht="15">
      <c r="A47" s="467">
        <v>45047</v>
      </c>
      <c r="B47" s="76">
        <f>'10_SUB''s_+_demandadas_2023'!I15</f>
        <v>0</v>
      </c>
      <c r="C47" s="21" t="e">
        <f t="shared" si="8"/>
        <v>#DIV/0!</v>
      </c>
      <c r="E47" s="467">
        <v>45047</v>
      </c>
      <c r="F47" s="56">
        <f>'10_SUB''s_+_demandadas_2023'!I16</f>
        <v>0</v>
      </c>
      <c r="G47" s="21" t="e">
        <f t="shared" si="9"/>
        <v>#DIV/0!</v>
      </c>
    </row>
    <row r="48" spans="1:15" ht="15">
      <c r="A48" s="467">
        <v>45078</v>
      </c>
      <c r="B48" s="76">
        <f>'10_SUB''s_+_demandadas_2023'!H15</f>
        <v>0</v>
      </c>
      <c r="C48" s="21" t="e">
        <f t="shared" si="8"/>
        <v>#DIV/0!</v>
      </c>
      <c r="E48" s="467">
        <v>45078</v>
      </c>
      <c r="F48" s="56">
        <f>'10_SUB''s_+_demandadas_2023'!H16</f>
        <v>0</v>
      </c>
      <c r="G48" s="21" t="e">
        <f t="shared" si="9"/>
        <v>#DIV/0!</v>
      </c>
    </row>
    <row r="49" spans="1:11" ht="15">
      <c r="A49" s="467">
        <v>45108</v>
      </c>
      <c r="B49" s="76">
        <f>'10_SUB''s_+_demandadas_2023'!G15</f>
        <v>0</v>
      </c>
      <c r="C49" s="21" t="e">
        <f t="shared" si="8"/>
        <v>#DIV/0!</v>
      </c>
      <c r="E49" s="467">
        <v>45108</v>
      </c>
      <c r="F49" s="99">
        <f>'10_SUB''s_+_demandadas_2023'!G16</f>
        <v>0</v>
      </c>
      <c r="G49" s="21" t="e">
        <f t="shared" si="9"/>
        <v>#DIV/0!</v>
      </c>
    </row>
    <row r="50" spans="1:11" ht="15">
      <c r="A50" s="467">
        <v>45139</v>
      </c>
      <c r="B50" s="76">
        <f>'10_SUB''s_+_demandadas_2023'!F15</f>
        <v>0</v>
      </c>
      <c r="C50" s="21" t="e">
        <f t="shared" si="8"/>
        <v>#DIV/0!</v>
      </c>
      <c r="E50" s="467">
        <v>45139</v>
      </c>
      <c r="F50" s="76">
        <f>'10_SUB''s_+_demandadas_2023'!F16</f>
        <v>0</v>
      </c>
      <c r="G50" s="21" t="e">
        <f t="shared" si="9"/>
        <v>#DIV/0!</v>
      </c>
    </row>
    <row r="51" spans="1:11" ht="15">
      <c r="A51" s="467">
        <v>45170</v>
      </c>
      <c r="B51" s="76">
        <f>'10_SUB''s_+_demandadas_2023'!E15</f>
        <v>0</v>
      </c>
      <c r="C51" s="21" t="e">
        <f t="shared" si="8"/>
        <v>#DIV/0!</v>
      </c>
      <c r="E51" s="467">
        <v>45170</v>
      </c>
      <c r="F51" s="76">
        <f>'10_SUB''s_+_demandadas_2023'!E16</f>
        <v>0</v>
      </c>
      <c r="G51" s="21" t="e">
        <f t="shared" si="9"/>
        <v>#DIV/0!</v>
      </c>
    </row>
    <row r="52" spans="1:11" ht="15">
      <c r="A52" s="467">
        <v>45200</v>
      </c>
      <c r="B52" s="76">
        <f>'10_SUB''s_+_demandadas_2023'!$D$15</f>
        <v>0</v>
      </c>
      <c r="C52" s="21" t="e">
        <f t="shared" si="8"/>
        <v>#DIV/0!</v>
      </c>
      <c r="E52" s="467">
        <v>45200</v>
      </c>
      <c r="F52" s="76">
        <f>'10_SUB''s_+_demandadas_2023'!$D$16</f>
        <v>0</v>
      </c>
      <c r="G52" s="21" t="e">
        <f t="shared" si="9"/>
        <v>#DIV/0!</v>
      </c>
    </row>
    <row r="53" spans="1:11" ht="15">
      <c r="A53" s="467">
        <v>45231</v>
      </c>
      <c r="B53" s="77">
        <f>'10_SUB''s_+_demandadas_2023'!C15</f>
        <v>0</v>
      </c>
      <c r="C53" s="21" t="e">
        <f t="shared" si="8"/>
        <v>#DIV/0!</v>
      </c>
      <c r="E53" s="467">
        <v>45231</v>
      </c>
      <c r="F53" s="77">
        <f>'10_SUB''s_+_demandadas_2023'!C16</f>
        <v>0</v>
      </c>
      <c r="G53" s="21" t="e">
        <f t="shared" si="9"/>
        <v>#DIV/0!</v>
      </c>
    </row>
    <row r="54" spans="1:11" ht="15.75" thickBot="1">
      <c r="A54" s="468">
        <v>45261</v>
      </c>
      <c r="B54" s="78">
        <f>'10_SUB''s_+_demandadas_2023'!$B$15</f>
        <v>0</v>
      </c>
      <c r="C54" s="27" t="e">
        <f t="shared" si="8"/>
        <v>#DIV/0!</v>
      </c>
      <c r="E54" s="468">
        <v>45261</v>
      </c>
      <c r="F54" s="78">
        <f>'10_SUB''s_+_demandadas_2023'!$B$16</f>
        <v>0</v>
      </c>
      <c r="G54" s="27" t="e">
        <f t="shared" si="9"/>
        <v>#DIV/0!</v>
      </c>
    </row>
    <row r="56" spans="1:11">
      <c r="B56" s="23"/>
      <c r="C56" s="23"/>
    </row>
    <row r="57" spans="1:11" ht="15">
      <c r="A57" s="990"/>
      <c r="B57" s="990"/>
      <c r="C57" s="990"/>
      <c r="D57" s="990"/>
      <c r="F57" s="990"/>
      <c r="G57" s="990"/>
      <c r="H57" s="990"/>
      <c r="I57" s="990"/>
      <c r="J57" s="990"/>
      <c r="K57" s="28"/>
    </row>
    <row r="58" spans="1:11">
      <c r="A58" s="106"/>
      <c r="B58" s="23"/>
      <c r="C58" s="23"/>
    </row>
    <row r="59" spans="1:11" ht="15">
      <c r="B59" s="23"/>
      <c r="C59" s="23"/>
      <c r="F59" s="988"/>
      <c r="G59" s="988"/>
      <c r="H59" s="988"/>
      <c r="I59" s="988"/>
      <c r="J59" s="988"/>
      <c r="K59" s="988"/>
    </row>
    <row r="60" spans="1:11">
      <c r="B60" s="23"/>
      <c r="C60" s="23"/>
    </row>
    <row r="61" spans="1:11" ht="15">
      <c r="A61" s="988"/>
      <c r="B61" s="988"/>
      <c r="C61" s="988"/>
      <c r="D61" s="988"/>
    </row>
    <row r="102" ht="57" customHeight="1"/>
    <row r="104" ht="81" customHeight="1"/>
    <row r="106" ht="85.5" customHeight="1"/>
    <row r="108" ht="56.25" customHeight="1"/>
  </sheetData>
  <mergeCells count="14">
    <mergeCell ref="F59:K59"/>
    <mergeCell ref="A61:D61"/>
    <mergeCell ref="A41:C41"/>
    <mergeCell ref="E41:G41"/>
    <mergeCell ref="A57:D57"/>
    <mergeCell ref="F57:J57"/>
    <mergeCell ref="A9:C9"/>
    <mergeCell ref="E9:G9"/>
    <mergeCell ref="I9:K9"/>
    <mergeCell ref="M9:O9"/>
    <mergeCell ref="A25:C25"/>
    <mergeCell ref="E25:G25"/>
    <mergeCell ref="I25:K25"/>
    <mergeCell ref="M25:O2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defaultRowHeight="15"/>
  <cols>
    <col min="1" max="1" width="27" customWidth="1"/>
    <col min="2" max="2" width="10.7109375" style="65" bestFit="1" customWidth="1"/>
    <col min="3" max="8" width="9.140625" customWidth="1"/>
    <col min="9" max="9" width="53.5703125" bestFit="1" customWidth="1"/>
    <col min="10" max="10" width="9.140625" customWidth="1"/>
  </cols>
  <sheetData>
    <row r="1" spans="1:9">
      <c r="A1" s="51" t="s">
        <v>0</v>
      </c>
    </row>
    <row r="2" spans="1:9">
      <c r="A2" s="5" t="s">
        <v>1</v>
      </c>
    </row>
    <row r="3" spans="1:9" ht="15.75" thickBot="1"/>
    <row r="4" spans="1:9" ht="15" customHeight="1" thickBot="1">
      <c r="A4" s="933" t="s">
        <v>146</v>
      </c>
      <c r="B4" s="340">
        <v>44927</v>
      </c>
      <c r="C4" s="122"/>
      <c r="I4" s="23"/>
    </row>
    <row r="5" spans="1:9">
      <c r="A5" s="916" t="s">
        <v>404</v>
      </c>
      <c r="B5" s="312">
        <v>71</v>
      </c>
      <c r="C5" s="394"/>
    </row>
    <row r="6" spans="1:9">
      <c r="A6" s="913" t="s">
        <v>405</v>
      </c>
      <c r="B6" s="134">
        <v>70</v>
      </c>
      <c r="C6" s="394"/>
    </row>
    <row r="7" spans="1:9">
      <c r="A7" s="913" t="s">
        <v>406</v>
      </c>
      <c r="B7" s="134">
        <v>62</v>
      </c>
      <c r="C7" s="394"/>
    </row>
    <row r="8" spans="1:9">
      <c r="A8" s="913" t="s">
        <v>407</v>
      </c>
      <c r="B8" s="134">
        <v>53</v>
      </c>
      <c r="C8" s="394"/>
    </row>
    <row r="9" spans="1:9">
      <c r="A9" s="913" t="s">
        <v>408</v>
      </c>
      <c r="B9" s="134">
        <v>52</v>
      </c>
      <c r="C9" s="397"/>
    </row>
    <row r="10" spans="1:9">
      <c r="A10" s="913" t="s">
        <v>409</v>
      </c>
      <c r="B10" s="134">
        <v>49</v>
      </c>
      <c r="C10" s="394"/>
    </row>
    <row r="11" spans="1:9">
      <c r="A11" s="913" t="s">
        <v>410</v>
      </c>
      <c r="B11" s="134">
        <v>48</v>
      </c>
      <c r="C11" s="394"/>
    </row>
    <row r="12" spans="1:9">
      <c r="A12" s="913" t="s">
        <v>411</v>
      </c>
      <c r="B12" s="134">
        <v>47</v>
      </c>
      <c r="C12" s="394"/>
    </row>
    <row r="13" spans="1:9">
      <c r="A13" s="913" t="s">
        <v>412</v>
      </c>
      <c r="B13" s="134">
        <v>46</v>
      </c>
      <c r="C13" s="394"/>
    </row>
    <row r="14" spans="1:9">
      <c r="A14" s="913" t="s">
        <v>413</v>
      </c>
      <c r="B14" s="134">
        <v>44</v>
      </c>
      <c r="C14" s="394"/>
    </row>
    <row r="15" spans="1:9">
      <c r="A15" s="913" t="s">
        <v>431</v>
      </c>
      <c r="B15" s="164">
        <v>42</v>
      </c>
      <c r="C15" s="953"/>
    </row>
    <row r="16" spans="1:9">
      <c r="A16" s="913" t="s">
        <v>418</v>
      </c>
      <c r="B16" s="134">
        <v>41</v>
      </c>
      <c r="C16" s="394"/>
    </row>
    <row r="17" spans="1:3">
      <c r="A17" s="952" t="s">
        <v>423</v>
      </c>
      <c r="B17" s="134">
        <v>41</v>
      </c>
      <c r="C17" s="394"/>
    </row>
    <row r="18" spans="1:3">
      <c r="A18" s="913" t="s">
        <v>430</v>
      </c>
      <c r="B18" s="134">
        <v>38</v>
      </c>
      <c r="C18" s="394"/>
    </row>
    <row r="19" spans="1:3">
      <c r="A19" s="913" t="s">
        <v>432</v>
      </c>
      <c r="B19" s="134">
        <v>32</v>
      </c>
      <c r="C19" s="394"/>
    </row>
    <row r="20" spans="1:3">
      <c r="A20" s="913" t="s">
        <v>416</v>
      </c>
      <c r="B20" s="134">
        <v>29</v>
      </c>
      <c r="C20" s="394"/>
    </row>
    <row r="21" spans="1:3">
      <c r="A21" s="913" t="s">
        <v>424</v>
      </c>
      <c r="B21" s="134">
        <v>28</v>
      </c>
      <c r="C21" s="394"/>
    </row>
    <row r="22" spans="1:3">
      <c r="A22" s="913" t="s">
        <v>435</v>
      </c>
      <c r="B22" s="134">
        <v>28</v>
      </c>
      <c r="C22" s="394"/>
    </row>
    <row r="23" spans="1:3">
      <c r="A23" s="913" t="s">
        <v>417</v>
      </c>
      <c r="B23" s="134">
        <v>25</v>
      </c>
      <c r="C23" s="394"/>
    </row>
    <row r="24" spans="1:3">
      <c r="A24" s="913" t="s">
        <v>415</v>
      </c>
      <c r="B24" s="134">
        <v>24</v>
      </c>
      <c r="C24" s="394"/>
    </row>
    <row r="25" spans="1:3">
      <c r="A25" s="913" t="s">
        <v>434</v>
      </c>
      <c r="B25" s="134">
        <v>23</v>
      </c>
      <c r="C25" s="394"/>
    </row>
    <row r="26" spans="1:3">
      <c r="A26" s="913" t="s">
        <v>421</v>
      </c>
      <c r="B26" s="134">
        <v>22</v>
      </c>
      <c r="C26" s="394"/>
    </row>
    <row r="27" spans="1:3">
      <c r="A27" s="913" t="s">
        <v>426</v>
      </c>
      <c r="B27" s="134">
        <v>22</v>
      </c>
      <c r="C27" s="394"/>
    </row>
    <row r="28" spans="1:3">
      <c r="A28" s="913" t="s">
        <v>427</v>
      </c>
      <c r="B28" s="134">
        <v>22</v>
      </c>
      <c r="C28" s="394"/>
    </row>
    <row r="29" spans="1:3">
      <c r="A29" s="913" t="s">
        <v>425</v>
      </c>
      <c r="B29" s="134">
        <v>20</v>
      </c>
      <c r="C29" s="394"/>
    </row>
    <row r="30" spans="1:3">
      <c r="A30" s="913" t="s">
        <v>436</v>
      </c>
      <c r="B30" s="134">
        <v>17</v>
      </c>
      <c r="C30" s="394"/>
    </row>
    <row r="31" spans="1:3">
      <c r="A31" s="913" t="s">
        <v>420</v>
      </c>
      <c r="B31" s="134">
        <v>14</v>
      </c>
      <c r="C31" s="394"/>
    </row>
    <row r="32" spans="1:3">
      <c r="A32" s="913" t="s">
        <v>422</v>
      </c>
      <c r="B32" s="134">
        <v>10</v>
      </c>
      <c r="C32" s="394"/>
    </row>
    <row r="33" spans="1:10">
      <c r="A33" s="913" t="s">
        <v>429</v>
      </c>
      <c r="B33" s="134">
        <v>10</v>
      </c>
      <c r="C33" s="394"/>
    </row>
    <row r="34" spans="1:10">
      <c r="A34" s="913" t="s">
        <v>433</v>
      </c>
      <c r="B34" s="134">
        <v>10</v>
      </c>
      <c r="C34" s="394"/>
    </row>
    <row r="35" spans="1:10">
      <c r="A35" s="913" t="s">
        <v>419</v>
      </c>
      <c r="B35" s="134">
        <v>6</v>
      </c>
      <c r="C35" s="394"/>
    </row>
    <row r="36" spans="1:10" ht="15.75" thickBot="1">
      <c r="A36" s="914" t="s">
        <v>428</v>
      </c>
      <c r="B36" s="439">
        <v>5</v>
      </c>
      <c r="C36" s="394"/>
    </row>
    <row r="37" spans="1:10" ht="15.75" thickBot="1">
      <c r="A37" s="931" t="s">
        <v>203</v>
      </c>
      <c r="B37" s="932">
        <f>SUM(B5:B36)</f>
        <v>1051</v>
      </c>
      <c r="C37" s="92"/>
      <c r="H37" s="1"/>
      <c r="I37" s="110"/>
      <c r="J37" s="1"/>
    </row>
    <row r="38" spans="1:10">
      <c r="H38" s="1"/>
      <c r="I38" s="110"/>
      <c r="J38" s="1"/>
    </row>
    <row r="39" spans="1:10">
      <c r="H39" s="1"/>
      <c r="I39" s="110"/>
      <c r="J39" s="1"/>
    </row>
    <row r="40" spans="1:10">
      <c r="H40" s="1"/>
      <c r="I40" s="110"/>
      <c r="J40" s="1"/>
    </row>
  </sheetData>
  <pageMargins left="0.511811024" right="0.511811024" top="0.78740157500000008" bottom="0.78740157500000008" header="0.31496062000000008" footer="0.31496062000000008"/>
  <ignoredErrors>
    <ignoredError sqref="B37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4"/>
  <sheetViews>
    <sheetView zoomScale="90" zoomScaleNormal="90" workbookViewId="0"/>
  </sheetViews>
  <sheetFormatPr defaultRowHeight="15"/>
  <cols>
    <col min="1" max="1" width="15.42578125" customWidth="1"/>
    <col min="2" max="2" width="10.5703125" customWidth="1"/>
    <col min="3" max="3" width="10.28515625" customWidth="1"/>
    <col min="4" max="4" width="9.5703125" customWidth="1"/>
    <col min="5" max="5" width="7.7109375" bestFit="1" customWidth="1"/>
    <col min="6" max="6" width="11" customWidth="1"/>
    <col min="7" max="7" width="10.28515625" customWidth="1"/>
    <col min="8" max="8" width="6.42578125" bestFit="1" customWidth="1"/>
    <col min="9" max="9" width="7" bestFit="1" customWidth="1"/>
    <col min="10" max="10" width="6.5703125" bestFit="1" customWidth="1"/>
    <col min="11" max="11" width="7.140625" bestFit="1" customWidth="1"/>
    <col min="12" max="12" width="6.28515625" bestFit="1" customWidth="1"/>
    <col min="13" max="13" width="6.42578125" bestFit="1" customWidth="1"/>
    <col min="14" max="14" width="5.5703125" bestFit="1" customWidth="1"/>
    <col min="15" max="15" width="7.7109375" bestFit="1" customWidth="1"/>
    <col min="16" max="16" width="9.85546875" customWidth="1"/>
    <col min="17" max="17" width="8.140625" bestFit="1" customWidth="1"/>
  </cols>
  <sheetData>
    <row r="1" spans="1:18" s="219" customFormat="1">
      <c r="A1" s="51" t="s">
        <v>0</v>
      </c>
    </row>
    <row r="2" spans="1:18" s="219" customFormat="1">
      <c r="A2" s="5" t="s">
        <v>1</v>
      </c>
    </row>
    <row r="3" spans="1:18" s="219" customFormat="1" ht="15.75" thickBot="1"/>
    <row r="4" spans="1:18" ht="46.5" customHeight="1" thickBot="1">
      <c r="A4" s="221" t="s">
        <v>219</v>
      </c>
      <c r="B4" s="222">
        <v>45261</v>
      </c>
      <c r="C4" s="222">
        <v>45231</v>
      </c>
      <c r="D4" s="222">
        <v>45200</v>
      </c>
      <c r="E4" s="222">
        <v>45170</v>
      </c>
      <c r="F4" s="222">
        <v>45139</v>
      </c>
      <c r="G4" s="222">
        <v>45108</v>
      </c>
      <c r="H4" s="222">
        <v>45078</v>
      </c>
      <c r="I4" s="223">
        <v>45047</v>
      </c>
      <c r="J4" s="222">
        <v>45017</v>
      </c>
      <c r="K4" s="224">
        <v>44986</v>
      </c>
      <c r="L4" s="225">
        <v>44958</v>
      </c>
      <c r="M4" s="225">
        <v>44927</v>
      </c>
      <c r="N4" s="225" t="s">
        <v>3</v>
      </c>
      <c r="O4" s="226" t="s">
        <v>218</v>
      </c>
      <c r="P4" s="308" t="s">
        <v>437</v>
      </c>
      <c r="Q4" s="220" t="s">
        <v>438</v>
      </c>
    </row>
    <row r="5" spans="1:18" ht="15.75" thickBot="1">
      <c r="A5" s="227" t="s">
        <v>205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9"/>
      <c r="N5" s="230"/>
      <c r="O5" s="231"/>
      <c r="P5" s="232"/>
      <c r="Q5" s="233"/>
    </row>
    <row r="6" spans="1:18" ht="15.75" thickBot="1">
      <c r="A6" s="234" t="s">
        <v>204</v>
      </c>
      <c r="B6" s="235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355">
        <v>38</v>
      </c>
      <c r="N6" s="762">
        <f>SUM(B6:M6)</f>
        <v>38</v>
      </c>
      <c r="O6" s="353">
        <f>AVERAGE(B6:M6)</f>
        <v>38</v>
      </c>
      <c r="P6" s="313">
        <f>(M6/M$9)*100</f>
        <v>27.536231884057973</v>
      </c>
      <c r="Q6" s="313">
        <f>(N6/N$15)*100</f>
        <v>15.139442231075698</v>
      </c>
    </row>
    <row r="7" spans="1:18">
      <c r="A7" s="456" t="s">
        <v>235</v>
      </c>
      <c r="B7" s="350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56">
        <v>100</v>
      </c>
      <c r="N7" s="763">
        <f>SUM(B7:M7)</f>
        <v>100</v>
      </c>
      <c r="O7" s="767">
        <f>AVERAGE(B7:M7)</f>
        <v>100</v>
      </c>
      <c r="P7" s="313">
        <f>(M7/M$9)*100</f>
        <v>72.463768115942031</v>
      </c>
      <c r="Q7" s="259">
        <f>(N7/N$15)*100</f>
        <v>39.840637450199203</v>
      </c>
    </row>
    <row r="8" spans="1:18" s="342" customFormat="1" ht="15.75" thickBot="1">
      <c r="A8" s="457" t="s">
        <v>236</v>
      </c>
      <c r="B8" s="351"/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7">
        <v>1</v>
      </c>
      <c r="N8" s="764">
        <f>SUM(B8:M8)</f>
        <v>1</v>
      </c>
      <c r="O8" s="768">
        <f>AVERAGE(B8:M8)</f>
        <v>1</v>
      </c>
      <c r="P8" s="766"/>
      <c r="Q8" s="259">
        <f>(N8/N$15)*100</f>
        <v>0.39840637450199201</v>
      </c>
    </row>
    <row r="9" spans="1:18" s="342" customFormat="1" ht="24.75" customHeight="1" thickBot="1">
      <c r="A9" s="458" t="s">
        <v>254</v>
      </c>
      <c r="B9" s="358">
        <f t="shared" ref="B9:L9" si="0">SUM(B6:B7)</f>
        <v>0</v>
      </c>
      <c r="C9" s="358">
        <f t="shared" si="0"/>
        <v>0</v>
      </c>
      <c r="D9" s="358">
        <f t="shared" si="0"/>
        <v>0</v>
      </c>
      <c r="E9" s="358">
        <f t="shared" si="0"/>
        <v>0</v>
      </c>
      <c r="F9" s="358">
        <f t="shared" si="0"/>
        <v>0</v>
      </c>
      <c r="G9" s="358">
        <f t="shared" si="0"/>
        <v>0</v>
      </c>
      <c r="H9" s="358">
        <f t="shared" si="0"/>
        <v>0</v>
      </c>
      <c r="I9" s="358">
        <f t="shared" si="0"/>
        <v>0</v>
      </c>
      <c r="J9" s="358">
        <f t="shared" si="0"/>
        <v>0</v>
      </c>
      <c r="K9" s="358">
        <f t="shared" si="0"/>
        <v>0</v>
      </c>
      <c r="L9" s="358">
        <f t="shared" si="0"/>
        <v>0</v>
      </c>
      <c r="M9" s="359">
        <f>SUM(M6:M7)</f>
        <v>138</v>
      </c>
      <c r="N9" s="765">
        <f>SUM(N6:N7)</f>
        <v>138</v>
      </c>
      <c r="O9" s="239">
        <f>(C9+D9+E9+F9+G9+H9+I9+J9+K9+M9+L9)/11</f>
        <v>12.545454545454545</v>
      </c>
      <c r="P9" s="360">
        <f>SUM(P6:P7)</f>
        <v>100</v>
      </c>
      <c r="Q9" s="344"/>
    </row>
    <row r="10" spans="1:18" ht="15.75" thickBot="1">
      <c r="A10" s="264" t="s">
        <v>234</v>
      </c>
      <c r="B10" s="346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7">
        <f>SUM(M6:M8)</f>
        <v>139</v>
      </c>
      <c r="N10" s="348">
        <f>SUM(N6:N8)</f>
        <v>139</v>
      </c>
      <c r="O10" s="354">
        <f>(C10+D10+E10+F10+G10+H10+I10+J10+K10+M10+L10)/11</f>
        <v>12.636363636363637</v>
      </c>
      <c r="P10" s="345"/>
      <c r="Q10" s="259">
        <f>SUM(Q6:Q8)</f>
        <v>55.378486055776897</v>
      </c>
    </row>
    <row r="11" spans="1:18" ht="15.75" thickBot="1">
      <c r="A11" s="240"/>
      <c r="B11" s="241"/>
      <c r="C11" s="241"/>
      <c r="D11" s="241"/>
      <c r="E11" s="241"/>
      <c r="F11" s="241"/>
      <c r="G11" s="241"/>
      <c r="H11" s="241"/>
      <c r="I11" s="241"/>
      <c r="J11" s="241"/>
      <c r="K11" s="241"/>
      <c r="L11" s="241"/>
      <c r="M11" s="242"/>
      <c r="N11" s="243"/>
      <c r="O11" s="244"/>
      <c r="P11" s="245"/>
      <c r="Q11" s="246"/>
    </row>
    <row r="12" spans="1:18" ht="15.75" thickBot="1">
      <c r="A12" s="247" t="s">
        <v>206</v>
      </c>
      <c r="B12" s="24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9"/>
      <c r="N12" s="249"/>
      <c r="O12" s="250"/>
      <c r="P12" s="251"/>
      <c r="Q12" s="252"/>
    </row>
    <row r="13" spans="1:18" ht="15.75" thickBot="1">
      <c r="A13" s="253" t="s">
        <v>206</v>
      </c>
      <c r="B13" s="254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6">
        <v>112</v>
      </c>
      <c r="N13" s="257">
        <f>SUM(B13:M13)</f>
        <v>112</v>
      </c>
      <c r="O13" s="258">
        <f>AVERAGE(B13:M13)</f>
        <v>112</v>
      </c>
      <c r="P13" s="343"/>
      <c r="Q13" s="259">
        <f>(N13/N$15)*100</f>
        <v>44.621513944223103</v>
      </c>
    </row>
    <row r="14" spans="1:18" ht="15.75" thickBot="1">
      <c r="A14" s="240"/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2"/>
      <c r="N14" s="260"/>
      <c r="O14" s="261"/>
      <c r="P14" s="262"/>
      <c r="Q14" s="263"/>
    </row>
    <row r="15" spans="1:18" ht="15.75" thickBot="1">
      <c r="A15" s="264" t="s">
        <v>16</v>
      </c>
      <c r="B15" s="237">
        <f t="shared" ref="B15:L15" si="1">B10+B13</f>
        <v>0</v>
      </c>
      <c r="C15" s="237">
        <f t="shared" si="1"/>
        <v>0</v>
      </c>
      <c r="D15" s="237">
        <f t="shared" si="1"/>
        <v>0</v>
      </c>
      <c r="E15" s="237">
        <f t="shared" si="1"/>
        <v>0</v>
      </c>
      <c r="F15" s="237">
        <f t="shared" si="1"/>
        <v>0</v>
      </c>
      <c r="G15" s="237">
        <f t="shared" si="1"/>
        <v>0</v>
      </c>
      <c r="H15" s="237">
        <f t="shared" si="1"/>
        <v>0</v>
      </c>
      <c r="I15" s="237">
        <f t="shared" si="1"/>
        <v>0</v>
      </c>
      <c r="J15" s="237">
        <f t="shared" si="1"/>
        <v>0</v>
      </c>
      <c r="K15" s="237">
        <f t="shared" si="1"/>
        <v>0</v>
      </c>
      <c r="L15" s="237">
        <f t="shared" si="1"/>
        <v>0</v>
      </c>
      <c r="M15" s="237">
        <f>M10+M13</f>
        <v>251</v>
      </c>
      <c r="N15" s="237">
        <f>N10+N13</f>
        <v>251</v>
      </c>
      <c r="O15" s="239">
        <f>(B15+C15+D15+E15+F15+G15+H15+I15+J15+K15+M15+L15)/12</f>
        <v>20.916666666666668</v>
      </c>
      <c r="P15" s="345"/>
      <c r="Q15" s="238">
        <f>SUM(Q10:Q13)</f>
        <v>100</v>
      </c>
      <c r="R15" s="25"/>
    </row>
    <row r="16" spans="1:18" ht="15.75" thickBot="1"/>
    <row r="17" spans="1:7" ht="15.75" thickBot="1">
      <c r="A17" s="991" t="s">
        <v>253</v>
      </c>
      <c r="B17" s="991"/>
      <c r="C17" s="991"/>
      <c r="D17" s="285"/>
      <c r="E17" s="991" t="s">
        <v>206</v>
      </c>
      <c r="F17" s="991"/>
      <c r="G17" s="991"/>
    </row>
    <row r="18" spans="1:7" ht="15.75" thickBot="1">
      <c r="A18" s="286" t="s">
        <v>7</v>
      </c>
      <c r="B18" s="284" t="s">
        <v>151</v>
      </c>
      <c r="C18" s="284" t="s">
        <v>152</v>
      </c>
      <c r="D18" s="285"/>
      <c r="E18" s="286" t="s">
        <v>7</v>
      </c>
      <c r="F18" s="284" t="s">
        <v>151</v>
      </c>
      <c r="G18" s="284" t="s">
        <v>152</v>
      </c>
    </row>
    <row r="19" spans="1:7">
      <c r="A19" s="473">
        <v>44927</v>
      </c>
      <c r="B19" s="287">
        <f>M9</f>
        <v>138</v>
      </c>
      <c r="C19" s="288">
        <f>((B19-81)/81)*100</f>
        <v>70.370370370370367</v>
      </c>
      <c r="D19" s="285"/>
      <c r="E19" s="473">
        <v>44927</v>
      </c>
      <c r="F19" s="287">
        <f>M13</f>
        <v>112</v>
      </c>
      <c r="G19" s="288">
        <f>((F19-98)/98)*100</f>
        <v>14.285714285714285</v>
      </c>
    </row>
    <row r="20" spans="1:7">
      <c r="A20" s="474">
        <v>44958</v>
      </c>
      <c r="B20" s="289">
        <f>L9</f>
        <v>0</v>
      </c>
      <c r="C20" s="288">
        <f t="shared" ref="C20:C30" si="2">((B20-B19)/B19)*100</f>
        <v>-100</v>
      </c>
      <c r="D20" s="285"/>
      <c r="E20" s="474">
        <v>44958</v>
      </c>
      <c r="F20" s="289">
        <f>L13</f>
        <v>0</v>
      </c>
      <c r="G20" s="288">
        <f t="shared" ref="G20:G30" si="3">((F20-F19)/F19)*100</f>
        <v>-100</v>
      </c>
    </row>
    <row r="21" spans="1:7">
      <c r="A21" s="474">
        <v>44986</v>
      </c>
      <c r="B21" s="289">
        <f>K9</f>
        <v>0</v>
      </c>
      <c r="C21" s="288" t="e">
        <f t="shared" si="2"/>
        <v>#DIV/0!</v>
      </c>
      <c r="D21" s="285"/>
      <c r="E21" s="474">
        <v>44986</v>
      </c>
      <c r="F21" s="289">
        <f>K13</f>
        <v>0</v>
      </c>
      <c r="G21" s="288" t="e">
        <f t="shared" si="3"/>
        <v>#DIV/0!</v>
      </c>
    </row>
    <row r="22" spans="1:7">
      <c r="A22" s="474">
        <v>45017</v>
      </c>
      <c r="B22" s="289">
        <f>J9</f>
        <v>0</v>
      </c>
      <c r="C22" s="288" t="e">
        <f t="shared" si="2"/>
        <v>#DIV/0!</v>
      </c>
      <c r="D22" s="285"/>
      <c r="E22" s="474">
        <v>45017</v>
      </c>
      <c r="F22" s="289">
        <f>J13</f>
        <v>0</v>
      </c>
      <c r="G22" s="288" t="e">
        <f t="shared" si="3"/>
        <v>#DIV/0!</v>
      </c>
    </row>
    <row r="23" spans="1:7">
      <c r="A23" s="474">
        <v>45047</v>
      </c>
      <c r="B23" s="289">
        <f>I9</f>
        <v>0</v>
      </c>
      <c r="C23" s="288" t="e">
        <f t="shared" si="2"/>
        <v>#DIV/0!</v>
      </c>
      <c r="D23" s="285"/>
      <c r="E23" s="474">
        <v>45047</v>
      </c>
      <c r="F23" s="289">
        <f>I13</f>
        <v>0</v>
      </c>
      <c r="G23" s="288" t="e">
        <f t="shared" si="3"/>
        <v>#DIV/0!</v>
      </c>
    </row>
    <row r="24" spans="1:7">
      <c r="A24" s="474">
        <v>45078</v>
      </c>
      <c r="B24" s="289">
        <f>H9</f>
        <v>0</v>
      </c>
      <c r="C24" s="288" t="e">
        <f t="shared" si="2"/>
        <v>#DIV/0!</v>
      </c>
      <c r="D24" s="285"/>
      <c r="E24" s="474">
        <v>45078</v>
      </c>
      <c r="F24" s="289">
        <f>H13</f>
        <v>0</v>
      </c>
      <c r="G24" s="288" t="e">
        <f t="shared" si="3"/>
        <v>#DIV/0!</v>
      </c>
    </row>
    <row r="25" spans="1:7">
      <c r="A25" s="474">
        <v>45108</v>
      </c>
      <c r="B25" s="289">
        <f>G9</f>
        <v>0</v>
      </c>
      <c r="C25" s="288" t="e">
        <f t="shared" si="2"/>
        <v>#DIV/0!</v>
      </c>
      <c r="D25" s="285"/>
      <c r="E25" s="474">
        <v>45108</v>
      </c>
      <c r="F25" s="289">
        <f>G13</f>
        <v>0</v>
      </c>
      <c r="G25" s="288" t="e">
        <f t="shared" si="3"/>
        <v>#DIV/0!</v>
      </c>
    </row>
    <row r="26" spans="1:7">
      <c r="A26" s="474">
        <v>45139</v>
      </c>
      <c r="B26" s="289">
        <f>F9</f>
        <v>0</v>
      </c>
      <c r="C26" s="288" t="e">
        <f t="shared" si="2"/>
        <v>#DIV/0!</v>
      </c>
      <c r="D26" s="285"/>
      <c r="E26" s="474">
        <v>45139</v>
      </c>
      <c r="F26" s="289">
        <f>F13</f>
        <v>0</v>
      </c>
      <c r="G26" s="288" t="e">
        <f t="shared" si="3"/>
        <v>#DIV/0!</v>
      </c>
    </row>
    <row r="27" spans="1:7">
      <c r="A27" s="474">
        <v>45170</v>
      </c>
      <c r="B27" s="289">
        <f>E9</f>
        <v>0</v>
      </c>
      <c r="C27" s="288" t="e">
        <f t="shared" si="2"/>
        <v>#DIV/0!</v>
      </c>
      <c r="D27" s="285"/>
      <c r="E27" s="474">
        <v>45170</v>
      </c>
      <c r="F27" s="289">
        <f>E13</f>
        <v>0</v>
      </c>
      <c r="G27" s="288" t="e">
        <f t="shared" si="3"/>
        <v>#DIV/0!</v>
      </c>
    </row>
    <row r="28" spans="1:7">
      <c r="A28" s="474">
        <v>45200</v>
      </c>
      <c r="B28" s="289">
        <f>D9</f>
        <v>0</v>
      </c>
      <c r="C28" s="288" t="e">
        <f t="shared" si="2"/>
        <v>#DIV/0!</v>
      </c>
      <c r="D28" s="285"/>
      <c r="E28" s="474">
        <v>45200</v>
      </c>
      <c r="F28" s="289">
        <f>D13</f>
        <v>0</v>
      </c>
      <c r="G28" s="288" t="e">
        <f t="shared" si="3"/>
        <v>#DIV/0!</v>
      </c>
    </row>
    <row r="29" spans="1:7">
      <c r="A29" s="474">
        <v>45231</v>
      </c>
      <c r="B29" s="290">
        <f>C9</f>
        <v>0</v>
      </c>
      <c r="C29" s="288" t="e">
        <f t="shared" si="2"/>
        <v>#DIV/0!</v>
      </c>
      <c r="D29" s="285"/>
      <c r="E29" s="474">
        <v>45231</v>
      </c>
      <c r="F29" s="290">
        <f>C13</f>
        <v>0</v>
      </c>
      <c r="G29" s="288" t="e">
        <f t="shared" si="3"/>
        <v>#DIV/0!</v>
      </c>
    </row>
    <row r="30" spans="1:7" ht="15.75" thickBot="1">
      <c r="A30" s="475">
        <v>45261</v>
      </c>
      <c r="B30" s="291">
        <f>B9</f>
        <v>0</v>
      </c>
      <c r="C30" s="292" t="e">
        <f t="shared" si="2"/>
        <v>#DIV/0!</v>
      </c>
      <c r="D30" s="285"/>
      <c r="E30" s="475">
        <v>45261</v>
      </c>
      <c r="F30" s="291">
        <f>B13</f>
        <v>0</v>
      </c>
      <c r="G30" s="292" t="e">
        <f t="shared" si="3"/>
        <v>#DIV/0!</v>
      </c>
    </row>
    <row r="31" spans="1:7" s="433" customFormat="1" ht="15.75" thickBot="1">
      <c r="A31" s="472" t="s">
        <v>3</v>
      </c>
      <c r="B31" s="362">
        <f>SUM(B19:B30)</f>
        <v>138</v>
      </c>
      <c r="C31" s="847"/>
      <c r="D31" s="848"/>
      <c r="E31" s="445" t="s">
        <v>3</v>
      </c>
      <c r="F31" s="362">
        <f>SUM(F19:F30)</f>
        <v>112</v>
      </c>
      <c r="G31" s="443"/>
    </row>
    <row r="32" spans="1:7" s="433" customFormat="1" ht="15.75" thickBot="1">
      <c r="A32" s="444" t="s">
        <v>4</v>
      </c>
      <c r="B32" s="362">
        <f>(B19+B20+B21+B22+B23+B24+B25+B26+B27+B28)/10</f>
        <v>13.8</v>
      </c>
      <c r="C32" s="847"/>
      <c r="D32" s="848"/>
      <c r="E32" s="444" t="s">
        <v>4</v>
      </c>
      <c r="F32" s="362">
        <f>(F19+F20+F21+F22+F23+F24+F25+F26+F27+F28)/10</f>
        <v>11.2</v>
      </c>
      <c r="G32" s="443"/>
    </row>
    <row r="33" spans="1:8" ht="17.25" customHeight="1" thickBot="1">
      <c r="C33" s="132"/>
      <c r="D33" s="132"/>
    </row>
    <row r="34" spans="1:8" ht="93" customHeight="1" thickBot="1">
      <c r="A34" s="293"/>
      <c r="B34" s="294" t="s">
        <v>237</v>
      </c>
      <c r="C34" s="295" t="s">
        <v>238</v>
      </c>
      <c r="D34" s="295" t="s">
        <v>239</v>
      </c>
      <c r="E34" s="295" t="s">
        <v>240</v>
      </c>
      <c r="F34" s="295" t="s">
        <v>241</v>
      </c>
      <c r="G34" s="296" t="s">
        <v>242</v>
      </c>
      <c r="H34" s="297" t="s">
        <v>16</v>
      </c>
    </row>
    <row r="35" spans="1:8" ht="15.75" thickBot="1">
      <c r="A35" s="729" t="s">
        <v>235</v>
      </c>
      <c r="B35" s="314"/>
      <c r="C35" s="301"/>
      <c r="D35" s="301"/>
      <c r="E35" s="301"/>
      <c r="F35" s="301"/>
      <c r="G35" s="301"/>
      <c r="H35" s="298"/>
    </row>
    <row r="36" spans="1:8" s="309" customFormat="1">
      <c r="A36" s="731">
        <v>44927</v>
      </c>
      <c r="B36" s="726">
        <v>6</v>
      </c>
      <c r="C36" s="320">
        <v>1</v>
      </c>
      <c r="D36" s="320">
        <v>65</v>
      </c>
      <c r="E36" s="320">
        <v>6</v>
      </c>
      <c r="F36" s="320">
        <v>16</v>
      </c>
      <c r="G36" s="321">
        <v>6</v>
      </c>
      <c r="H36" s="317">
        <f>SUM(B36:G36)</f>
        <v>100</v>
      </c>
    </row>
    <row r="37" spans="1:8" s="309" customFormat="1">
      <c r="A37" s="732">
        <v>44958</v>
      </c>
      <c r="B37" s="727"/>
      <c r="C37" s="322"/>
      <c r="D37" s="322"/>
      <c r="E37" s="322"/>
      <c r="F37" s="322"/>
      <c r="G37" s="323"/>
      <c r="H37" s="318">
        <f>SUM(B37:G37)</f>
        <v>0</v>
      </c>
    </row>
    <row r="38" spans="1:8" s="309" customFormat="1">
      <c r="A38" s="732">
        <v>44986</v>
      </c>
      <c r="B38" s="727"/>
      <c r="C38" s="322"/>
      <c r="D38" s="322"/>
      <c r="E38" s="322"/>
      <c r="F38" s="322"/>
      <c r="G38" s="323"/>
      <c r="H38" s="318">
        <f>SUM(B38:G38)</f>
        <v>0</v>
      </c>
    </row>
    <row r="39" spans="1:8" s="309" customFormat="1">
      <c r="A39" s="732">
        <v>45017</v>
      </c>
      <c r="B39" s="727"/>
      <c r="C39" s="322"/>
      <c r="D39" s="322"/>
      <c r="E39" s="322"/>
      <c r="F39" s="322"/>
      <c r="G39" s="323"/>
      <c r="H39" s="318">
        <f t="shared" ref="H39:H47" si="4">SUM(B39:G39)</f>
        <v>0</v>
      </c>
    </row>
    <row r="40" spans="1:8" s="309" customFormat="1">
      <c r="A40" s="732">
        <v>45047</v>
      </c>
      <c r="B40" s="727"/>
      <c r="C40" s="322"/>
      <c r="D40" s="322"/>
      <c r="E40" s="322"/>
      <c r="F40" s="322"/>
      <c r="G40" s="323"/>
      <c r="H40" s="318">
        <f t="shared" si="4"/>
        <v>0</v>
      </c>
    </row>
    <row r="41" spans="1:8" s="309" customFormat="1">
      <c r="A41" s="732">
        <v>45078</v>
      </c>
      <c r="B41" s="727"/>
      <c r="C41" s="322"/>
      <c r="D41" s="322"/>
      <c r="E41" s="322"/>
      <c r="F41" s="322"/>
      <c r="G41" s="323"/>
      <c r="H41" s="318">
        <f t="shared" si="4"/>
        <v>0</v>
      </c>
    </row>
    <row r="42" spans="1:8" s="309" customFormat="1">
      <c r="A42" s="732">
        <v>45108</v>
      </c>
      <c r="B42" s="727"/>
      <c r="C42" s="322"/>
      <c r="D42" s="322"/>
      <c r="E42" s="322"/>
      <c r="F42" s="322"/>
      <c r="G42" s="323"/>
      <c r="H42" s="318">
        <f t="shared" si="4"/>
        <v>0</v>
      </c>
    </row>
    <row r="43" spans="1:8" s="309" customFormat="1">
      <c r="A43" s="732">
        <v>45139</v>
      </c>
      <c r="B43" s="727"/>
      <c r="C43" s="322"/>
      <c r="D43" s="322"/>
      <c r="E43" s="322"/>
      <c r="F43" s="322"/>
      <c r="G43" s="323"/>
      <c r="H43" s="318">
        <f t="shared" si="4"/>
        <v>0</v>
      </c>
    </row>
    <row r="44" spans="1:8" s="309" customFormat="1">
      <c r="A44" s="732">
        <v>45170</v>
      </c>
      <c r="B44" s="727"/>
      <c r="C44" s="322"/>
      <c r="D44" s="322"/>
      <c r="E44" s="322"/>
      <c r="F44" s="322"/>
      <c r="G44" s="323"/>
      <c r="H44" s="318">
        <f t="shared" si="4"/>
        <v>0</v>
      </c>
    </row>
    <row r="45" spans="1:8" s="309" customFormat="1">
      <c r="A45" s="732">
        <v>45200</v>
      </c>
      <c r="B45" s="727"/>
      <c r="C45" s="322"/>
      <c r="D45" s="322"/>
      <c r="E45" s="322"/>
      <c r="F45" s="322"/>
      <c r="G45" s="323"/>
      <c r="H45" s="318">
        <f t="shared" si="4"/>
        <v>0</v>
      </c>
    </row>
    <row r="46" spans="1:8" s="309" customFormat="1">
      <c r="A46" s="732">
        <v>45231</v>
      </c>
      <c r="B46" s="727"/>
      <c r="C46" s="322"/>
      <c r="D46" s="322"/>
      <c r="E46" s="322"/>
      <c r="F46" s="322"/>
      <c r="G46" s="323"/>
      <c r="H46" s="318">
        <f t="shared" si="4"/>
        <v>0</v>
      </c>
    </row>
    <row r="47" spans="1:8" s="309" customFormat="1" ht="15.75" thickBot="1">
      <c r="A47" s="733">
        <v>45261</v>
      </c>
      <c r="B47" s="728"/>
      <c r="C47" s="324"/>
      <c r="D47" s="324"/>
      <c r="E47" s="324"/>
      <c r="F47" s="324"/>
      <c r="G47" s="325"/>
      <c r="H47" s="319">
        <f t="shared" si="4"/>
        <v>0</v>
      </c>
    </row>
    <row r="48" spans="1:8" ht="15.75" thickBot="1">
      <c r="A48" s="730" t="s">
        <v>243</v>
      </c>
      <c r="B48" s="299">
        <f t="shared" ref="B48:H48" si="5">SUM(B36:B47)</f>
        <v>6</v>
      </c>
      <c r="C48" s="299">
        <f t="shared" si="5"/>
        <v>1</v>
      </c>
      <c r="D48" s="299">
        <f t="shared" si="5"/>
        <v>65</v>
      </c>
      <c r="E48" s="299">
        <f t="shared" si="5"/>
        <v>6</v>
      </c>
      <c r="F48" s="299">
        <f t="shared" si="5"/>
        <v>16</v>
      </c>
      <c r="G48" s="299">
        <f t="shared" si="5"/>
        <v>6</v>
      </c>
      <c r="H48" s="315">
        <f t="shared" si="5"/>
        <v>100</v>
      </c>
    </row>
    <row r="49" spans="1:8" ht="15.75" thickBot="1">
      <c r="A49" s="301"/>
      <c r="B49" s="302"/>
      <c r="C49" s="302"/>
      <c r="D49" s="302"/>
      <c r="E49" s="302"/>
      <c r="F49" s="302"/>
      <c r="G49" s="302"/>
      <c r="H49" s="302"/>
    </row>
    <row r="50" spans="1:8" ht="15.75" thickBot="1">
      <c r="A50" s="729" t="s">
        <v>204</v>
      </c>
      <c r="B50" s="303"/>
      <c r="C50" s="304"/>
      <c r="D50" s="304"/>
      <c r="E50" s="304"/>
      <c r="F50" s="304"/>
      <c r="G50" s="304"/>
      <c r="H50" s="304"/>
    </row>
    <row r="51" spans="1:8" s="309" customFormat="1">
      <c r="A51" s="731">
        <v>44927</v>
      </c>
      <c r="B51" s="734">
        <v>4</v>
      </c>
      <c r="C51" s="326">
        <v>2</v>
      </c>
      <c r="D51" s="326">
        <v>11</v>
      </c>
      <c r="E51" s="326">
        <v>3</v>
      </c>
      <c r="F51" s="326">
        <v>8</v>
      </c>
      <c r="G51" s="329">
        <v>10</v>
      </c>
      <c r="H51" s="332">
        <f>SUM(B51:G51)</f>
        <v>38</v>
      </c>
    </row>
    <row r="52" spans="1:8" s="309" customFormat="1">
      <c r="A52" s="732">
        <v>44958</v>
      </c>
      <c r="B52" s="735"/>
      <c r="C52" s="327"/>
      <c r="D52" s="327"/>
      <c r="E52" s="327"/>
      <c r="F52" s="327"/>
      <c r="G52" s="330"/>
      <c r="H52" s="333">
        <f>SUM(B52:G52)</f>
        <v>0</v>
      </c>
    </row>
    <row r="53" spans="1:8" s="309" customFormat="1">
      <c r="A53" s="732">
        <v>44986</v>
      </c>
      <c r="B53" s="735"/>
      <c r="C53" s="327"/>
      <c r="D53" s="327"/>
      <c r="E53" s="327"/>
      <c r="F53" s="327"/>
      <c r="G53" s="330"/>
      <c r="H53" s="333">
        <f>SUM(B53:G53)</f>
        <v>0</v>
      </c>
    </row>
    <row r="54" spans="1:8" s="309" customFormat="1">
      <c r="A54" s="732">
        <v>45017</v>
      </c>
      <c r="B54" s="735"/>
      <c r="C54" s="327"/>
      <c r="D54" s="327"/>
      <c r="E54" s="327"/>
      <c r="F54" s="327"/>
      <c r="G54" s="330"/>
      <c r="H54" s="333">
        <f t="shared" ref="H54:H62" si="6">SUM(B54:G54)</f>
        <v>0</v>
      </c>
    </row>
    <row r="55" spans="1:8" s="309" customFormat="1">
      <c r="A55" s="732">
        <v>45047</v>
      </c>
      <c r="B55" s="735"/>
      <c r="C55" s="327"/>
      <c r="D55" s="327"/>
      <c r="E55" s="327"/>
      <c r="F55" s="327"/>
      <c r="G55" s="330"/>
      <c r="H55" s="333">
        <f t="shared" si="6"/>
        <v>0</v>
      </c>
    </row>
    <row r="56" spans="1:8" s="309" customFormat="1">
      <c r="A56" s="732">
        <v>45078</v>
      </c>
      <c r="B56" s="735"/>
      <c r="C56" s="327"/>
      <c r="D56" s="327"/>
      <c r="E56" s="327"/>
      <c r="F56" s="327"/>
      <c r="G56" s="330"/>
      <c r="H56" s="333">
        <f t="shared" si="6"/>
        <v>0</v>
      </c>
    </row>
    <row r="57" spans="1:8" s="309" customFormat="1">
      <c r="A57" s="732">
        <v>45108</v>
      </c>
      <c r="B57" s="735"/>
      <c r="C57" s="327"/>
      <c r="D57" s="327"/>
      <c r="E57" s="327"/>
      <c r="F57" s="327"/>
      <c r="G57" s="330"/>
      <c r="H57" s="333">
        <f t="shared" si="6"/>
        <v>0</v>
      </c>
    </row>
    <row r="58" spans="1:8" s="309" customFormat="1">
      <c r="A58" s="732">
        <v>45139</v>
      </c>
      <c r="B58" s="735"/>
      <c r="C58" s="327"/>
      <c r="D58" s="327"/>
      <c r="E58" s="327"/>
      <c r="F58" s="327"/>
      <c r="G58" s="330"/>
      <c r="H58" s="333">
        <f t="shared" si="6"/>
        <v>0</v>
      </c>
    </row>
    <row r="59" spans="1:8" s="309" customFormat="1">
      <c r="A59" s="732">
        <v>45170</v>
      </c>
      <c r="B59" s="735"/>
      <c r="C59" s="327"/>
      <c r="D59" s="327"/>
      <c r="E59" s="327"/>
      <c r="F59" s="327"/>
      <c r="G59" s="330"/>
      <c r="H59" s="333">
        <f t="shared" si="6"/>
        <v>0</v>
      </c>
    </row>
    <row r="60" spans="1:8" s="309" customFormat="1">
      <c r="A60" s="732">
        <v>45200</v>
      </c>
      <c r="B60" s="735"/>
      <c r="C60" s="327"/>
      <c r="D60" s="327"/>
      <c r="E60" s="327"/>
      <c r="F60" s="327"/>
      <c r="G60" s="330"/>
      <c r="H60" s="333">
        <f t="shared" si="6"/>
        <v>0</v>
      </c>
    </row>
    <row r="61" spans="1:8" s="309" customFormat="1">
      <c r="A61" s="732">
        <v>45231</v>
      </c>
      <c r="B61" s="735"/>
      <c r="C61" s="327"/>
      <c r="D61" s="327"/>
      <c r="E61" s="327"/>
      <c r="F61" s="327"/>
      <c r="G61" s="330"/>
      <c r="H61" s="333">
        <f t="shared" si="6"/>
        <v>0</v>
      </c>
    </row>
    <row r="62" spans="1:8" s="309" customFormat="1" ht="15.75" thickBot="1">
      <c r="A62" s="733">
        <v>45261</v>
      </c>
      <c r="B62" s="736"/>
      <c r="C62" s="328"/>
      <c r="D62" s="328"/>
      <c r="E62" s="328"/>
      <c r="F62" s="328"/>
      <c r="G62" s="331"/>
      <c r="H62" s="334">
        <f t="shared" si="6"/>
        <v>0</v>
      </c>
    </row>
    <row r="63" spans="1:8" ht="15.75" thickBot="1">
      <c r="A63" s="737" t="s">
        <v>244</v>
      </c>
      <c r="B63" s="316">
        <f t="shared" ref="B63:H63" si="7">SUM(B51:B62)</f>
        <v>4</v>
      </c>
      <c r="C63" s="316">
        <f t="shared" si="7"/>
        <v>2</v>
      </c>
      <c r="D63" s="316">
        <f t="shared" si="7"/>
        <v>11</v>
      </c>
      <c r="E63" s="316">
        <f t="shared" si="7"/>
        <v>3</v>
      </c>
      <c r="F63" s="316">
        <f t="shared" si="7"/>
        <v>8</v>
      </c>
      <c r="G63" s="335">
        <f>SUM(G51:G62)</f>
        <v>10</v>
      </c>
      <c r="H63" s="300">
        <f t="shared" si="7"/>
        <v>38</v>
      </c>
    </row>
    <row r="64" spans="1:8" ht="15.75" thickBot="1">
      <c r="A64" s="305"/>
      <c r="B64" s="305"/>
      <c r="C64" s="305"/>
      <c r="D64" s="305"/>
      <c r="E64" s="305"/>
      <c r="F64" s="305"/>
      <c r="G64" s="305"/>
      <c r="H64" s="305"/>
    </row>
    <row r="65" spans="1:8" ht="15.75" thickBot="1">
      <c r="A65" s="336" t="s">
        <v>16</v>
      </c>
      <c r="B65" s="306">
        <f>B48+B63</f>
        <v>10</v>
      </c>
      <c r="C65" s="306">
        <f t="shared" ref="C65:H65" si="8">C48+C63</f>
        <v>3</v>
      </c>
      <c r="D65" s="306">
        <f t="shared" si="8"/>
        <v>76</v>
      </c>
      <c r="E65" s="306">
        <f t="shared" si="8"/>
        <v>9</v>
      </c>
      <c r="F65" s="306">
        <f t="shared" si="8"/>
        <v>24</v>
      </c>
      <c r="G65" s="306">
        <f t="shared" si="8"/>
        <v>16</v>
      </c>
      <c r="H65" s="307">
        <f t="shared" si="8"/>
        <v>138</v>
      </c>
    </row>
    <row r="67" spans="1:8">
      <c r="A67" s="132"/>
      <c r="B67" s="132"/>
      <c r="C67" s="132"/>
      <c r="D67" s="132"/>
      <c r="E67" s="132"/>
      <c r="F67" s="132"/>
      <c r="G67" s="132"/>
    </row>
    <row r="68" spans="1:8">
      <c r="A68" s="132"/>
      <c r="B68" s="132"/>
      <c r="C68" s="132"/>
      <c r="D68" s="132"/>
      <c r="E68" s="132"/>
      <c r="F68" s="132"/>
      <c r="G68" s="132"/>
    </row>
    <row r="69" spans="1:8">
      <c r="A69" s="132"/>
      <c r="B69" s="132"/>
      <c r="C69" s="132"/>
      <c r="D69" s="132"/>
      <c r="E69" s="132"/>
      <c r="F69" s="132"/>
      <c r="G69" s="132"/>
    </row>
    <row r="70" spans="1:8">
      <c r="A70" s="132"/>
      <c r="B70" s="132"/>
      <c r="C70" s="132"/>
      <c r="D70" s="132"/>
      <c r="E70" s="132"/>
      <c r="F70" s="132"/>
      <c r="G70" s="132"/>
    </row>
    <row r="71" spans="1:8">
      <c r="A71" s="132"/>
      <c r="B71" s="132"/>
      <c r="C71" s="132"/>
      <c r="D71" s="132"/>
      <c r="E71" s="132"/>
      <c r="F71" s="132"/>
      <c r="G71" s="132"/>
    </row>
    <row r="72" spans="1:8">
      <c r="A72" s="132"/>
      <c r="B72" s="132"/>
      <c r="C72" s="132"/>
      <c r="D72" s="132"/>
      <c r="E72" s="132"/>
      <c r="F72" s="132"/>
      <c r="G72" s="132"/>
    </row>
    <row r="73" spans="1:8">
      <c r="A73" s="132"/>
      <c r="B73" s="132"/>
      <c r="C73" s="132"/>
      <c r="D73" s="132"/>
      <c r="E73" s="132"/>
      <c r="F73" s="132"/>
      <c r="G73" s="132"/>
    </row>
    <row r="74" spans="1:8">
      <c r="A74" s="132"/>
      <c r="B74" s="132"/>
      <c r="C74" s="132"/>
      <c r="D74" s="132"/>
      <c r="E74" s="132"/>
      <c r="F74" s="132"/>
      <c r="G74" s="132"/>
    </row>
    <row r="75" spans="1:8">
      <c r="A75" s="132"/>
      <c r="B75" s="132"/>
      <c r="C75" s="132"/>
      <c r="D75" s="132"/>
      <c r="E75" s="132"/>
      <c r="F75" s="132"/>
      <c r="G75" s="132"/>
    </row>
    <row r="76" spans="1:8">
      <c r="A76" s="132"/>
      <c r="B76" s="132"/>
      <c r="C76" s="132"/>
      <c r="D76" s="132"/>
      <c r="E76" s="132"/>
      <c r="F76" s="132"/>
      <c r="G76" s="132"/>
    </row>
    <row r="77" spans="1:8">
      <c r="A77" s="132"/>
      <c r="B77" s="132"/>
      <c r="C77" s="132"/>
      <c r="D77" s="132"/>
      <c r="E77" s="132"/>
      <c r="F77" s="132"/>
      <c r="G77" s="132"/>
    </row>
    <row r="78" spans="1:8">
      <c r="A78" s="132"/>
      <c r="B78" s="132"/>
      <c r="C78" s="132"/>
      <c r="D78" s="132"/>
      <c r="E78" s="132"/>
      <c r="F78" s="132"/>
      <c r="G78" s="132"/>
    </row>
    <row r="79" spans="1:8">
      <c r="A79" s="132"/>
      <c r="B79" s="132"/>
      <c r="C79" s="132"/>
      <c r="D79" s="132"/>
      <c r="E79" s="132"/>
      <c r="F79" s="132"/>
      <c r="G79" s="132"/>
    </row>
    <row r="80" spans="1:8">
      <c r="A80" s="132"/>
      <c r="B80" s="132"/>
      <c r="C80" s="132"/>
      <c r="D80" s="132"/>
      <c r="E80" s="132"/>
      <c r="F80" s="132"/>
      <c r="G80" s="132"/>
    </row>
    <row r="81" spans="1:7">
      <c r="A81" s="132"/>
      <c r="B81" s="132"/>
      <c r="C81" s="132"/>
      <c r="D81" s="132"/>
      <c r="E81" s="132"/>
      <c r="F81" s="132"/>
      <c r="G81" s="132"/>
    </row>
    <row r="82" spans="1:7">
      <c r="A82" s="132"/>
      <c r="B82" s="132"/>
      <c r="C82" s="132"/>
      <c r="D82" s="132"/>
      <c r="E82" s="132"/>
      <c r="F82" s="132"/>
      <c r="G82" s="132"/>
    </row>
    <row r="83" spans="1:7">
      <c r="A83" s="132"/>
      <c r="B83" s="132"/>
      <c r="C83" s="132"/>
      <c r="D83" s="132"/>
      <c r="E83" s="132"/>
      <c r="F83" s="132"/>
      <c r="G83" s="132"/>
    </row>
    <row r="84" spans="1:7">
      <c r="A84" s="132"/>
      <c r="B84" s="132"/>
      <c r="C84" s="132"/>
      <c r="D84" s="132"/>
      <c r="E84" s="132"/>
      <c r="F84" s="132"/>
      <c r="G84" s="132"/>
    </row>
    <row r="85" spans="1:7">
      <c r="A85" s="132"/>
      <c r="B85" s="132"/>
      <c r="C85" s="132"/>
      <c r="D85" s="132"/>
      <c r="E85" s="132"/>
      <c r="F85" s="132"/>
      <c r="G85" s="132"/>
    </row>
    <row r="86" spans="1:7">
      <c r="A86" s="132"/>
      <c r="B86" s="132"/>
      <c r="C86" s="132"/>
      <c r="D86" s="132"/>
      <c r="E86" s="132"/>
      <c r="F86" s="132"/>
      <c r="G86" s="132"/>
    </row>
    <row r="87" spans="1:7">
      <c r="A87" s="132"/>
      <c r="B87" s="132"/>
      <c r="C87" s="132"/>
      <c r="D87" s="132"/>
      <c r="E87" s="132"/>
      <c r="F87" s="132"/>
      <c r="G87" s="132"/>
    </row>
    <row r="88" spans="1:7">
      <c r="A88" s="132"/>
      <c r="B88" s="132"/>
      <c r="C88" s="132"/>
      <c r="D88" s="132"/>
      <c r="E88" s="132"/>
      <c r="F88" s="132"/>
      <c r="G88" s="132"/>
    </row>
    <row r="89" spans="1:7">
      <c r="A89" s="132"/>
      <c r="B89" s="132"/>
      <c r="C89" s="132"/>
      <c r="D89" s="132"/>
      <c r="E89" s="132"/>
      <c r="F89" s="132"/>
      <c r="G89" s="132"/>
    </row>
    <row r="90" spans="1:7">
      <c r="A90" s="132"/>
      <c r="B90" s="132"/>
      <c r="C90" s="132"/>
      <c r="D90" s="132"/>
      <c r="E90" s="132"/>
      <c r="F90" s="132"/>
      <c r="G90" s="132"/>
    </row>
    <row r="91" spans="1:7">
      <c r="A91" s="132"/>
      <c r="B91" s="132"/>
      <c r="C91" s="132"/>
      <c r="D91" s="132"/>
      <c r="E91" s="132"/>
      <c r="F91" s="132"/>
      <c r="G91" s="132"/>
    </row>
    <row r="92" spans="1:7">
      <c r="A92" s="132"/>
      <c r="B92" s="132"/>
      <c r="C92" s="132"/>
      <c r="D92" s="132"/>
      <c r="E92" s="132"/>
      <c r="F92" s="132"/>
      <c r="G92" s="132"/>
    </row>
    <row r="93" spans="1:7">
      <c r="A93" s="132"/>
      <c r="B93" s="132"/>
      <c r="C93" s="132"/>
      <c r="D93" s="132"/>
      <c r="E93" s="132"/>
      <c r="F93" s="132"/>
      <c r="G93" s="132"/>
    </row>
    <row r="94" spans="1:7">
      <c r="A94" s="132"/>
      <c r="B94" s="132"/>
      <c r="C94" s="132"/>
      <c r="D94" s="132"/>
      <c r="E94" s="132"/>
      <c r="F94" s="132"/>
      <c r="G94" s="132"/>
    </row>
    <row r="95" spans="1:7">
      <c r="A95" s="132"/>
      <c r="B95" s="132"/>
      <c r="C95" s="132"/>
      <c r="D95" s="132"/>
      <c r="E95" s="132"/>
      <c r="F95" s="132"/>
      <c r="G95" s="132"/>
    </row>
    <row r="96" spans="1:7">
      <c r="A96" s="132"/>
      <c r="B96" s="132"/>
      <c r="C96" s="132"/>
      <c r="D96" s="132"/>
      <c r="E96" s="132"/>
      <c r="F96" s="132"/>
      <c r="G96" s="132"/>
    </row>
    <row r="97" spans="1:7">
      <c r="A97" s="132"/>
      <c r="B97" s="132"/>
      <c r="C97" s="132"/>
      <c r="D97" s="132"/>
      <c r="E97" s="132"/>
      <c r="F97" s="132"/>
      <c r="G97" s="132"/>
    </row>
    <row r="98" spans="1:7">
      <c r="A98" s="132"/>
      <c r="B98" s="132"/>
      <c r="C98" s="132"/>
      <c r="D98" s="132"/>
      <c r="E98" s="132"/>
      <c r="F98" s="132"/>
      <c r="G98" s="132"/>
    </row>
    <row r="99" spans="1:7">
      <c r="A99" s="132"/>
      <c r="B99" s="132"/>
      <c r="C99" s="132"/>
      <c r="D99" s="132"/>
      <c r="E99" s="132"/>
      <c r="F99" s="132"/>
      <c r="G99" s="132"/>
    </row>
    <row r="100" spans="1:7">
      <c r="A100" s="132"/>
      <c r="B100" s="132"/>
      <c r="C100" s="132"/>
      <c r="D100" s="132"/>
      <c r="E100" s="132"/>
      <c r="F100" s="132"/>
      <c r="G100" s="132"/>
    </row>
    <row r="101" spans="1:7">
      <c r="A101" s="132"/>
      <c r="B101" s="132"/>
      <c r="C101" s="132"/>
      <c r="D101" s="132"/>
      <c r="E101" s="132"/>
      <c r="F101" s="132"/>
      <c r="G101" s="132"/>
    </row>
    <row r="102" spans="1:7">
      <c r="A102" s="132"/>
      <c r="B102" s="132"/>
      <c r="C102" s="132"/>
      <c r="D102" s="132"/>
      <c r="E102" s="132"/>
      <c r="F102" s="132"/>
      <c r="G102" s="132"/>
    </row>
    <row r="103" spans="1:7">
      <c r="A103" s="132"/>
      <c r="B103" s="132"/>
      <c r="C103" s="132"/>
      <c r="D103" s="132"/>
      <c r="E103" s="132"/>
      <c r="F103" s="132"/>
      <c r="G103" s="132"/>
    </row>
    <row r="104" spans="1:7">
      <c r="A104" s="132"/>
      <c r="B104" s="132"/>
      <c r="C104" s="132"/>
      <c r="D104" s="132"/>
      <c r="E104" s="132"/>
      <c r="F104" s="132"/>
      <c r="G104" s="132"/>
    </row>
    <row r="105" spans="1:7">
      <c r="A105" s="132"/>
      <c r="B105" s="132"/>
      <c r="C105" s="132"/>
      <c r="D105" s="132"/>
      <c r="E105" s="132"/>
      <c r="F105" s="132"/>
      <c r="G105" s="132"/>
    </row>
    <row r="106" spans="1:7">
      <c r="A106" s="132"/>
      <c r="B106" s="132"/>
      <c r="C106" s="132"/>
      <c r="D106" s="132"/>
      <c r="E106" s="132"/>
      <c r="F106" s="132"/>
      <c r="G106" s="132"/>
    </row>
    <row r="107" spans="1:7">
      <c r="A107" s="132"/>
      <c r="B107" s="132"/>
      <c r="C107" s="132"/>
      <c r="D107" s="132"/>
      <c r="E107" s="132"/>
      <c r="F107" s="132"/>
      <c r="G107" s="132"/>
    </row>
    <row r="108" spans="1:7">
      <c r="A108" s="132"/>
      <c r="B108" s="132"/>
      <c r="C108" s="132"/>
      <c r="D108" s="132"/>
      <c r="E108" s="132"/>
      <c r="F108" s="132"/>
      <c r="G108" s="132"/>
    </row>
    <row r="109" spans="1:7">
      <c r="A109" s="132"/>
      <c r="B109" s="132"/>
      <c r="C109" s="132"/>
      <c r="D109" s="132"/>
      <c r="E109" s="132"/>
      <c r="F109" s="132"/>
      <c r="G109" s="132"/>
    </row>
    <row r="110" spans="1:7">
      <c r="A110" s="132"/>
      <c r="B110" s="132"/>
      <c r="C110" s="132"/>
      <c r="D110" s="132"/>
      <c r="E110" s="132"/>
      <c r="F110" s="132"/>
      <c r="G110" s="132"/>
    </row>
    <row r="111" spans="1:7">
      <c r="A111" s="132"/>
      <c r="B111" s="132"/>
      <c r="C111" s="132"/>
      <c r="D111" s="132"/>
      <c r="E111" s="132"/>
      <c r="F111" s="132"/>
      <c r="G111" s="132"/>
    </row>
    <row r="112" spans="1:7">
      <c r="A112" s="132"/>
      <c r="B112" s="132"/>
      <c r="C112" s="132"/>
      <c r="D112" s="132"/>
      <c r="E112" s="132"/>
      <c r="F112" s="132"/>
      <c r="G112" s="132"/>
    </row>
    <row r="113" spans="1:7">
      <c r="A113" s="132"/>
      <c r="B113" s="132"/>
      <c r="C113" s="132"/>
      <c r="D113" s="132"/>
      <c r="E113" s="132"/>
      <c r="F113" s="132"/>
      <c r="G113" s="132"/>
    </row>
    <row r="114" spans="1:7">
      <c r="A114" s="132"/>
      <c r="B114" s="132"/>
      <c r="C114" s="132"/>
      <c r="D114" s="132"/>
      <c r="E114" s="132"/>
      <c r="F114" s="132"/>
      <c r="G114" s="132"/>
    </row>
    <row r="115" spans="1:7">
      <c r="A115" s="132"/>
      <c r="B115" s="132"/>
      <c r="C115" s="132"/>
      <c r="D115" s="132"/>
      <c r="E115" s="132"/>
      <c r="F115" s="132"/>
      <c r="G115" s="132"/>
    </row>
    <row r="116" spans="1:7">
      <c r="A116" s="132"/>
      <c r="B116" s="132"/>
      <c r="C116" s="132"/>
      <c r="D116" s="132"/>
      <c r="E116" s="132"/>
      <c r="F116" s="132"/>
      <c r="G116" s="132"/>
    </row>
    <row r="117" spans="1:7">
      <c r="A117" s="132"/>
      <c r="B117" s="132"/>
      <c r="C117" s="132"/>
      <c r="D117" s="132"/>
      <c r="E117" s="132"/>
      <c r="F117" s="132"/>
      <c r="G117" s="132"/>
    </row>
    <row r="118" spans="1:7">
      <c r="A118" s="132"/>
      <c r="B118" s="132"/>
      <c r="C118" s="132"/>
      <c r="D118" s="132"/>
      <c r="E118" s="132"/>
      <c r="F118" s="132"/>
      <c r="G118" s="132"/>
    </row>
    <row r="119" spans="1:7">
      <c r="A119" s="132"/>
      <c r="B119" s="132"/>
      <c r="C119" s="132"/>
      <c r="D119" s="132"/>
      <c r="E119" s="132"/>
      <c r="F119" s="132"/>
      <c r="G119" s="132"/>
    </row>
    <row r="120" spans="1:7">
      <c r="A120" s="132"/>
      <c r="B120" s="132"/>
      <c r="C120" s="132"/>
      <c r="D120" s="132"/>
      <c r="E120" s="132"/>
      <c r="F120" s="132"/>
      <c r="G120" s="132"/>
    </row>
    <row r="121" spans="1:7">
      <c r="A121" s="132"/>
      <c r="B121" s="132"/>
      <c r="C121" s="132"/>
      <c r="D121" s="132"/>
      <c r="E121" s="132"/>
      <c r="F121" s="132"/>
      <c r="G121" s="132"/>
    </row>
    <row r="122" spans="1:7">
      <c r="A122" s="132"/>
      <c r="B122" s="132"/>
      <c r="C122" s="132"/>
      <c r="D122" s="132"/>
      <c r="E122" s="132"/>
      <c r="F122" s="132"/>
      <c r="G122" s="132"/>
    </row>
    <row r="123" spans="1:7">
      <c r="A123" s="132"/>
      <c r="B123" s="132"/>
      <c r="C123" s="132"/>
      <c r="D123" s="132"/>
      <c r="E123" s="132"/>
      <c r="F123" s="132"/>
      <c r="G123" s="132"/>
    </row>
    <row r="124" spans="1:7">
      <c r="A124" s="132"/>
      <c r="B124" s="132"/>
      <c r="C124" s="132"/>
      <c r="D124" s="132"/>
      <c r="E124" s="132"/>
      <c r="F124" s="132"/>
      <c r="G124" s="132"/>
    </row>
  </sheetData>
  <mergeCells count="2">
    <mergeCell ref="A17:C17"/>
    <mergeCell ref="E17:G17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J9:M9 G9 H9:I9 B9:F9 H36:H47 H51:H62" formulaRange="1"/>
    <ignoredError sqref="O9" 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68"/>
  <sheetViews>
    <sheetView zoomScaleNormal="100" workbookViewId="0"/>
  </sheetViews>
  <sheetFormatPr defaultRowHeight="15"/>
  <cols>
    <col min="1" max="1" width="22.7109375" style="197" customWidth="1"/>
    <col min="2" max="2" width="9.85546875" style="197" customWidth="1"/>
    <col min="3" max="3" width="9" style="480" customWidth="1"/>
    <col min="4" max="4" width="6.85546875" style="480" bestFit="1" customWidth="1"/>
    <col min="5" max="5" width="6.5703125" style="197" bestFit="1" customWidth="1"/>
    <col min="6" max="6" width="7" style="196" bestFit="1" customWidth="1"/>
    <col min="7" max="7" width="6.140625" style="196" bestFit="1" customWidth="1"/>
    <col min="8" max="8" width="6.7109375" style="196" bestFit="1" customWidth="1"/>
    <col min="9" max="9" width="7.140625" style="481" bestFit="1" customWidth="1"/>
    <col min="10" max="10" width="6.7109375" style="196" bestFit="1" customWidth="1"/>
    <col min="11" max="11" width="7.28515625" style="196" bestFit="1" customWidth="1"/>
    <col min="12" max="12" width="6.7109375" style="196" bestFit="1" customWidth="1"/>
    <col min="13" max="13" width="6.5703125" style="477" bestFit="1" customWidth="1"/>
    <col min="14" max="14" width="6.5703125" style="478" bestFit="1" customWidth="1"/>
    <col min="15" max="15" width="5.28515625" style="480" bestFit="1" customWidth="1"/>
    <col min="16" max="16" width="6" style="480" bestFit="1" customWidth="1"/>
    <col min="17" max="17" width="5.42578125" style="480" customWidth="1"/>
    <col min="18" max="18" width="9.7109375" style="197" customWidth="1"/>
    <col min="19" max="19" width="24.140625" style="197" bestFit="1" customWidth="1"/>
    <col min="20" max="20" width="7" style="197" bestFit="1" customWidth="1"/>
    <col min="21" max="21" width="7.28515625" style="197" bestFit="1" customWidth="1"/>
    <col min="22" max="22" width="6.85546875" style="197" bestFit="1" customWidth="1"/>
    <col min="23" max="23" width="6.7109375" style="197" bestFit="1" customWidth="1"/>
    <col min="24" max="24" width="7.140625" style="197" bestFit="1" customWidth="1"/>
    <col min="25" max="25" width="6.140625" style="197" bestFit="1" customWidth="1"/>
    <col min="26" max="26" width="6.7109375" style="197" bestFit="1" customWidth="1"/>
    <col min="27" max="27" width="7.140625" style="197" bestFit="1" customWidth="1"/>
    <col min="28" max="28" width="6.85546875" style="197" bestFit="1" customWidth="1"/>
    <col min="29" max="29" width="7.42578125" style="197" bestFit="1" customWidth="1"/>
    <col min="30" max="30" width="6.7109375" style="197" bestFit="1" customWidth="1"/>
    <col min="31" max="31" width="6.5703125" style="197" bestFit="1" customWidth="1"/>
    <col min="32" max="32" width="5.42578125" style="197" bestFit="1" customWidth="1"/>
    <col min="33" max="33" width="6.7109375" style="197" bestFit="1" customWidth="1"/>
    <col min="34" max="34" width="13" style="197" bestFit="1" customWidth="1"/>
    <col min="35" max="35" width="11.42578125" style="197" bestFit="1" customWidth="1"/>
    <col min="36" max="36" width="10.28515625" style="197" bestFit="1" customWidth="1"/>
    <col min="37" max="38" width="9.28515625" style="197" bestFit="1" customWidth="1"/>
    <col min="39" max="40" width="9.7109375" style="197" bestFit="1" customWidth="1"/>
    <col min="41" max="41" width="10" style="197" bestFit="1" customWidth="1"/>
    <col min="42" max="42" width="9.42578125" style="197" customWidth="1"/>
    <col min="43" max="43" width="31.85546875" style="197" customWidth="1"/>
    <col min="44" max="44" width="7.7109375" style="197" bestFit="1" customWidth="1"/>
    <col min="45" max="45" width="7.85546875" style="197" bestFit="1" customWidth="1"/>
    <col min="46" max="46" width="8.28515625" style="197" bestFit="1" customWidth="1"/>
    <col min="47" max="47" width="7.85546875" style="197" bestFit="1" customWidth="1"/>
    <col min="48" max="48" width="7.7109375" style="197" bestFit="1" customWidth="1"/>
    <col min="49" max="50" width="9.42578125" style="197" bestFit="1" customWidth="1"/>
    <col min="51" max="53" width="9.28515625" style="197" bestFit="1" customWidth="1"/>
    <col min="54" max="54" width="9.28515625" style="198" bestFit="1" customWidth="1"/>
    <col min="55" max="16384" width="9.140625" style="197"/>
  </cols>
  <sheetData>
    <row r="1" spans="1:3">
      <c r="A1" s="476" t="s">
        <v>0</v>
      </c>
    </row>
    <row r="2" spans="1:3">
      <c r="A2" s="5" t="s">
        <v>1</v>
      </c>
    </row>
    <row r="3" spans="1:3" ht="15.75" thickBot="1"/>
    <row r="4" spans="1:3" ht="15.75" thickBot="1">
      <c r="A4" s="999" t="s">
        <v>210</v>
      </c>
      <c r="B4" s="1000"/>
      <c r="C4" s="1001"/>
    </row>
    <row r="5" spans="1:3" ht="15.75" thickBot="1">
      <c r="A5" s="199" t="s">
        <v>7</v>
      </c>
      <c r="B5" s="490" t="s">
        <v>151</v>
      </c>
      <c r="C5" s="490" t="s">
        <v>152</v>
      </c>
    </row>
    <row r="6" spans="1:3">
      <c r="A6" s="200">
        <v>44927</v>
      </c>
      <c r="B6" s="201">
        <f>M98</f>
        <v>728</v>
      </c>
      <c r="C6" s="202">
        <f>((B6-444)/444)*100</f>
        <v>63.963963963963963</v>
      </c>
    </row>
    <row r="7" spans="1:3">
      <c r="A7" s="203">
        <v>44958</v>
      </c>
      <c r="B7" s="204"/>
      <c r="C7" s="205"/>
    </row>
    <row r="8" spans="1:3">
      <c r="A8" s="203">
        <v>44986</v>
      </c>
      <c r="B8" s="204"/>
      <c r="C8" s="205"/>
    </row>
    <row r="9" spans="1:3">
      <c r="A9" s="203">
        <v>45017</v>
      </c>
      <c r="B9" s="204"/>
      <c r="C9" s="205"/>
    </row>
    <row r="10" spans="1:3">
      <c r="A10" s="203">
        <v>45047</v>
      </c>
      <c r="B10" s="204"/>
      <c r="C10" s="205"/>
    </row>
    <row r="11" spans="1:3">
      <c r="A11" s="203">
        <v>45078</v>
      </c>
      <c r="B11" s="204"/>
      <c r="C11" s="205"/>
    </row>
    <row r="12" spans="1:3">
      <c r="A12" s="203">
        <v>45108</v>
      </c>
      <c r="B12" s="204"/>
      <c r="C12" s="205"/>
    </row>
    <row r="13" spans="1:3">
      <c r="A13" s="203">
        <v>45139</v>
      </c>
      <c r="B13" s="204"/>
      <c r="C13" s="205"/>
    </row>
    <row r="14" spans="1:3">
      <c r="A14" s="203">
        <v>45170</v>
      </c>
      <c r="B14" s="204"/>
      <c r="C14" s="205"/>
    </row>
    <row r="15" spans="1:3">
      <c r="A15" s="203">
        <v>45200</v>
      </c>
      <c r="B15" s="204"/>
      <c r="C15" s="205"/>
    </row>
    <row r="16" spans="1:3">
      <c r="A16" s="203">
        <v>45231</v>
      </c>
      <c r="B16" s="206"/>
      <c r="C16" s="205"/>
    </row>
    <row r="17" spans="1:54" ht="15.75" thickBot="1">
      <c r="A17" s="207">
        <v>45261</v>
      </c>
      <c r="B17" s="208"/>
      <c r="C17" s="205"/>
    </row>
    <row r="18" spans="1:54" ht="15.75" thickBot="1">
      <c r="A18" s="491" t="s">
        <v>3</v>
      </c>
      <c r="B18" s="857">
        <f>SUM(B6:B17)</f>
        <v>728</v>
      </c>
      <c r="C18" s="197"/>
    </row>
    <row r="19" spans="1:54" ht="15.75" thickBot="1">
      <c r="A19" s="431" t="s">
        <v>4</v>
      </c>
      <c r="B19" s="857">
        <f>AVERAGE(B6:B17)</f>
        <v>728</v>
      </c>
      <c r="C19" s="197"/>
    </row>
    <row r="20" spans="1:54" ht="15.75" thickBot="1"/>
    <row r="21" spans="1:54" ht="24.95" customHeight="1" thickBot="1">
      <c r="A21" s="492" t="s">
        <v>280</v>
      </c>
      <c r="B21" s="483">
        <v>45261</v>
      </c>
      <c r="C21" s="822">
        <v>45231</v>
      </c>
      <c r="D21" s="483">
        <v>45200</v>
      </c>
      <c r="E21" s="483">
        <v>45170</v>
      </c>
      <c r="F21" s="483">
        <v>45139</v>
      </c>
      <c r="G21" s="483">
        <v>45108</v>
      </c>
      <c r="H21" s="483">
        <v>45078</v>
      </c>
      <c r="I21" s="483">
        <v>45047</v>
      </c>
      <c r="J21" s="483">
        <v>45017</v>
      </c>
      <c r="K21" s="483">
        <v>44986</v>
      </c>
      <c r="L21" s="483">
        <v>44958</v>
      </c>
      <c r="M21" s="957">
        <v>44927</v>
      </c>
      <c r="N21" s="484" t="s">
        <v>3</v>
      </c>
      <c r="O21" s="485" t="s">
        <v>4</v>
      </c>
      <c r="P21" s="486" t="s">
        <v>5</v>
      </c>
      <c r="Q21" s="745"/>
      <c r="S21" s="995" t="s">
        <v>321</v>
      </c>
      <c r="T21" s="996"/>
      <c r="U21" s="996"/>
      <c r="V21" s="996"/>
      <c r="W21" s="996"/>
      <c r="X21" s="996"/>
      <c r="Y21" s="996"/>
      <c r="Z21" s="996"/>
      <c r="AA21" s="996"/>
      <c r="AB21" s="996"/>
      <c r="AC21" s="996"/>
      <c r="AD21" s="996"/>
      <c r="AE21" s="996"/>
      <c r="AF21" s="997"/>
      <c r="AG21" s="998"/>
      <c r="AH21" s="479">
        <v>12</v>
      </c>
      <c r="AI21" s="479">
        <v>7</v>
      </c>
      <c r="AJ21" s="479">
        <v>11</v>
      </c>
      <c r="AK21" s="479">
        <v>7</v>
      </c>
      <c r="AL21" s="479">
        <v>2</v>
      </c>
      <c r="AM21" s="479">
        <v>10</v>
      </c>
      <c r="AN21" s="479">
        <v>7</v>
      </c>
      <c r="AO21" s="198"/>
      <c r="BB21" s="197"/>
    </row>
    <row r="22" spans="1:54" ht="34.5" customHeight="1" thickBot="1">
      <c r="A22" s="685" t="s">
        <v>285</v>
      </c>
      <c r="B22" s="511"/>
      <c r="C22" s="849"/>
      <c r="D22" s="512"/>
      <c r="E22" s="512"/>
      <c r="F22" s="512"/>
      <c r="G22" s="512"/>
      <c r="H22" s="512"/>
      <c r="I22" s="513"/>
      <c r="J22" s="512"/>
      <c r="K22" s="512"/>
      <c r="L22" s="512"/>
      <c r="M22" s="849">
        <v>0</v>
      </c>
      <c r="N22" s="954">
        <f t="shared" ref="N22:N85" si="0">SUM(B22:M22)</f>
        <v>0</v>
      </c>
      <c r="O22" s="671">
        <f t="shared" ref="O22:O53" si="1">AVERAGE(B22:M22)</f>
        <v>0</v>
      </c>
      <c r="P22" s="649">
        <f>(N22/N98)*100</f>
        <v>0</v>
      </c>
      <c r="Q22" s="742"/>
      <c r="R22" s="115"/>
      <c r="S22" s="634"/>
      <c r="T22" s="635">
        <v>45261</v>
      </c>
      <c r="U22" s="635">
        <v>45231</v>
      </c>
      <c r="V22" s="635">
        <v>45200</v>
      </c>
      <c r="W22" s="635">
        <v>45170</v>
      </c>
      <c r="X22" s="635">
        <v>45139</v>
      </c>
      <c r="Y22" s="635">
        <v>45108</v>
      </c>
      <c r="Z22" s="635">
        <v>45078</v>
      </c>
      <c r="AA22" s="635">
        <v>45047</v>
      </c>
      <c r="AB22" s="635">
        <v>45017</v>
      </c>
      <c r="AC22" s="635">
        <v>44986</v>
      </c>
      <c r="AD22" s="635">
        <v>44958</v>
      </c>
      <c r="AE22" s="636">
        <v>44927</v>
      </c>
      <c r="AF22" s="637" t="s">
        <v>3</v>
      </c>
      <c r="AG22" s="638" t="s">
        <v>4</v>
      </c>
      <c r="AH22" s="479">
        <v>84</v>
      </c>
      <c r="AI22" s="479">
        <v>49</v>
      </c>
      <c r="AJ22" s="479">
        <v>90</v>
      </c>
      <c r="AK22" s="479">
        <v>117</v>
      </c>
      <c r="AL22" s="479">
        <v>58</v>
      </c>
      <c r="AM22" s="479">
        <v>49</v>
      </c>
      <c r="AN22" s="479">
        <v>22</v>
      </c>
      <c r="AO22" s="198"/>
      <c r="BB22" s="197"/>
    </row>
    <row r="23" spans="1:54" ht="24.95" customHeight="1" thickBot="1">
      <c r="A23" s="686" t="s">
        <v>252</v>
      </c>
      <c r="B23" s="514"/>
      <c r="C23" s="850"/>
      <c r="D23" s="781"/>
      <c r="E23" s="509"/>
      <c r="F23" s="509"/>
      <c r="G23" s="509"/>
      <c r="H23" s="509"/>
      <c r="I23" s="510"/>
      <c r="J23" s="509"/>
      <c r="K23" s="509"/>
      <c r="L23" s="509"/>
      <c r="M23" s="958">
        <v>6</v>
      </c>
      <c r="N23" s="955">
        <f t="shared" si="0"/>
        <v>6</v>
      </c>
      <c r="O23" s="672">
        <f t="shared" si="1"/>
        <v>6</v>
      </c>
      <c r="P23" s="487">
        <f t="shared" ref="P23:P55" si="2">(N23/$N$98)*100</f>
        <v>0.82417582417582425</v>
      </c>
      <c r="Q23" s="742"/>
      <c r="R23" s="115"/>
      <c r="S23" s="1002" t="s">
        <v>322</v>
      </c>
      <c r="T23" s="1003"/>
      <c r="U23" s="1003"/>
      <c r="V23" s="1003"/>
      <c r="W23" s="1003"/>
      <c r="X23" s="1003"/>
      <c r="Y23" s="1003"/>
      <c r="Z23" s="1003"/>
      <c r="AA23" s="1003"/>
      <c r="AB23" s="1003"/>
      <c r="AC23" s="1003"/>
      <c r="AD23" s="1003"/>
      <c r="AE23" s="1004"/>
      <c r="AF23" s="519"/>
      <c r="AG23" s="520"/>
      <c r="AH23" s="198"/>
      <c r="AI23" s="198"/>
      <c r="AJ23" s="198"/>
      <c r="AK23" s="198"/>
      <c r="AL23" s="198"/>
      <c r="AM23" s="198"/>
      <c r="AN23" s="198"/>
      <c r="AO23" s="198"/>
      <c r="BB23" s="197"/>
    </row>
    <row r="24" spans="1:54" ht="24.95" customHeight="1" thickBot="1">
      <c r="A24" s="686" t="s">
        <v>286</v>
      </c>
      <c r="B24" s="514"/>
      <c r="C24" s="850"/>
      <c r="D24" s="781"/>
      <c r="E24" s="509"/>
      <c r="F24" s="509"/>
      <c r="G24" s="509"/>
      <c r="H24" s="509"/>
      <c r="I24" s="510"/>
      <c r="J24" s="509"/>
      <c r="K24" s="509"/>
      <c r="L24" s="509"/>
      <c r="M24" s="958">
        <v>55</v>
      </c>
      <c r="N24" s="955">
        <f t="shared" si="0"/>
        <v>55</v>
      </c>
      <c r="O24" s="672">
        <f t="shared" si="1"/>
        <v>55</v>
      </c>
      <c r="P24" s="487">
        <f t="shared" si="2"/>
        <v>7.5549450549450547</v>
      </c>
      <c r="Q24" s="742"/>
      <c r="R24" s="115"/>
      <c r="S24" s="521" t="s">
        <v>3</v>
      </c>
      <c r="T24" s="522"/>
      <c r="U24" s="522"/>
      <c r="V24" s="522"/>
      <c r="W24" s="522"/>
      <c r="X24" s="522"/>
      <c r="Y24" s="522"/>
      <c r="Z24" s="522"/>
      <c r="AA24" s="522"/>
      <c r="AB24" s="522"/>
      <c r="AC24" s="522"/>
      <c r="AD24" s="522"/>
      <c r="AE24" s="523">
        <v>728</v>
      </c>
      <c r="AF24" s="524">
        <f>SUM(T24:AE24)</f>
        <v>728</v>
      </c>
      <c r="AG24" s="525">
        <f>AVERAGE(T24:AE24)</f>
        <v>728</v>
      </c>
      <c r="AH24" s="198"/>
      <c r="AI24" s="198"/>
      <c r="AJ24" s="198"/>
      <c r="AK24" s="198"/>
      <c r="AL24" s="198"/>
      <c r="AM24" s="198"/>
      <c r="AN24" s="198"/>
      <c r="AO24" s="198"/>
      <c r="BB24" s="197"/>
    </row>
    <row r="25" spans="1:54" ht="24.95" customHeight="1">
      <c r="A25" s="686" t="s">
        <v>287</v>
      </c>
      <c r="B25" s="514"/>
      <c r="C25" s="850"/>
      <c r="D25" s="781"/>
      <c r="E25" s="509"/>
      <c r="F25" s="509"/>
      <c r="G25" s="509"/>
      <c r="H25" s="509"/>
      <c r="I25" s="510"/>
      <c r="J25" s="509"/>
      <c r="K25" s="509"/>
      <c r="L25" s="509"/>
      <c r="M25" s="958">
        <v>10</v>
      </c>
      <c r="N25" s="955">
        <f t="shared" si="0"/>
        <v>10</v>
      </c>
      <c r="O25" s="672">
        <f t="shared" si="1"/>
        <v>10</v>
      </c>
      <c r="P25" s="487">
        <f t="shared" si="2"/>
        <v>1.3736263736263736</v>
      </c>
      <c r="Q25" s="742"/>
      <c r="R25" s="115"/>
      <c r="S25" s="526"/>
      <c r="T25" s="527"/>
      <c r="U25" s="527"/>
      <c r="V25" s="527"/>
      <c r="W25" s="527"/>
      <c r="X25" s="527"/>
      <c r="Y25" s="528"/>
      <c r="Z25" s="529"/>
      <c r="AA25" s="527"/>
      <c r="AB25" s="527"/>
      <c r="AC25" s="527"/>
      <c r="AD25" s="527"/>
      <c r="AE25" s="528"/>
      <c r="AF25" s="530"/>
      <c r="AG25" s="531"/>
      <c r="AH25" s="482"/>
      <c r="AI25" s="198"/>
      <c r="AJ25" s="198"/>
      <c r="AK25" s="198"/>
      <c r="AL25" s="198"/>
      <c r="AM25" s="198"/>
      <c r="AN25" s="198"/>
      <c r="AO25" s="198"/>
      <c r="BB25" s="197"/>
    </row>
    <row r="26" spans="1:54" ht="24.95" customHeight="1" thickBot="1">
      <c r="A26" s="686" t="s">
        <v>288</v>
      </c>
      <c r="B26" s="514"/>
      <c r="C26" s="850"/>
      <c r="D26" s="781"/>
      <c r="E26" s="509"/>
      <c r="F26" s="509"/>
      <c r="G26" s="509"/>
      <c r="H26" s="509"/>
      <c r="I26" s="510"/>
      <c r="J26" s="509"/>
      <c r="K26" s="509"/>
      <c r="L26" s="509"/>
      <c r="M26" s="958">
        <v>12</v>
      </c>
      <c r="N26" s="955">
        <f t="shared" si="0"/>
        <v>12</v>
      </c>
      <c r="O26" s="672">
        <f t="shared" si="1"/>
        <v>12</v>
      </c>
      <c r="P26" s="487">
        <f t="shared" si="2"/>
        <v>1.6483516483516485</v>
      </c>
      <c r="Q26" s="742"/>
      <c r="R26" s="115"/>
      <c r="S26" s="1005" t="s">
        <v>323</v>
      </c>
      <c r="T26" s="1006"/>
      <c r="U26" s="1006"/>
      <c r="V26" s="1006"/>
      <c r="W26" s="1006"/>
      <c r="X26" s="1006"/>
      <c r="Y26" s="1006"/>
      <c r="Z26" s="1006"/>
      <c r="AA26" s="1006"/>
      <c r="AB26" s="1006"/>
      <c r="AC26" s="1006"/>
      <c r="AD26" s="1006"/>
      <c r="AE26" s="1007"/>
      <c r="AF26" s="532"/>
      <c r="AG26" s="533"/>
      <c r="AH26" s="482"/>
      <c r="AI26" s="198"/>
      <c r="AJ26" s="198"/>
      <c r="AK26" s="198"/>
      <c r="AL26" s="198"/>
      <c r="AM26" s="198"/>
      <c r="AN26" s="198"/>
      <c r="AO26" s="198"/>
      <c r="BB26" s="197"/>
    </row>
    <row r="27" spans="1:54" ht="24.95" customHeight="1" thickTop="1" thickBot="1">
      <c r="A27" s="686" t="s">
        <v>319</v>
      </c>
      <c r="B27" s="514"/>
      <c r="C27" s="850"/>
      <c r="D27" s="781"/>
      <c r="E27" s="509"/>
      <c r="F27" s="509"/>
      <c r="G27" s="509"/>
      <c r="H27" s="509"/>
      <c r="I27" s="510"/>
      <c r="J27" s="509"/>
      <c r="K27" s="509"/>
      <c r="L27" s="509"/>
      <c r="M27" s="958">
        <v>1</v>
      </c>
      <c r="N27" s="955">
        <f t="shared" si="0"/>
        <v>1</v>
      </c>
      <c r="O27" s="672">
        <f t="shared" si="1"/>
        <v>1</v>
      </c>
      <c r="P27" s="487">
        <f t="shared" si="2"/>
        <v>0.13736263736263737</v>
      </c>
      <c r="Q27" s="742"/>
      <c r="R27" s="115"/>
      <c r="S27" s="534" t="s">
        <v>324</v>
      </c>
      <c r="T27" s="535">
        <f t="shared" ref="T27:AD27" si="3">SUM(T28:T29)</f>
        <v>0</v>
      </c>
      <c r="U27" s="536">
        <f t="shared" si="3"/>
        <v>0</v>
      </c>
      <c r="V27" s="536">
        <f t="shared" si="3"/>
        <v>0</v>
      </c>
      <c r="W27" s="536">
        <f t="shared" si="3"/>
        <v>0</v>
      </c>
      <c r="X27" s="536">
        <f t="shared" si="3"/>
        <v>0</v>
      </c>
      <c r="Y27" s="536">
        <f t="shared" si="3"/>
        <v>0</v>
      </c>
      <c r="Z27" s="536">
        <f t="shared" si="3"/>
        <v>0</v>
      </c>
      <c r="AA27" s="536">
        <f t="shared" si="3"/>
        <v>0</v>
      </c>
      <c r="AB27" s="536">
        <f t="shared" si="3"/>
        <v>0</v>
      </c>
      <c r="AC27" s="536">
        <f t="shared" si="3"/>
        <v>0</v>
      </c>
      <c r="AD27" s="536">
        <f t="shared" si="3"/>
        <v>0</v>
      </c>
      <c r="AE27" s="536">
        <f>SUM(AE28:AE29)</f>
        <v>580</v>
      </c>
      <c r="AF27" s="537">
        <f t="shared" ref="AF27:AF49" si="4">SUM(T27:AE27)</f>
        <v>580</v>
      </c>
      <c r="AG27" s="525">
        <f>SUM(AG28:AG29)</f>
        <v>580</v>
      </c>
      <c r="AH27" s="482"/>
      <c r="AI27" s="198"/>
      <c r="AJ27" s="198"/>
      <c r="AK27" s="198"/>
      <c r="AL27" s="198"/>
      <c r="AM27" s="198"/>
      <c r="AN27" s="198"/>
      <c r="AO27" s="198"/>
      <c r="BB27" s="197"/>
    </row>
    <row r="28" spans="1:54" ht="24.95" customHeight="1" thickBot="1">
      <c r="A28" s="686" t="s">
        <v>344</v>
      </c>
      <c r="B28" s="514"/>
      <c r="C28" s="850"/>
      <c r="D28" s="781"/>
      <c r="E28" s="509"/>
      <c r="F28" s="509"/>
      <c r="G28" s="509"/>
      <c r="H28" s="509"/>
      <c r="I28" s="510"/>
      <c r="J28" s="509"/>
      <c r="K28" s="509"/>
      <c r="L28" s="509"/>
      <c r="M28" s="958">
        <v>1</v>
      </c>
      <c r="N28" s="955">
        <f t="shared" si="0"/>
        <v>1</v>
      </c>
      <c r="O28" s="672">
        <f t="shared" si="1"/>
        <v>1</v>
      </c>
      <c r="P28" s="487">
        <f t="shared" si="2"/>
        <v>0.13736263736263737</v>
      </c>
      <c r="Q28" s="742"/>
      <c r="R28" s="115"/>
      <c r="S28" s="538" t="s">
        <v>325</v>
      </c>
      <c r="T28" s="539"/>
      <c r="U28" s="540"/>
      <c r="V28" s="540"/>
      <c r="W28" s="540"/>
      <c r="X28" s="540"/>
      <c r="Y28" s="540"/>
      <c r="Z28" s="540"/>
      <c r="AA28" s="540"/>
      <c r="AB28" s="540"/>
      <c r="AC28" s="541"/>
      <c r="AD28" s="541"/>
      <c r="AE28" s="542">
        <v>471</v>
      </c>
      <c r="AF28" s="543">
        <f t="shared" si="4"/>
        <v>471</v>
      </c>
      <c r="AG28" s="544">
        <f t="shared" ref="AG28:AG49" si="5">AVERAGE(T28:AE28)</f>
        <v>471</v>
      </c>
      <c r="AH28" s="482"/>
      <c r="AI28" s="198"/>
      <c r="AJ28" s="198"/>
      <c r="AK28" s="198"/>
      <c r="AL28" s="198"/>
      <c r="AM28" s="198"/>
      <c r="AN28" s="198"/>
      <c r="AO28" s="198"/>
      <c r="BB28" s="197"/>
    </row>
    <row r="29" spans="1:54" ht="24.95" customHeight="1" thickBot="1">
      <c r="A29" s="689" t="s">
        <v>289</v>
      </c>
      <c r="B29" s="645"/>
      <c r="C29" s="850"/>
      <c r="D29" s="820"/>
      <c r="E29" s="644"/>
      <c r="F29" s="644"/>
      <c r="G29" s="644"/>
      <c r="H29" s="644"/>
      <c r="I29" s="644"/>
      <c r="J29" s="644"/>
      <c r="K29" s="644"/>
      <c r="L29" s="644"/>
      <c r="M29" s="958">
        <v>1</v>
      </c>
      <c r="N29" s="955">
        <f t="shared" si="0"/>
        <v>1</v>
      </c>
      <c r="O29" s="672">
        <f t="shared" si="1"/>
        <v>1</v>
      </c>
      <c r="P29" s="487">
        <f t="shared" si="2"/>
        <v>0.13736263736263737</v>
      </c>
      <c r="Q29" s="742"/>
      <c r="R29" s="115"/>
      <c r="S29" s="545" t="s">
        <v>326</v>
      </c>
      <c r="T29" s="546"/>
      <c r="U29" s="547"/>
      <c r="V29" s="547"/>
      <c r="W29" s="547"/>
      <c r="X29" s="547"/>
      <c r="Y29" s="547"/>
      <c r="Z29" s="547"/>
      <c r="AA29" s="547"/>
      <c r="AB29" s="547"/>
      <c r="AC29" s="548"/>
      <c r="AD29" s="548"/>
      <c r="AE29" s="549">
        <v>109</v>
      </c>
      <c r="AF29" s="550">
        <f t="shared" si="4"/>
        <v>109</v>
      </c>
      <c r="AG29" s="551">
        <f t="shared" si="5"/>
        <v>109</v>
      </c>
      <c r="AH29" s="482"/>
      <c r="AI29" s="198"/>
      <c r="AJ29" s="198"/>
      <c r="AK29" s="198"/>
      <c r="AL29" s="198"/>
      <c r="AM29" s="198"/>
      <c r="AN29" s="198"/>
      <c r="AO29" s="198"/>
      <c r="BB29" s="197"/>
    </row>
    <row r="30" spans="1:54" ht="24.95" customHeight="1" thickBot="1">
      <c r="A30" s="686" t="s">
        <v>290</v>
      </c>
      <c r="B30" s="514"/>
      <c r="C30" s="850"/>
      <c r="D30" s="781"/>
      <c r="E30" s="509"/>
      <c r="F30" s="509"/>
      <c r="G30" s="509"/>
      <c r="H30" s="509"/>
      <c r="I30" s="510"/>
      <c r="J30" s="509"/>
      <c r="K30" s="509"/>
      <c r="L30" s="509"/>
      <c r="M30" s="958">
        <v>5</v>
      </c>
      <c r="N30" s="955">
        <f t="shared" si="0"/>
        <v>5</v>
      </c>
      <c r="O30" s="672">
        <f t="shared" si="1"/>
        <v>5</v>
      </c>
      <c r="P30" s="487">
        <f t="shared" si="2"/>
        <v>0.68681318681318682</v>
      </c>
      <c r="Q30" s="742"/>
      <c r="R30" s="115"/>
      <c r="S30" s="552"/>
      <c r="T30" s="553"/>
      <c r="U30" s="553"/>
      <c r="V30" s="553"/>
      <c r="W30" s="553"/>
      <c r="X30" s="553"/>
      <c r="Y30" s="553"/>
      <c r="Z30" s="553"/>
      <c r="AA30" s="553"/>
      <c r="AB30" s="553"/>
      <c r="AC30" s="553"/>
      <c r="AD30" s="553"/>
      <c r="AE30" s="554"/>
      <c r="AF30" s="530"/>
      <c r="AG30" s="531"/>
      <c r="AH30" s="198"/>
      <c r="AI30" s="198"/>
      <c r="AJ30" s="198"/>
      <c r="AK30" s="198"/>
      <c r="AL30" s="198"/>
      <c r="AM30" s="198"/>
      <c r="AN30" s="198"/>
      <c r="AO30" s="198"/>
      <c r="BB30" s="197"/>
    </row>
    <row r="31" spans="1:54" ht="36.75" customHeight="1" thickBot="1">
      <c r="A31" s="686" t="s">
        <v>291</v>
      </c>
      <c r="B31" s="514"/>
      <c r="C31" s="850"/>
      <c r="D31" s="781"/>
      <c r="E31" s="509"/>
      <c r="F31" s="509"/>
      <c r="G31" s="509"/>
      <c r="H31" s="509"/>
      <c r="I31" s="510"/>
      <c r="J31" s="509"/>
      <c r="K31" s="509"/>
      <c r="L31" s="509"/>
      <c r="M31" s="958">
        <v>7</v>
      </c>
      <c r="N31" s="955">
        <f t="shared" si="0"/>
        <v>7</v>
      </c>
      <c r="O31" s="672">
        <f t="shared" si="1"/>
        <v>7</v>
      </c>
      <c r="P31" s="487">
        <f t="shared" si="2"/>
        <v>0.96153846153846156</v>
      </c>
      <c r="Q31" s="742"/>
      <c r="R31" s="115"/>
      <c r="S31" s="1008" t="s">
        <v>327</v>
      </c>
      <c r="T31" s="1009"/>
      <c r="U31" s="1009"/>
      <c r="V31" s="1009"/>
      <c r="W31" s="1009"/>
      <c r="X31" s="1009"/>
      <c r="Y31" s="1009"/>
      <c r="Z31" s="1009"/>
      <c r="AA31" s="1009"/>
      <c r="AB31" s="1009"/>
      <c r="AC31" s="1009"/>
      <c r="AD31" s="1009"/>
      <c r="AE31" s="1010"/>
      <c r="AF31" s="532"/>
      <c r="AG31" s="533"/>
      <c r="AH31" s="198"/>
      <c r="AI31" s="198"/>
      <c r="AJ31" s="198"/>
      <c r="AK31" s="198"/>
      <c r="AL31" s="198"/>
      <c r="AM31" s="198"/>
      <c r="AN31" s="198"/>
      <c r="AO31" s="198"/>
      <c r="BB31" s="197"/>
    </row>
    <row r="32" spans="1:54" ht="27.75" customHeight="1" thickBot="1">
      <c r="A32" s="744" t="s">
        <v>292</v>
      </c>
      <c r="B32" s="514"/>
      <c r="C32" s="850"/>
      <c r="D32" s="781"/>
      <c r="E32" s="509"/>
      <c r="F32" s="509"/>
      <c r="G32" s="509"/>
      <c r="H32" s="509"/>
      <c r="I32" s="510"/>
      <c r="J32" s="509"/>
      <c r="K32" s="509"/>
      <c r="L32" s="509"/>
      <c r="M32" s="958">
        <v>8</v>
      </c>
      <c r="N32" s="955">
        <f t="shared" si="0"/>
        <v>8</v>
      </c>
      <c r="O32" s="672">
        <f t="shared" si="1"/>
        <v>8</v>
      </c>
      <c r="P32" s="487">
        <f t="shared" si="2"/>
        <v>1.098901098901099</v>
      </c>
      <c r="Q32" s="742"/>
      <c r="R32" s="115"/>
      <c r="S32" s="555" t="s">
        <v>328</v>
      </c>
      <c r="T32" s="556"/>
      <c r="U32" s="557"/>
      <c r="V32" s="557"/>
      <c r="W32" s="557"/>
      <c r="X32" s="557"/>
      <c r="Y32" s="557"/>
      <c r="Z32" s="557"/>
      <c r="AA32" s="557"/>
      <c r="AB32" s="558"/>
      <c r="AC32" s="558"/>
      <c r="AD32" s="558"/>
      <c r="AE32" s="559">
        <v>80</v>
      </c>
      <c r="AF32" s="537">
        <f t="shared" si="4"/>
        <v>80</v>
      </c>
      <c r="AG32" s="525">
        <f t="shared" si="5"/>
        <v>80</v>
      </c>
      <c r="AM32" s="198"/>
      <c r="BB32" s="197"/>
    </row>
    <row r="33" spans="1:54" ht="29.25" thickBot="1">
      <c r="A33" s="686" t="s">
        <v>312</v>
      </c>
      <c r="B33" s="514"/>
      <c r="C33" s="850"/>
      <c r="D33" s="781"/>
      <c r="E33" s="509"/>
      <c r="F33" s="509"/>
      <c r="G33" s="509"/>
      <c r="H33" s="509"/>
      <c r="I33" s="510"/>
      <c r="J33" s="509"/>
      <c r="K33" s="509"/>
      <c r="L33" s="509"/>
      <c r="M33" s="958">
        <v>52</v>
      </c>
      <c r="N33" s="955">
        <f t="shared" si="0"/>
        <v>52</v>
      </c>
      <c r="O33" s="672">
        <f t="shared" si="1"/>
        <v>52</v>
      </c>
      <c r="P33" s="487">
        <f t="shared" si="2"/>
        <v>7.1428571428571423</v>
      </c>
      <c r="Q33" s="742"/>
      <c r="R33" s="115"/>
      <c r="S33" s="560" t="s">
        <v>329</v>
      </c>
      <c r="T33" s="561">
        <f t="shared" ref="T33:AD33" si="6">SUM(T34:T35)</f>
        <v>0</v>
      </c>
      <c r="U33" s="561">
        <f t="shared" si="6"/>
        <v>0</v>
      </c>
      <c r="V33" s="561">
        <f t="shared" si="6"/>
        <v>0</v>
      </c>
      <c r="W33" s="561">
        <f t="shared" si="6"/>
        <v>0</v>
      </c>
      <c r="X33" s="561">
        <f t="shared" si="6"/>
        <v>0</v>
      </c>
      <c r="Y33" s="561">
        <f t="shared" si="6"/>
        <v>0</v>
      </c>
      <c r="Z33" s="561">
        <f t="shared" si="6"/>
        <v>0</v>
      </c>
      <c r="AA33" s="561">
        <f t="shared" si="6"/>
        <v>0</v>
      </c>
      <c r="AB33" s="561">
        <f t="shared" si="6"/>
        <v>0</v>
      </c>
      <c r="AC33" s="561">
        <f t="shared" si="6"/>
        <v>0</v>
      </c>
      <c r="AD33" s="561">
        <f t="shared" si="6"/>
        <v>0</v>
      </c>
      <c r="AE33" s="561">
        <f>SUM(AE34:AE35)</f>
        <v>63</v>
      </c>
      <c r="AF33" s="537">
        <f t="shared" si="4"/>
        <v>63</v>
      </c>
      <c r="AG33" s="525">
        <f>SUM(AG34:AG35)</f>
        <v>63</v>
      </c>
      <c r="AM33" s="198"/>
      <c r="BB33" s="197"/>
    </row>
    <row r="34" spans="1:54" ht="24" thickBot="1">
      <c r="A34" s="686" t="s">
        <v>293</v>
      </c>
      <c r="B34" s="514"/>
      <c r="C34" s="850"/>
      <c r="D34" s="781"/>
      <c r="E34" s="509"/>
      <c r="F34" s="509"/>
      <c r="G34" s="509"/>
      <c r="H34" s="509"/>
      <c r="I34" s="510"/>
      <c r="J34" s="509"/>
      <c r="K34" s="509"/>
      <c r="L34" s="509"/>
      <c r="M34" s="958">
        <v>5</v>
      </c>
      <c r="N34" s="955">
        <f t="shared" si="0"/>
        <v>5</v>
      </c>
      <c r="O34" s="672">
        <f t="shared" si="1"/>
        <v>5</v>
      </c>
      <c r="P34" s="487">
        <f t="shared" si="2"/>
        <v>0.68681318681318682</v>
      </c>
      <c r="Q34" s="742"/>
      <c r="R34" s="115"/>
      <c r="S34" s="562" t="s">
        <v>330</v>
      </c>
      <c r="T34" s="563"/>
      <c r="U34" s="564"/>
      <c r="V34" s="565"/>
      <c r="W34" s="566"/>
      <c r="X34" s="564"/>
      <c r="Y34" s="564"/>
      <c r="Z34" s="566"/>
      <c r="AA34" s="564"/>
      <c r="AB34" s="564"/>
      <c r="AC34" s="564"/>
      <c r="AD34" s="564"/>
      <c r="AE34" s="567">
        <v>47</v>
      </c>
      <c r="AF34" s="568">
        <f t="shared" si="4"/>
        <v>47</v>
      </c>
      <c r="AG34" s="569">
        <f t="shared" si="5"/>
        <v>47</v>
      </c>
      <c r="AM34" s="198"/>
      <c r="AN34" s="198"/>
      <c r="BB34" s="197"/>
    </row>
    <row r="35" spans="1:54" ht="24" thickBot="1">
      <c r="A35" s="686" t="s">
        <v>294</v>
      </c>
      <c r="B35" s="514"/>
      <c r="C35" s="850"/>
      <c r="D35" s="781"/>
      <c r="E35" s="509"/>
      <c r="F35" s="509"/>
      <c r="G35" s="509"/>
      <c r="H35" s="509"/>
      <c r="I35" s="510"/>
      <c r="J35" s="509"/>
      <c r="K35" s="509"/>
      <c r="L35" s="509"/>
      <c r="M35" s="958">
        <v>12</v>
      </c>
      <c r="N35" s="955">
        <f t="shared" si="0"/>
        <v>12</v>
      </c>
      <c r="O35" s="672">
        <f t="shared" si="1"/>
        <v>12</v>
      </c>
      <c r="P35" s="487">
        <f t="shared" si="2"/>
        <v>1.6483516483516485</v>
      </c>
      <c r="Q35" s="742"/>
      <c r="R35" s="115"/>
      <c r="S35" s="570" t="s">
        <v>326</v>
      </c>
      <c r="T35" s="571"/>
      <c r="U35" s="572"/>
      <c r="V35" s="572"/>
      <c r="W35" s="573"/>
      <c r="X35" s="572"/>
      <c r="Y35" s="572"/>
      <c r="Z35" s="573"/>
      <c r="AA35" s="572"/>
      <c r="AB35" s="572"/>
      <c r="AC35" s="572"/>
      <c r="AD35" s="572"/>
      <c r="AE35" s="574">
        <v>16</v>
      </c>
      <c r="AF35" s="575">
        <f t="shared" si="4"/>
        <v>16</v>
      </c>
      <c r="AG35" s="576">
        <f t="shared" si="5"/>
        <v>16</v>
      </c>
      <c r="AM35" s="198"/>
      <c r="AN35" s="198"/>
      <c r="BB35" s="197"/>
    </row>
    <row r="36" spans="1:54" ht="24" thickBot="1">
      <c r="A36" s="686" t="s">
        <v>295</v>
      </c>
      <c r="B36" s="514"/>
      <c r="C36" s="850"/>
      <c r="D36" s="781"/>
      <c r="E36" s="509"/>
      <c r="F36" s="509"/>
      <c r="G36" s="509"/>
      <c r="H36" s="509"/>
      <c r="I36" s="510"/>
      <c r="J36" s="509"/>
      <c r="K36" s="509"/>
      <c r="L36" s="509"/>
      <c r="M36" s="958">
        <v>14</v>
      </c>
      <c r="N36" s="955">
        <f t="shared" si="0"/>
        <v>14</v>
      </c>
      <c r="O36" s="672">
        <f t="shared" si="1"/>
        <v>14</v>
      </c>
      <c r="P36" s="487">
        <f t="shared" si="2"/>
        <v>1.9230769230769231</v>
      </c>
      <c r="Q36" s="6"/>
      <c r="R36" s="115"/>
      <c r="S36" s="552"/>
      <c r="T36" s="553"/>
      <c r="U36" s="553"/>
      <c r="V36" s="553"/>
      <c r="W36" s="553"/>
      <c r="X36" s="553"/>
      <c r="Y36" s="553"/>
      <c r="Z36" s="553"/>
      <c r="AA36" s="553"/>
      <c r="AB36" s="553"/>
      <c r="AC36" s="553"/>
      <c r="AD36" s="553"/>
      <c r="AE36" s="554"/>
      <c r="AF36" s="519"/>
      <c r="AG36" s="531"/>
      <c r="AM36" s="198"/>
      <c r="AN36" s="198"/>
      <c r="BB36" s="197"/>
    </row>
    <row r="37" spans="1:54" ht="24" thickBot="1">
      <c r="A37" s="686" t="s">
        <v>296</v>
      </c>
      <c r="B37" s="514"/>
      <c r="C37" s="850"/>
      <c r="D37" s="781"/>
      <c r="E37" s="509"/>
      <c r="F37" s="509"/>
      <c r="G37" s="509"/>
      <c r="H37" s="509"/>
      <c r="I37" s="510"/>
      <c r="J37" s="509"/>
      <c r="K37" s="509"/>
      <c r="L37" s="509"/>
      <c r="M37" s="958">
        <v>4</v>
      </c>
      <c r="N37" s="955">
        <f t="shared" si="0"/>
        <v>4</v>
      </c>
      <c r="O37" s="672">
        <f t="shared" si="1"/>
        <v>4</v>
      </c>
      <c r="P37" s="487">
        <f t="shared" si="2"/>
        <v>0.5494505494505495</v>
      </c>
      <c r="Q37" s="6"/>
      <c r="R37" s="115"/>
      <c r="S37" s="1011" t="s">
        <v>331</v>
      </c>
      <c r="T37" s="1012"/>
      <c r="U37" s="1012"/>
      <c r="V37" s="1012"/>
      <c r="W37" s="1012"/>
      <c r="X37" s="1012"/>
      <c r="Y37" s="1012"/>
      <c r="Z37" s="1012"/>
      <c r="AA37" s="1012"/>
      <c r="AB37" s="1012"/>
      <c r="AC37" s="1012"/>
      <c r="AD37" s="1012"/>
      <c r="AE37" s="1013"/>
      <c r="AF37" s="532"/>
      <c r="AG37" s="533"/>
      <c r="AM37" s="198"/>
      <c r="AN37" s="198"/>
      <c r="BB37" s="197"/>
    </row>
    <row r="38" spans="1:54" ht="24" thickBot="1">
      <c r="A38" s="686" t="s">
        <v>354</v>
      </c>
      <c r="B38" s="514"/>
      <c r="C38" s="850"/>
      <c r="D38" s="781"/>
      <c r="E38" s="509"/>
      <c r="F38" s="509"/>
      <c r="G38" s="509"/>
      <c r="H38" s="509"/>
      <c r="I38" s="510"/>
      <c r="J38" s="509"/>
      <c r="K38" s="509"/>
      <c r="L38" s="509"/>
      <c r="M38" s="958">
        <v>2</v>
      </c>
      <c r="N38" s="955">
        <f t="shared" si="0"/>
        <v>2</v>
      </c>
      <c r="O38" s="672">
        <f t="shared" si="1"/>
        <v>2</v>
      </c>
      <c r="P38" s="487">
        <f t="shared" si="2"/>
        <v>0.27472527472527475</v>
      </c>
      <c r="Q38" s="6"/>
      <c r="R38" s="115"/>
      <c r="S38" s="577" t="s">
        <v>328</v>
      </c>
      <c r="T38" s="578"/>
      <c r="U38" s="579"/>
      <c r="V38" s="579"/>
      <c r="W38" s="579"/>
      <c r="X38" s="579"/>
      <c r="Y38" s="579"/>
      <c r="Z38" s="579"/>
      <c r="AA38" s="579"/>
      <c r="AB38" s="579"/>
      <c r="AC38" s="579"/>
      <c r="AD38" s="579"/>
      <c r="AE38" s="580">
        <v>37</v>
      </c>
      <c r="AF38" s="581">
        <f t="shared" si="4"/>
        <v>37</v>
      </c>
      <c r="AG38" s="525">
        <f t="shared" si="5"/>
        <v>37</v>
      </c>
      <c r="AM38" s="198"/>
      <c r="AN38" s="198"/>
      <c r="BB38" s="197"/>
    </row>
    <row r="39" spans="1:54" ht="29.25" thickBot="1">
      <c r="A39" s="686" t="s">
        <v>297</v>
      </c>
      <c r="B39" s="514"/>
      <c r="C39" s="850"/>
      <c r="D39" s="781"/>
      <c r="E39" s="509"/>
      <c r="F39" s="509"/>
      <c r="G39" s="509"/>
      <c r="H39" s="509"/>
      <c r="I39" s="510"/>
      <c r="J39" s="509"/>
      <c r="K39" s="509"/>
      <c r="L39" s="509"/>
      <c r="M39" s="958">
        <v>46</v>
      </c>
      <c r="N39" s="955">
        <f t="shared" si="0"/>
        <v>46</v>
      </c>
      <c r="O39" s="672">
        <f t="shared" si="1"/>
        <v>46</v>
      </c>
      <c r="P39" s="487">
        <f t="shared" si="2"/>
        <v>6.3186813186813184</v>
      </c>
      <c r="Q39" s="6"/>
      <c r="R39" s="115"/>
      <c r="S39" s="582" t="s">
        <v>332</v>
      </c>
      <c r="T39" s="583">
        <f t="shared" ref="T39:AD39" si="7">SUM(T40:T41)</f>
        <v>0</v>
      </c>
      <c r="U39" s="583">
        <f t="shared" si="7"/>
        <v>0</v>
      </c>
      <c r="V39" s="583">
        <f t="shared" si="7"/>
        <v>0</v>
      </c>
      <c r="W39" s="583">
        <f t="shared" si="7"/>
        <v>0</v>
      </c>
      <c r="X39" s="583">
        <f t="shared" si="7"/>
        <v>0</v>
      </c>
      <c r="Y39" s="583">
        <f t="shared" si="7"/>
        <v>0</v>
      </c>
      <c r="Z39" s="583">
        <f t="shared" si="7"/>
        <v>0</v>
      </c>
      <c r="AA39" s="583">
        <f t="shared" si="7"/>
        <v>0</v>
      </c>
      <c r="AB39" s="583">
        <f t="shared" si="7"/>
        <v>0</v>
      </c>
      <c r="AC39" s="583">
        <f t="shared" si="7"/>
        <v>0</v>
      </c>
      <c r="AD39" s="583">
        <f t="shared" si="7"/>
        <v>0</v>
      </c>
      <c r="AE39" s="584">
        <f>SUM(AE40:AE41)</f>
        <v>53</v>
      </c>
      <c r="AF39" s="585">
        <f t="shared" si="4"/>
        <v>53</v>
      </c>
      <c r="AG39" s="586">
        <f>SUM(AG40:AG41)</f>
        <v>53</v>
      </c>
      <c r="AM39" s="198"/>
      <c r="AN39" s="198"/>
      <c r="BB39" s="197"/>
    </row>
    <row r="40" spans="1:54" ht="15.75" thickBot="1">
      <c r="A40" s="686" t="s">
        <v>298</v>
      </c>
      <c r="B40" s="514"/>
      <c r="C40" s="850"/>
      <c r="D40" s="781"/>
      <c r="E40" s="509"/>
      <c r="F40" s="509"/>
      <c r="G40" s="509"/>
      <c r="H40" s="509"/>
      <c r="I40" s="510"/>
      <c r="J40" s="509"/>
      <c r="K40" s="509"/>
      <c r="L40" s="509"/>
      <c r="M40" s="958">
        <v>2</v>
      </c>
      <c r="N40" s="955">
        <f t="shared" si="0"/>
        <v>2</v>
      </c>
      <c r="O40" s="672">
        <f t="shared" si="1"/>
        <v>2</v>
      </c>
      <c r="P40" s="487">
        <f t="shared" si="2"/>
        <v>0.27472527472527475</v>
      </c>
      <c r="Q40" s="742"/>
      <c r="R40" s="115"/>
      <c r="S40" s="587" t="s">
        <v>330</v>
      </c>
      <c r="T40" s="588"/>
      <c r="U40" s="589"/>
      <c r="V40" s="590"/>
      <c r="W40" s="589"/>
      <c r="X40" s="590"/>
      <c r="Y40" s="590"/>
      <c r="Z40" s="589"/>
      <c r="AA40" s="589"/>
      <c r="AB40" s="589"/>
      <c r="AC40" s="589"/>
      <c r="AD40" s="589"/>
      <c r="AE40" s="591">
        <v>27</v>
      </c>
      <c r="AF40" s="592">
        <f t="shared" si="4"/>
        <v>27</v>
      </c>
      <c r="AG40" s="593">
        <f t="shared" si="5"/>
        <v>27</v>
      </c>
      <c r="AM40" s="198"/>
      <c r="AN40" s="198"/>
      <c r="BB40" s="197"/>
    </row>
    <row r="41" spans="1:54" ht="24" thickBot="1">
      <c r="A41" s="686" t="s">
        <v>299</v>
      </c>
      <c r="B41" s="514"/>
      <c r="C41" s="850"/>
      <c r="D41" s="781"/>
      <c r="E41" s="509"/>
      <c r="F41" s="509"/>
      <c r="G41" s="509"/>
      <c r="H41" s="509"/>
      <c r="I41" s="510"/>
      <c r="J41" s="509"/>
      <c r="K41" s="509"/>
      <c r="L41" s="509"/>
      <c r="M41" s="958">
        <v>9</v>
      </c>
      <c r="N41" s="955">
        <f t="shared" si="0"/>
        <v>9</v>
      </c>
      <c r="O41" s="672">
        <f t="shared" si="1"/>
        <v>9</v>
      </c>
      <c r="P41" s="487">
        <f t="shared" si="2"/>
        <v>1.2362637362637363</v>
      </c>
      <c r="Q41" s="6"/>
      <c r="R41" s="115"/>
      <c r="S41" s="594" t="s">
        <v>326</v>
      </c>
      <c r="T41" s="595"/>
      <c r="U41" s="590"/>
      <c r="V41" s="596"/>
      <c r="W41" s="590"/>
      <c r="X41" s="596"/>
      <c r="Y41" s="596"/>
      <c r="Z41" s="590"/>
      <c r="AA41" s="590"/>
      <c r="AB41" s="590"/>
      <c r="AC41" s="590"/>
      <c r="AD41" s="590"/>
      <c r="AE41" s="597">
        <v>26</v>
      </c>
      <c r="AF41" s="598">
        <f t="shared" si="4"/>
        <v>26</v>
      </c>
      <c r="AG41" s="599">
        <f t="shared" si="5"/>
        <v>26</v>
      </c>
      <c r="AM41" s="198"/>
      <c r="AN41" s="198"/>
      <c r="BB41" s="197"/>
    </row>
    <row r="42" spans="1:54" ht="24" thickBot="1">
      <c r="A42" s="686" t="s">
        <v>300</v>
      </c>
      <c r="B42" s="514"/>
      <c r="C42" s="850"/>
      <c r="D42" s="781"/>
      <c r="E42" s="509"/>
      <c r="F42" s="509"/>
      <c r="G42" s="509"/>
      <c r="H42" s="509"/>
      <c r="I42" s="510"/>
      <c r="J42" s="509"/>
      <c r="K42" s="509"/>
      <c r="L42" s="509"/>
      <c r="M42" s="958">
        <v>8</v>
      </c>
      <c r="N42" s="955">
        <f t="shared" si="0"/>
        <v>8</v>
      </c>
      <c r="O42" s="672">
        <f t="shared" si="1"/>
        <v>8</v>
      </c>
      <c r="P42" s="487">
        <f t="shared" si="2"/>
        <v>1.098901098901099</v>
      </c>
      <c r="Q42" s="6"/>
      <c r="R42" s="115"/>
      <c r="S42" s="600" t="s">
        <v>281</v>
      </c>
      <c r="T42" s="578"/>
      <c r="U42" s="579"/>
      <c r="V42" s="579"/>
      <c r="W42" s="579"/>
      <c r="X42" s="579"/>
      <c r="Y42" s="579"/>
      <c r="Z42" s="579"/>
      <c r="AA42" s="579"/>
      <c r="AB42" s="579"/>
      <c r="AC42" s="579"/>
      <c r="AD42" s="579"/>
      <c r="AE42" s="580">
        <v>15</v>
      </c>
      <c r="AF42" s="601">
        <f t="shared" si="4"/>
        <v>15</v>
      </c>
      <c r="AG42" s="602">
        <f t="shared" si="5"/>
        <v>15</v>
      </c>
      <c r="AM42" s="198"/>
      <c r="AN42" s="198"/>
      <c r="BB42" s="197"/>
    </row>
    <row r="43" spans="1:54" ht="34.5" thickBot="1">
      <c r="A43" s="744" t="s">
        <v>301</v>
      </c>
      <c r="B43" s="514"/>
      <c r="C43" s="850"/>
      <c r="D43" s="781"/>
      <c r="E43" s="509"/>
      <c r="F43" s="509"/>
      <c r="G43" s="509"/>
      <c r="H43" s="509"/>
      <c r="I43" s="510"/>
      <c r="J43" s="509"/>
      <c r="K43" s="509"/>
      <c r="L43" s="509"/>
      <c r="M43" s="958">
        <v>9</v>
      </c>
      <c r="N43" s="955">
        <f t="shared" si="0"/>
        <v>9</v>
      </c>
      <c r="O43" s="672">
        <f t="shared" si="1"/>
        <v>9</v>
      </c>
      <c r="P43" s="487">
        <f t="shared" si="2"/>
        <v>1.2362637362637363</v>
      </c>
      <c r="Q43" s="6"/>
      <c r="R43" s="115"/>
      <c r="S43" s="642" t="s">
        <v>333</v>
      </c>
      <c r="T43" s="868"/>
      <c r="U43" s="604"/>
      <c r="V43" s="603"/>
      <c r="W43" s="603"/>
      <c r="X43" s="604"/>
      <c r="Y43" s="603"/>
      <c r="Z43" s="604"/>
      <c r="AA43" s="604"/>
      <c r="AB43" s="604"/>
      <c r="AC43" s="604"/>
      <c r="AD43" s="604"/>
      <c r="AE43" s="605">
        <v>3</v>
      </c>
      <c r="AF43" s="606">
        <f t="shared" si="4"/>
        <v>3</v>
      </c>
      <c r="AG43" s="586">
        <f t="shared" si="5"/>
        <v>3</v>
      </c>
      <c r="AM43" s="198"/>
      <c r="AN43" s="198"/>
      <c r="BB43" s="197"/>
    </row>
    <row r="44" spans="1:54" ht="24" thickBot="1">
      <c r="A44" s="686" t="s">
        <v>302</v>
      </c>
      <c r="B44" s="514"/>
      <c r="C44" s="850"/>
      <c r="D44" s="781"/>
      <c r="E44" s="509"/>
      <c r="F44" s="509"/>
      <c r="G44" s="509"/>
      <c r="H44" s="509"/>
      <c r="I44" s="510"/>
      <c r="J44" s="509"/>
      <c r="K44" s="509"/>
      <c r="L44" s="509"/>
      <c r="M44" s="958">
        <v>15</v>
      </c>
      <c r="N44" s="955">
        <f t="shared" si="0"/>
        <v>15</v>
      </c>
      <c r="O44" s="672">
        <f t="shared" si="1"/>
        <v>15</v>
      </c>
      <c r="P44" s="487">
        <f t="shared" si="2"/>
        <v>2.0604395604395602</v>
      </c>
      <c r="Q44" s="6"/>
      <c r="R44" s="115"/>
      <c r="S44" s="607"/>
      <c r="T44" s="608"/>
      <c r="U44" s="608"/>
      <c r="V44" s="608"/>
      <c r="W44" s="608"/>
      <c r="X44" s="608"/>
      <c r="Y44" s="608"/>
      <c r="Z44" s="608"/>
      <c r="AA44" s="608"/>
      <c r="AB44" s="608"/>
      <c r="AC44" s="608"/>
      <c r="AD44" s="608"/>
      <c r="AE44" s="609"/>
      <c r="AF44" s="610"/>
      <c r="AG44" s="611"/>
      <c r="AM44" s="198"/>
      <c r="AN44" s="198"/>
      <c r="BB44" s="197"/>
    </row>
    <row r="45" spans="1:54" ht="35.25" thickBot="1">
      <c r="A45" s="686" t="s">
        <v>282</v>
      </c>
      <c r="B45" s="514"/>
      <c r="C45" s="850"/>
      <c r="D45" s="781"/>
      <c r="E45" s="509"/>
      <c r="F45" s="509"/>
      <c r="G45" s="509"/>
      <c r="H45" s="509"/>
      <c r="I45" s="510"/>
      <c r="J45" s="509"/>
      <c r="K45" s="509"/>
      <c r="L45" s="509"/>
      <c r="M45" s="958">
        <v>4</v>
      </c>
      <c r="N45" s="955">
        <f t="shared" si="0"/>
        <v>4</v>
      </c>
      <c r="O45" s="672">
        <f t="shared" si="1"/>
        <v>4</v>
      </c>
      <c r="P45" s="487">
        <f t="shared" si="2"/>
        <v>0.5494505494505495</v>
      </c>
      <c r="Q45" s="6"/>
      <c r="R45" s="115"/>
      <c r="S45" s="992" t="s">
        <v>334</v>
      </c>
      <c r="T45" s="993"/>
      <c r="U45" s="993"/>
      <c r="V45" s="993"/>
      <c r="W45" s="993"/>
      <c r="X45" s="993"/>
      <c r="Y45" s="993"/>
      <c r="Z45" s="993"/>
      <c r="AA45" s="993"/>
      <c r="AB45" s="993"/>
      <c r="AC45" s="993"/>
      <c r="AD45" s="993"/>
      <c r="AE45" s="994"/>
      <c r="AF45" s="612"/>
      <c r="AG45" s="613"/>
      <c r="AM45" s="198"/>
      <c r="AN45" s="198"/>
      <c r="BB45" s="197"/>
    </row>
    <row r="46" spans="1:54" ht="35.25" thickBot="1">
      <c r="A46" s="686" t="s">
        <v>303</v>
      </c>
      <c r="B46" s="514"/>
      <c r="C46" s="850"/>
      <c r="D46" s="781"/>
      <c r="E46" s="509"/>
      <c r="F46" s="509"/>
      <c r="G46" s="509"/>
      <c r="H46" s="509"/>
      <c r="I46" s="510"/>
      <c r="J46" s="509"/>
      <c r="K46" s="509"/>
      <c r="L46" s="509"/>
      <c r="M46" s="958">
        <v>2</v>
      </c>
      <c r="N46" s="955">
        <f t="shared" si="0"/>
        <v>2</v>
      </c>
      <c r="O46" s="672">
        <f t="shared" si="1"/>
        <v>2</v>
      </c>
      <c r="P46" s="487">
        <f t="shared" si="2"/>
        <v>0.27472527472527475</v>
      </c>
      <c r="Q46" s="6"/>
      <c r="R46" s="115"/>
      <c r="S46" s="614" t="s">
        <v>328</v>
      </c>
      <c r="T46" s="615"/>
      <c r="U46" s="616"/>
      <c r="V46" s="616"/>
      <c r="W46" s="616"/>
      <c r="X46" s="616"/>
      <c r="Y46" s="616"/>
      <c r="Z46" s="616"/>
      <c r="AA46" s="616"/>
      <c r="AB46" s="616"/>
      <c r="AC46" s="617"/>
      <c r="AD46" s="616"/>
      <c r="AE46" s="618">
        <v>8</v>
      </c>
      <c r="AF46" s="619">
        <f t="shared" si="4"/>
        <v>8</v>
      </c>
      <c r="AG46" s="602">
        <f t="shared" si="5"/>
        <v>8</v>
      </c>
      <c r="AM46" s="198"/>
      <c r="AN46" s="198"/>
      <c r="BB46" s="197"/>
    </row>
    <row r="47" spans="1:54" ht="29.25" thickBot="1">
      <c r="A47" s="686" t="s">
        <v>304</v>
      </c>
      <c r="B47" s="514"/>
      <c r="C47" s="850"/>
      <c r="D47" s="781"/>
      <c r="E47" s="509"/>
      <c r="F47" s="509"/>
      <c r="G47" s="509"/>
      <c r="H47" s="509"/>
      <c r="I47" s="510"/>
      <c r="J47" s="509"/>
      <c r="K47" s="509"/>
      <c r="L47" s="509"/>
      <c r="M47" s="958">
        <v>38</v>
      </c>
      <c r="N47" s="955">
        <f t="shared" si="0"/>
        <v>38</v>
      </c>
      <c r="O47" s="672">
        <f t="shared" si="1"/>
        <v>38</v>
      </c>
      <c r="P47" s="487">
        <f t="shared" si="2"/>
        <v>5.2197802197802199</v>
      </c>
      <c r="Q47" s="6"/>
      <c r="R47" s="115"/>
      <c r="S47" s="620" t="s">
        <v>335</v>
      </c>
      <c r="T47" s="621">
        <f t="shared" ref="T47:AD47" si="8">SUM(T48:T49)</f>
        <v>0</v>
      </c>
      <c r="U47" s="621">
        <f t="shared" si="8"/>
        <v>0</v>
      </c>
      <c r="V47" s="621">
        <f t="shared" si="8"/>
        <v>0</v>
      </c>
      <c r="W47" s="621">
        <f t="shared" si="8"/>
        <v>0</v>
      </c>
      <c r="X47" s="621">
        <f t="shared" si="8"/>
        <v>0</v>
      </c>
      <c r="Y47" s="621">
        <f t="shared" si="8"/>
        <v>0</v>
      </c>
      <c r="Z47" s="621">
        <f t="shared" si="8"/>
        <v>0</v>
      </c>
      <c r="AA47" s="621">
        <f t="shared" si="8"/>
        <v>0</v>
      </c>
      <c r="AB47" s="621">
        <f t="shared" si="8"/>
        <v>0</v>
      </c>
      <c r="AC47" s="622">
        <f t="shared" si="8"/>
        <v>0</v>
      </c>
      <c r="AD47" s="621">
        <f t="shared" si="8"/>
        <v>0</v>
      </c>
      <c r="AE47" s="623">
        <f>SUM(AE48:AE49)</f>
        <v>32</v>
      </c>
      <c r="AF47" s="585">
        <f t="shared" si="4"/>
        <v>32</v>
      </c>
      <c r="AG47" s="586">
        <f>SUM(AG48:AG49)</f>
        <v>32</v>
      </c>
      <c r="AM47" s="198"/>
      <c r="AN47" s="198"/>
      <c r="BB47" s="197"/>
    </row>
    <row r="48" spans="1:54" ht="24" thickBot="1">
      <c r="A48" s="686" t="s">
        <v>305</v>
      </c>
      <c r="B48" s="514"/>
      <c r="C48" s="850"/>
      <c r="D48" s="781"/>
      <c r="E48" s="509"/>
      <c r="F48" s="509"/>
      <c r="G48" s="509"/>
      <c r="H48" s="509"/>
      <c r="I48" s="510"/>
      <c r="J48" s="509"/>
      <c r="K48" s="509"/>
      <c r="L48" s="509"/>
      <c r="M48" s="958">
        <v>7</v>
      </c>
      <c r="N48" s="955">
        <f t="shared" si="0"/>
        <v>7</v>
      </c>
      <c r="O48" s="672">
        <f t="shared" si="1"/>
        <v>7</v>
      </c>
      <c r="P48" s="487">
        <f t="shared" si="2"/>
        <v>0.96153846153846156</v>
      </c>
      <c r="Q48" s="6"/>
      <c r="R48" s="115"/>
      <c r="S48" s="624" t="s">
        <v>330</v>
      </c>
      <c r="T48" s="625"/>
      <c r="U48" s="626"/>
      <c r="V48" s="626"/>
      <c r="W48" s="626"/>
      <c r="X48" s="626"/>
      <c r="Y48" s="627"/>
      <c r="Z48" s="626"/>
      <c r="AA48" s="626"/>
      <c r="AB48" s="626"/>
      <c r="AC48" s="626"/>
      <c r="AD48" s="626"/>
      <c r="AE48" s="628">
        <v>0</v>
      </c>
      <c r="AF48" s="592">
        <f t="shared" si="4"/>
        <v>0</v>
      </c>
      <c r="AG48" s="593">
        <f t="shared" si="5"/>
        <v>0</v>
      </c>
      <c r="AM48" s="198"/>
      <c r="AN48" s="198"/>
      <c r="BB48" s="197"/>
    </row>
    <row r="49" spans="1:55" ht="24" thickBot="1">
      <c r="A49" s="686" t="s">
        <v>320</v>
      </c>
      <c r="B49" s="514"/>
      <c r="C49" s="850"/>
      <c r="D49" s="781"/>
      <c r="E49" s="509"/>
      <c r="F49" s="509"/>
      <c r="G49" s="509"/>
      <c r="H49" s="509"/>
      <c r="I49" s="510"/>
      <c r="J49" s="509"/>
      <c r="K49" s="509"/>
      <c r="L49" s="509"/>
      <c r="M49" s="958">
        <v>1</v>
      </c>
      <c r="N49" s="955">
        <f t="shared" si="0"/>
        <v>1</v>
      </c>
      <c r="O49" s="672">
        <f t="shared" si="1"/>
        <v>1</v>
      </c>
      <c r="P49" s="487">
        <f t="shared" si="2"/>
        <v>0.13736263736263737</v>
      </c>
      <c r="Q49" s="6"/>
      <c r="R49" s="115"/>
      <c r="S49" s="629" t="s">
        <v>326</v>
      </c>
      <c r="T49" s="630"/>
      <c r="U49" s="631"/>
      <c r="V49" s="631"/>
      <c r="W49" s="631"/>
      <c r="X49" s="631"/>
      <c r="Y49" s="632"/>
      <c r="Z49" s="631"/>
      <c r="AA49" s="631"/>
      <c r="AB49" s="631"/>
      <c r="AC49" s="631"/>
      <c r="AD49" s="631"/>
      <c r="AE49" s="633">
        <v>32</v>
      </c>
      <c r="AF49" s="598">
        <f t="shared" si="4"/>
        <v>32</v>
      </c>
      <c r="AG49" s="599">
        <f t="shared" si="5"/>
        <v>32</v>
      </c>
      <c r="AM49" s="198"/>
      <c r="AN49" s="198"/>
      <c r="BB49" s="197"/>
    </row>
    <row r="50" spans="1:55" ht="23.25">
      <c r="A50" s="686" t="s">
        <v>342</v>
      </c>
      <c r="B50" s="514"/>
      <c r="C50" s="850"/>
      <c r="D50" s="781"/>
      <c r="E50" s="509"/>
      <c r="F50" s="509"/>
      <c r="G50" s="509"/>
      <c r="H50" s="509"/>
      <c r="I50" s="510"/>
      <c r="J50" s="509"/>
      <c r="K50" s="509"/>
      <c r="L50" s="509"/>
      <c r="M50" s="958">
        <v>4</v>
      </c>
      <c r="N50" s="955">
        <f t="shared" si="0"/>
        <v>4</v>
      </c>
      <c r="O50" s="672">
        <f t="shared" si="1"/>
        <v>4</v>
      </c>
      <c r="P50" s="487">
        <f t="shared" si="2"/>
        <v>0.5494505494505495</v>
      </c>
      <c r="Q50" s="6"/>
      <c r="R50" s="115"/>
      <c r="BC50" s="198"/>
    </row>
    <row r="51" spans="1:55" ht="22.5">
      <c r="A51" s="689" t="s">
        <v>356</v>
      </c>
      <c r="B51" s="645"/>
      <c r="C51" s="850"/>
      <c r="D51" s="782"/>
      <c r="E51" s="643"/>
      <c r="F51" s="643"/>
      <c r="G51" s="643"/>
      <c r="H51" s="643"/>
      <c r="I51" s="643"/>
      <c r="J51" s="643"/>
      <c r="K51" s="644"/>
      <c r="L51" s="644"/>
      <c r="M51" s="958">
        <v>1</v>
      </c>
      <c r="N51" s="955">
        <f t="shared" si="0"/>
        <v>1</v>
      </c>
      <c r="O51" s="672">
        <f t="shared" si="1"/>
        <v>1</v>
      </c>
      <c r="P51" s="487">
        <f t="shared" si="2"/>
        <v>0.13736263736263737</v>
      </c>
      <c r="Q51" s="6"/>
      <c r="R51" s="115"/>
      <c r="BC51" s="198"/>
    </row>
    <row r="52" spans="1:55" ht="23.25">
      <c r="A52" s="686" t="s">
        <v>306</v>
      </c>
      <c r="B52" s="514"/>
      <c r="C52" s="850"/>
      <c r="D52" s="781"/>
      <c r="E52" s="509"/>
      <c r="F52" s="509"/>
      <c r="G52" s="509"/>
      <c r="H52" s="509"/>
      <c r="I52" s="510"/>
      <c r="J52" s="509"/>
      <c r="K52" s="509"/>
      <c r="L52" s="509"/>
      <c r="M52" s="958">
        <v>154</v>
      </c>
      <c r="N52" s="955">
        <f t="shared" si="0"/>
        <v>154</v>
      </c>
      <c r="O52" s="672">
        <f t="shared" si="1"/>
        <v>154</v>
      </c>
      <c r="P52" s="487">
        <f t="shared" si="2"/>
        <v>21.153846153846153</v>
      </c>
      <c r="Q52" s="742"/>
      <c r="R52" s="115"/>
      <c r="S52" s="674"/>
      <c r="AH52" s="480"/>
    </row>
    <row r="53" spans="1:55" ht="23.25">
      <c r="A53" s="686" t="s">
        <v>307</v>
      </c>
      <c r="B53" s="514"/>
      <c r="C53" s="850"/>
      <c r="D53" s="781"/>
      <c r="E53" s="509"/>
      <c r="F53" s="509"/>
      <c r="G53" s="509"/>
      <c r="H53" s="509"/>
      <c r="I53" s="510"/>
      <c r="J53" s="509"/>
      <c r="K53" s="509"/>
      <c r="L53" s="509"/>
      <c r="M53" s="958">
        <v>7</v>
      </c>
      <c r="N53" s="955">
        <f t="shared" si="0"/>
        <v>7</v>
      </c>
      <c r="O53" s="672">
        <f t="shared" si="1"/>
        <v>7</v>
      </c>
      <c r="P53" s="487">
        <f t="shared" si="2"/>
        <v>0.96153846153846156</v>
      </c>
      <c r="Q53" s="6"/>
      <c r="R53" s="115"/>
      <c r="S53" s="674"/>
    </row>
    <row r="54" spans="1:55" ht="23.25">
      <c r="A54" s="686" t="s">
        <v>308</v>
      </c>
      <c r="B54" s="514"/>
      <c r="C54" s="850"/>
      <c r="D54" s="781"/>
      <c r="E54" s="509"/>
      <c r="F54" s="509"/>
      <c r="G54" s="509"/>
      <c r="H54" s="509"/>
      <c r="I54" s="510"/>
      <c r="J54" s="509"/>
      <c r="K54" s="509"/>
      <c r="L54" s="509"/>
      <c r="M54" s="958">
        <v>30</v>
      </c>
      <c r="N54" s="955">
        <f t="shared" si="0"/>
        <v>30</v>
      </c>
      <c r="O54" s="672">
        <f t="shared" ref="O54:O87" si="9">AVERAGE(B54:M54)</f>
        <v>30</v>
      </c>
      <c r="P54" s="487">
        <f t="shared" si="2"/>
        <v>4.1208791208791204</v>
      </c>
      <c r="Q54" s="6"/>
      <c r="R54" s="115"/>
      <c r="S54" s="674"/>
    </row>
    <row r="55" spans="1:55" ht="23.25">
      <c r="A55" s="686" t="s">
        <v>309</v>
      </c>
      <c r="B55" s="514"/>
      <c r="C55" s="850"/>
      <c r="D55" s="781"/>
      <c r="E55" s="509"/>
      <c r="F55" s="509"/>
      <c r="G55" s="509"/>
      <c r="H55" s="509"/>
      <c r="I55" s="510"/>
      <c r="J55" s="509"/>
      <c r="K55" s="509"/>
      <c r="L55" s="509"/>
      <c r="M55" s="958">
        <v>20</v>
      </c>
      <c r="N55" s="955">
        <f t="shared" si="0"/>
        <v>20</v>
      </c>
      <c r="O55" s="672">
        <f t="shared" si="9"/>
        <v>20</v>
      </c>
      <c r="P55" s="487">
        <f t="shared" si="2"/>
        <v>2.7472527472527473</v>
      </c>
      <c r="Q55" s="6"/>
      <c r="R55" s="115"/>
      <c r="S55" s="674"/>
    </row>
    <row r="56" spans="1:55" ht="23.25">
      <c r="A56" s="743" t="s">
        <v>385</v>
      </c>
      <c r="B56" s="514"/>
      <c r="C56" s="850"/>
      <c r="D56" s="781"/>
      <c r="E56" s="509"/>
      <c r="F56" s="509"/>
      <c r="G56" s="509"/>
      <c r="H56" s="509"/>
      <c r="I56" s="510"/>
      <c r="J56" s="509"/>
      <c r="K56" s="509"/>
      <c r="L56" s="509"/>
      <c r="M56" s="958">
        <v>1</v>
      </c>
      <c r="N56" s="955">
        <f t="shared" si="0"/>
        <v>1</v>
      </c>
      <c r="O56" s="672"/>
      <c r="P56" s="487"/>
      <c r="Q56" s="742"/>
      <c r="R56" s="115"/>
      <c r="S56" s="674"/>
    </row>
    <row r="57" spans="1:55" ht="23.25">
      <c r="A57" s="691" t="s">
        <v>310</v>
      </c>
      <c r="B57" s="514"/>
      <c r="C57" s="850"/>
      <c r="D57" s="781"/>
      <c r="E57" s="509"/>
      <c r="F57" s="509"/>
      <c r="G57" s="509"/>
      <c r="H57" s="509"/>
      <c r="I57" s="510"/>
      <c r="J57" s="509"/>
      <c r="K57" s="509"/>
      <c r="L57" s="509"/>
      <c r="M57" s="958">
        <v>20</v>
      </c>
      <c r="N57" s="955">
        <f t="shared" si="0"/>
        <v>20</v>
      </c>
      <c r="O57" s="672">
        <f t="shared" si="9"/>
        <v>20</v>
      </c>
      <c r="P57" s="487">
        <f>(N57/$N$98)*100</f>
        <v>2.7472527472527473</v>
      </c>
      <c r="Q57" s="742"/>
      <c r="R57" s="115"/>
      <c r="S57" s="674"/>
    </row>
    <row r="58" spans="1:55">
      <c r="A58" s="691" t="s">
        <v>311</v>
      </c>
      <c r="B58" s="514"/>
      <c r="C58" s="850"/>
      <c r="D58" s="781"/>
      <c r="E58" s="509"/>
      <c r="F58" s="509"/>
      <c r="G58" s="509"/>
      <c r="H58" s="509"/>
      <c r="I58" s="510"/>
      <c r="J58" s="509"/>
      <c r="K58" s="509"/>
      <c r="L58" s="509"/>
      <c r="M58" s="958">
        <v>6</v>
      </c>
      <c r="N58" s="955">
        <f t="shared" si="0"/>
        <v>6</v>
      </c>
      <c r="O58" s="672">
        <f t="shared" si="9"/>
        <v>6</v>
      </c>
      <c r="P58" s="487">
        <f>(N58/$N$98)*100</f>
        <v>0.82417582417582425</v>
      </c>
      <c r="Q58" s="742"/>
      <c r="R58" s="115"/>
      <c r="S58" s="674"/>
    </row>
    <row r="59" spans="1:55">
      <c r="A59" s="722" t="s">
        <v>343</v>
      </c>
      <c r="B59" s="514"/>
      <c r="C59" s="850"/>
      <c r="D59" s="781"/>
      <c r="E59" s="509"/>
      <c r="F59" s="509"/>
      <c r="G59" s="509"/>
      <c r="H59" s="509"/>
      <c r="I59" s="510"/>
      <c r="J59" s="509"/>
      <c r="K59" s="509"/>
      <c r="L59" s="509"/>
      <c r="M59" s="958">
        <v>1</v>
      </c>
      <c r="N59" s="955">
        <f t="shared" si="0"/>
        <v>1</v>
      </c>
      <c r="O59" s="672">
        <f t="shared" si="9"/>
        <v>1</v>
      </c>
      <c r="P59" s="487">
        <f>(N59/$N$98)*100</f>
        <v>0.13736263736263737</v>
      </c>
      <c r="Q59" s="742"/>
      <c r="R59" s="115"/>
      <c r="S59" s="674"/>
    </row>
    <row r="60" spans="1:55" ht="34.5">
      <c r="A60" s="690" t="s">
        <v>352</v>
      </c>
      <c r="B60" s="514"/>
      <c r="C60" s="850"/>
      <c r="D60" s="781"/>
      <c r="E60" s="509"/>
      <c r="F60" s="509"/>
      <c r="G60" s="509"/>
      <c r="H60" s="509"/>
      <c r="I60" s="510"/>
      <c r="J60" s="509"/>
      <c r="K60" s="509"/>
      <c r="L60" s="509"/>
      <c r="M60" s="958">
        <v>3</v>
      </c>
      <c r="N60" s="955">
        <f t="shared" si="0"/>
        <v>3</v>
      </c>
      <c r="O60" s="672">
        <f t="shared" si="9"/>
        <v>3</v>
      </c>
      <c r="P60" s="487">
        <f>(N60/$N$98)*100</f>
        <v>0.41208791208791212</v>
      </c>
      <c r="Q60" s="6"/>
      <c r="R60" s="115"/>
      <c r="S60" s="674"/>
      <c r="AL60" s="210"/>
    </row>
    <row r="61" spans="1:55" ht="23.25">
      <c r="A61" s="690" t="s">
        <v>355</v>
      </c>
      <c r="B61" s="514"/>
      <c r="C61" s="850"/>
      <c r="D61" s="781"/>
      <c r="E61" s="509"/>
      <c r="F61" s="509"/>
      <c r="G61" s="509"/>
      <c r="H61" s="509"/>
      <c r="I61" s="510"/>
      <c r="J61" s="509"/>
      <c r="K61" s="509"/>
      <c r="L61" s="509"/>
      <c r="M61" s="958">
        <v>3</v>
      </c>
      <c r="N61" s="955">
        <f t="shared" si="0"/>
        <v>3</v>
      </c>
      <c r="O61" s="672">
        <f t="shared" si="9"/>
        <v>3</v>
      </c>
      <c r="P61" s="487">
        <f>(N61/$N$98)*100</f>
        <v>0.41208791208791212</v>
      </c>
      <c r="Q61" s="6"/>
      <c r="R61" s="115"/>
      <c r="S61" s="674"/>
    </row>
    <row r="62" spans="1:55" ht="34.5">
      <c r="A62" s="743" t="s">
        <v>386</v>
      </c>
      <c r="B62" s="514"/>
      <c r="C62" s="850"/>
      <c r="D62" s="781"/>
      <c r="E62" s="509"/>
      <c r="F62" s="509"/>
      <c r="G62" s="509"/>
      <c r="H62" s="509"/>
      <c r="I62" s="510"/>
      <c r="J62" s="509"/>
      <c r="K62" s="509"/>
      <c r="L62" s="509"/>
      <c r="M62" s="958">
        <v>0</v>
      </c>
      <c r="N62" s="955">
        <f t="shared" si="0"/>
        <v>0</v>
      </c>
      <c r="O62" s="672"/>
      <c r="P62" s="487"/>
      <c r="Q62" s="742"/>
      <c r="R62" s="115"/>
      <c r="S62" s="674"/>
    </row>
    <row r="63" spans="1:55" ht="22.5">
      <c r="A63" s="689" t="s">
        <v>345</v>
      </c>
      <c r="B63" s="645"/>
      <c r="C63" s="850"/>
      <c r="D63" s="782"/>
      <c r="E63" s="643"/>
      <c r="F63" s="643"/>
      <c r="G63" s="643"/>
      <c r="H63" s="643"/>
      <c r="I63" s="643"/>
      <c r="J63" s="643"/>
      <c r="K63" s="644"/>
      <c r="L63" s="644"/>
      <c r="M63" s="958">
        <v>0</v>
      </c>
      <c r="N63" s="955">
        <f t="shared" si="0"/>
        <v>0</v>
      </c>
      <c r="O63" s="672">
        <f t="shared" si="9"/>
        <v>0</v>
      </c>
      <c r="P63" s="487">
        <f t="shared" ref="P63:P88" si="10">(N63/$N$98)*100</f>
        <v>0</v>
      </c>
      <c r="Q63" s="742"/>
      <c r="R63" s="115"/>
      <c r="S63" s="674"/>
    </row>
    <row r="64" spans="1:55" ht="24.95" customHeight="1">
      <c r="A64" s="686" t="s">
        <v>313</v>
      </c>
      <c r="B64" s="514"/>
      <c r="C64" s="850"/>
      <c r="D64" s="781"/>
      <c r="E64" s="509"/>
      <c r="F64" s="509"/>
      <c r="G64" s="509"/>
      <c r="H64" s="509"/>
      <c r="I64" s="510"/>
      <c r="J64" s="509"/>
      <c r="K64" s="509"/>
      <c r="L64" s="509"/>
      <c r="M64" s="958">
        <v>2</v>
      </c>
      <c r="N64" s="955">
        <f t="shared" si="0"/>
        <v>2</v>
      </c>
      <c r="O64" s="672">
        <f t="shared" si="9"/>
        <v>2</v>
      </c>
      <c r="P64" s="487">
        <f t="shared" si="10"/>
        <v>0.27472527472527475</v>
      </c>
      <c r="Q64" s="742"/>
      <c r="R64" s="115"/>
      <c r="S64" s="115"/>
    </row>
    <row r="65" spans="1:38" ht="24.95" customHeight="1">
      <c r="A65" s="686" t="s">
        <v>314</v>
      </c>
      <c r="B65" s="514"/>
      <c r="C65" s="850"/>
      <c r="D65" s="781"/>
      <c r="E65" s="509"/>
      <c r="F65" s="509"/>
      <c r="G65" s="509"/>
      <c r="H65" s="509"/>
      <c r="I65" s="510"/>
      <c r="J65" s="509"/>
      <c r="K65" s="509"/>
      <c r="L65" s="509"/>
      <c r="M65" s="958">
        <v>3</v>
      </c>
      <c r="N65" s="955">
        <f t="shared" si="0"/>
        <v>3</v>
      </c>
      <c r="O65" s="672">
        <f t="shared" si="9"/>
        <v>3</v>
      </c>
      <c r="P65" s="487">
        <f t="shared" si="10"/>
        <v>0.41208791208791212</v>
      </c>
      <c r="Q65" s="742"/>
      <c r="R65" s="115"/>
      <c r="S65" s="115"/>
    </row>
    <row r="66" spans="1:38" ht="24.95" customHeight="1">
      <c r="A66" s="686" t="s">
        <v>169</v>
      </c>
      <c r="B66" s="514"/>
      <c r="C66" s="850"/>
      <c r="D66" s="781"/>
      <c r="E66" s="509"/>
      <c r="F66" s="509"/>
      <c r="G66" s="509"/>
      <c r="H66" s="509"/>
      <c r="I66" s="510"/>
      <c r="J66" s="509"/>
      <c r="K66" s="509"/>
      <c r="L66" s="509"/>
      <c r="M66" s="958">
        <v>5</v>
      </c>
      <c r="N66" s="955">
        <f t="shared" si="0"/>
        <v>5</v>
      </c>
      <c r="O66" s="672">
        <f t="shared" si="9"/>
        <v>5</v>
      </c>
      <c r="P66" s="487">
        <f t="shared" si="10"/>
        <v>0.68681318681318682</v>
      </c>
      <c r="Q66" s="6"/>
      <c r="R66" s="115"/>
      <c r="S66" s="115"/>
      <c r="AL66" s="211"/>
    </row>
    <row r="67" spans="1:38" ht="24.95" customHeight="1">
      <c r="A67" s="686" t="s">
        <v>170</v>
      </c>
      <c r="B67" s="514"/>
      <c r="C67" s="850"/>
      <c r="D67" s="781"/>
      <c r="E67" s="509"/>
      <c r="F67" s="509"/>
      <c r="G67" s="509"/>
      <c r="H67" s="509"/>
      <c r="I67" s="510"/>
      <c r="J67" s="509"/>
      <c r="K67" s="509"/>
      <c r="L67" s="509"/>
      <c r="M67" s="958">
        <v>4</v>
      </c>
      <c r="N67" s="955">
        <f t="shared" si="0"/>
        <v>4</v>
      </c>
      <c r="O67" s="672">
        <f t="shared" si="9"/>
        <v>4</v>
      </c>
      <c r="P67" s="487">
        <f t="shared" si="10"/>
        <v>0.5494505494505495</v>
      </c>
      <c r="Q67" s="6"/>
      <c r="R67" s="115"/>
      <c r="S67" s="115"/>
      <c r="AL67" s="211"/>
    </row>
    <row r="68" spans="1:38" ht="24.95" customHeight="1">
      <c r="A68" s="686" t="s">
        <v>171</v>
      </c>
      <c r="B68" s="514"/>
      <c r="C68" s="850"/>
      <c r="D68" s="781"/>
      <c r="E68" s="509"/>
      <c r="F68" s="509"/>
      <c r="G68" s="509"/>
      <c r="H68" s="509"/>
      <c r="I68" s="510"/>
      <c r="J68" s="509"/>
      <c r="K68" s="509"/>
      <c r="L68" s="509"/>
      <c r="M68" s="958">
        <v>3</v>
      </c>
      <c r="N68" s="955">
        <f t="shared" si="0"/>
        <v>3</v>
      </c>
      <c r="O68" s="672">
        <f t="shared" si="9"/>
        <v>3</v>
      </c>
      <c r="P68" s="487">
        <f t="shared" si="10"/>
        <v>0.41208791208791212</v>
      </c>
      <c r="Q68" s="6"/>
      <c r="R68" s="115"/>
      <c r="S68" s="115"/>
      <c r="AL68" s="211"/>
    </row>
    <row r="69" spans="1:38" ht="24.95" customHeight="1">
      <c r="A69" s="686" t="s">
        <v>315</v>
      </c>
      <c r="B69" s="514"/>
      <c r="C69" s="850"/>
      <c r="D69" s="781"/>
      <c r="E69" s="509"/>
      <c r="F69" s="509"/>
      <c r="G69" s="509"/>
      <c r="H69" s="509"/>
      <c r="I69" s="510"/>
      <c r="J69" s="509"/>
      <c r="K69" s="509"/>
      <c r="L69" s="509"/>
      <c r="M69" s="958">
        <v>3</v>
      </c>
      <c r="N69" s="955">
        <f t="shared" si="0"/>
        <v>3</v>
      </c>
      <c r="O69" s="672">
        <f t="shared" si="9"/>
        <v>3</v>
      </c>
      <c r="P69" s="487">
        <f t="shared" si="10"/>
        <v>0.41208791208791212</v>
      </c>
      <c r="Q69" s="6"/>
      <c r="R69" s="115"/>
      <c r="S69" s="115"/>
      <c r="AL69" s="211"/>
    </row>
    <row r="70" spans="1:38" ht="24.95" customHeight="1">
      <c r="A70" s="686" t="s">
        <v>173</v>
      </c>
      <c r="B70" s="514"/>
      <c r="C70" s="850"/>
      <c r="D70" s="781"/>
      <c r="E70" s="509"/>
      <c r="F70" s="509"/>
      <c r="G70" s="509"/>
      <c r="H70" s="509"/>
      <c r="I70" s="510"/>
      <c r="J70" s="509"/>
      <c r="K70" s="509"/>
      <c r="L70" s="509"/>
      <c r="M70" s="958">
        <v>4</v>
      </c>
      <c r="N70" s="955">
        <f t="shared" si="0"/>
        <v>4</v>
      </c>
      <c r="O70" s="672">
        <f t="shared" si="9"/>
        <v>4</v>
      </c>
      <c r="P70" s="487">
        <f t="shared" si="10"/>
        <v>0.5494505494505495</v>
      </c>
      <c r="Q70" s="6"/>
      <c r="R70" s="115"/>
      <c r="S70" s="115"/>
      <c r="AL70" s="211"/>
    </row>
    <row r="71" spans="1:38" ht="24.95" customHeight="1">
      <c r="A71" s="686" t="s">
        <v>174</v>
      </c>
      <c r="B71" s="514"/>
      <c r="C71" s="850"/>
      <c r="D71" s="781"/>
      <c r="E71" s="509"/>
      <c r="F71" s="509"/>
      <c r="G71" s="509"/>
      <c r="H71" s="509"/>
      <c r="I71" s="510"/>
      <c r="J71" s="509"/>
      <c r="K71" s="509"/>
      <c r="L71" s="509"/>
      <c r="M71" s="958">
        <v>3</v>
      </c>
      <c r="N71" s="955">
        <f t="shared" si="0"/>
        <v>3</v>
      </c>
      <c r="O71" s="672">
        <f t="shared" si="9"/>
        <v>3</v>
      </c>
      <c r="P71" s="487">
        <f t="shared" si="10"/>
        <v>0.41208791208791212</v>
      </c>
      <c r="Q71" s="6"/>
      <c r="R71" s="115"/>
      <c r="S71" s="115"/>
    </row>
    <row r="72" spans="1:38" ht="24.95" customHeight="1">
      <c r="A72" s="686" t="s">
        <v>175</v>
      </c>
      <c r="B72" s="514"/>
      <c r="C72" s="850"/>
      <c r="D72" s="781"/>
      <c r="E72" s="509"/>
      <c r="F72" s="509"/>
      <c r="G72" s="509"/>
      <c r="H72" s="509"/>
      <c r="I72" s="510"/>
      <c r="J72" s="509"/>
      <c r="K72" s="509"/>
      <c r="L72" s="509"/>
      <c r="M72" s="958">
        <v>4</v>
      </c>
      <c r="N72" s="955">
        <f t="shared" si="0"/>
        <v>4</v>
      </c>
      <c r="O72" s="672">
        <f t="shared" si="9"/>
        <v>4</v>
      </c>
      <c r="P72" s="487">
        <f t="shared" si="10"/>
        <v>0.5494505494505495</v>
      </c>
      <c r="Q72" s="6"/>
      <c r="R72" s="115"/>
      <c r="S72" s="115"/>
    </row>
    <row r="73" spans="1:38" ht="24.95" customHeight="1">
      <c r="A73" s="686" t="s">
        <v>316</v>
      </c>
      <c r="B73" s="514"/>
      <c r="C73" s="850"/>
      <c r="D73" s="781"/>
      <c r="E73" s="509"/>
      <c r="F73" s="509"/>
      <c r="G73" s="509"/>
      <c r="H73" s="509"/>
      <c r="I73" s="510"/>
      <c r="J73" s="509"/>
      <c r="K73" s="509"/>
      <c r="L73" s="509"/>
      <c r="M73" s="958">
        <v>3</v>
      </c>
      <c r="N73" s="955">
        <f t="shared" si="0"/>
        <v>3</v>
      </c>
      <c r="O73" s="672">
        <f t="shared" si="9"/>
        <v>3</v>
      </c>
      <c r="P73" s="487">
        <f t="shared" si="10"/>
        <v>0.41208791208791212</v>
      </c>
      <c r="Q73" s="6"/>
      <c r="R73" s="115"/>
      <c r="S73" s="115"/>
    </row>
    <row r="74" spans="1:38" ht="24.95" customHeight="1">
      <c r="A74" s="686" t="s">
        <v>177</v>
      </c>
      <c r="B74" s="514"/>
      <c r="C74" s="850"/>
      <c r="D74" s="781"/>
      <c r="E74" s="509"/>
      <c r="F74" s="509"/>
      <c r="G74" s="509"/>
      <c r="H74" s="509"/>
      <c r="I74" s="510"/>
      <c r="J74" s="509"/>
      <c r="K74" s="509"/>
      <c r="L74" s="509"/>
      <c r="M74" s="958">
        <v>3</v>
      </c>
      <c r="N74" s="955">
        <f t="shared" si="0"/>
        <v>3</v>
      </c>
      <c r="O74" s="672">
        <f t="shared" si="9"/>
        <v>3</v>
      </c>
      <c r="P74" s="487">
        <f t="shared" si="10"/>
        <v>0.41208791208791212</v>
      </c>
      <c r="Q74" s="6"/>
      <c r="R74" s="115"/>
      <c r="S74" s="115"/>
    </row>
    <row r="75" spans="1:38" ht="24.95" customHeight="1">
      <c r="A75" s="686" t="s">
        <v>178</v>
      </c>
      <c r="B75" s="514"/>
      <c r="C75" s="850"/>
      <c r="D75" s="781"/>
      <c r="E75" s="509"/>
      <c r="F75" s="509"/>
      <c r="G75" s="509"/>
      <c r="H75" s="509"/>
      <c r="I75" s="510"/>
      <c r="J75" s="509"/>
      <c r="K75" s="509"/>
      <c r="L75" s="509"/>
      <c r="M75" s="958">
        <v>4</v>
      </c>
      <c r="N75" s="955">
        <f t="shared" si="0"/>
        <v>4</v>
      </c>
      <c r="O75" s="672">
        <f t="shared" si="9"/>
        <v>4</v>
      </c>
      <c r="P75" s="487">
        <f t="shared" si="10"/>
        <v>0.5494505494505495</v>
      </c>
      <c r="Q75" s="6"/>
      <c r="R75" s="115"/>
      <c r="S75" s="115"/>
    </row>
    <row r="76" spans="1:38" ht="24.95" customHeight="1">
      <c r="A76" s="686" t="s">
        <v>179</v>
      </c>
      <c r="B76" s="514"/>
      <c r="C76" s="850"/>
      <c r="D76" s="781"/>
      <c r="E76" s="509"/>
      <c r="F76" s="509"/>
      <c r="G76" s="509"/>
      <c r="H76" s="509"/>
      <c r="I76" s="510"/>
      <c r="J76" s="509"/>
      <c r="K76" s="509"/>
      <c r="L76" s="509"/>
      <c r="M76" s="958">
        <v>4</v>
      </c>
      <c r="N76" s="955">
        <f t="shared" si="0"/>
        <v>4</v>
      </c>
      <c r="O76" s="672">
        <f t="shared" si="9"/>
        <v>4</v>
      </c>
      <c r="P76" s="487">
        <f t="shared" si="10"/>
        <v>0.5494505494505495</v>
      </c>
      <c r="Q76" s="6"/>
      <c r="R76" s="115"/>
      <c r="S76" s="115"/>
    </row>
    <row r="77" spans="1:38" ht="24.95" customHeight="1">
      <c r="A77" s="686" t="s">
        <v>180</v>
      </c>
      <c r="B77" s="514"/>
      <c r="C77" s="850"/>
      <c r="D77" s="781"/>
      <c r="E77" s="509"/>
      <c r="F77" s="509"/>
      <c r="G77" s="509"/>
      <c r="H77" s="509"/>
      <c r="I77" s="510"/>
      <c r="J77" s="509"/>
      <c r="K77" s="509"/>
      <c r="L77" s="509"/>
      <c r="M77" s="958">
        <v>7</v>
      </c>
      <c r="N77" s="955">
        <f t="shared" si="0"/>
        <v>7</v>
      </c>
      <c r="O77" s="672">
        <f t="shared" si="9"/>
        <v>7</v>
      </c>
      <c r="P77" s="487">
        <f t="shared" si="10"/>
        <v>0.96153846153846156</v>
      </c>
      <c r="Q77" s="6"/>
      <c r="R77" s="115"/>
      <c r="S77" s="115"/>
    </row>
    <row r="78" spans="1:38" ht="24.95" customHeight="1">
      <c r="A78" s="691" t="s">
        <v>181</v>
      </c>
      <c r="B78" s="514"/>
      <c r="C78" s="850"/>
      <c r="D78" s="781"/>
      <c r="E78" s="509"/>
      <c r="F78" s="509"/>
      <c r="G78" s="509"/>
      <c r="H78" s="509"/>
      <c r="I78" s="510"/>
      <c r="J78" s="509"/>
      <c r="K78" s="509"/>
      <c r="L78" s="509"/>
      <c r="M78" s="958">
        <v>4</v>
      </c>
      <c r="N78" s="955">
        <f t="shared" si="0"/>
        <v>4</v>
      </c>
      <c r="O78" s="672">
        <f t="shared" si="9"/>
        <v>4</v>
      </c>
      <c r="P78" s="487">
        <f t="shared" si="10"/>
        <v>0.5494505494505495</v>
      </c>
      <c r="Q78" s="6"/>
      <c r="R78" s="115"/>
      <c r="S78" s="115"/>
    </row>
    <row r="79" spans="1:38" ht="24.95" customHeight="1">
      <c r="A79" s="686" t="s">
        <v>182</v>
      </c>
      <c r="B79" s="514"/>
      <c r="C79" s="850"/>
      <c r="D79" s="781"/>
      <c r="E79" s="509"/>
      <c r="F79" s="509"/>
      <c r="G79" s="509"/>
      <c r="H79" s="509"/>
      <c r="I79" s="510"/>
      <c r="J79" s="509"/>
      <c r="K79" s="509"/>
      <c r="L79" s="509"/>
      <c r="M79" s="958">
        <v>3</v>
      </c>
      <c r="N79" s="955">
        <f t="shared" si="0"/>
        <v>3</v>
      </c>
      <c r="O79" s="672">
        <f t="shared" si="9"/>
        <v>3</v>
      </c>
      <c r="P79" s="487">
        <f t="shared" si="10"/>
        <v>0.41208791208791212</v>
      </c>
      <c r="Q79" s="6"/>
      <c r="R79" s="115"/>
      <c r="S79" s="115"/>
    </row>
    <row r="80" spans="1:38" ht="24.95" customHeight="1">
      <c r="A80" s="686" t="s">
        <v>183</v>
      </c>
      <c r="B80" s="514"/>
      <c r="C80" s="850"/>
      <c r="D80" s="781"/>
      <c r="E80" s="509"/>
      <c r="F80" s="509"/>
      <c r="G80" s="509"/>
      <c r="H80" s="509"/>
      <c r="I80" s="510"/>
      <c r="J80" s="509"/>
      <c r="K80" s="509"/>
      <c r="L80" s="509"/>
      <c r="M80" s="958">
        <v>4</v>
      </c>
      <c r="N80" s="955">
        <f t="shared" si="0"/>
        <v>4</v>
      </c>
      <c r="O80" s="672">
        <f t="shared" si="9"/>
        <v>4</v>
      </c>
      <c r="P80" s="487">
        <f t="shared" si="10"/>
        <v>0.5494505494505495</v>
      </c>
      <c r="Q80" s="6"/>
      <c r="R80" s="115"/>
      <c r="S80" s="115"/>
    </row>
    <row r="81" spans="1:19" ht="24.95" customHeight="1">
      <c r="A81" s="692" t="s">
        <v>353</v>
      </c>
      <c r="B81" s="514"/>
      <c r="C81" s="850"/>
      <c r="D81" s="781"/>
      <c r="E81" s="509"/>
      <c r="F81" s="509"/>
      <c r="G81" s="509"/>
      <c r="H81" s="509"/>
      <c r="I81" s="510"/>
      <c r="J81" s="509"/>
      <c r="K81" s="509"/>
      <c r="L81" s="509"/>
      <c r="M81" s="958">
        <v>3</v>
      </c>
      <c r="N81" s="955">
        <f t="shared" si="0"/>
        <v>3</v>
      </c>
      <c r="O81" s="672">
        <f t="shared" si="9"/>
        <v>3</v>
      </c>
      <c r="P81" s="487">
        <f t="shared" si="10"/>
        <v>0.41208791208791212</v>
      </c>
      <c r="Q81" s="6"/>
      <c r="R81" s="115"/>
      <c r="S81" s="115"/>
    </row>
    <row r="82" spans="1:19" ht="24.95" customHeight="1">
      <c r="A82" s="686" t="s">
        <v>185</v>
      </c>
      <c r="B82" s="514"/>
      <c r="C82" s="850"/>
      <c r="D82" s="781"/>
      <c r="E82" s="509"/>
      <c r="F82" s="509"/>
      <c r="G82" s="509"/>
      <c r="H82" s="509"/>
      <c r="I82" s="510"/>
      <c r="J82" s="509"/>
      <c r="K82" s="509"/>
      <c r="L82" s="509"/>
      <c r="M82" s="958">
        <v>3</v>
      </c>
      <c r="N82" s="955">
        <f t="shared" si="0"/>
        <v>3</v>
      </c>
      <c r="O82" s="672">
        <f t="shared" si="9"/>
        <v>3</v>
      </c>
      <c r="P82" s="487">
        <f t="shared" si="10"/>
        <v>0.41208791208791212</v>
      </c>
      <c r="Q82" s="6"/>
      <c r="R82" s="115"/>
      <c r="S82" s="115"/>
    </row>
    <row r="83" spans="1:19" ht="24.95" customHeight="1">
      <c r="A83" s="686" t="s">
        <v>186</v>
      </c>
      <c r="B83" s="514"/>
      <c r="C83" s="850"/>
      <c r="D83" s="781"/>
      <c r="E83" s="509"/>
      <c r="F83" s="509"/>
      <c r="G83" s="509"/>
      <c r="H83" s="509"/>
      <c r="I83" s="510"/>
      <c r="J83" s="509"/>
      <c r="K83" s="509"/>
      <c r="L83" s="509"/>
      <c r="M83" s="958">
        <v>3</v>
      </c>
      <c r="N83" s="955">
        <f t="shared" si="0"/>
        <v>3</v>
      </c>
      <c r="O83" s="672">
        <f t="shared" si="9"/>
        <v>3</v>
      </c>
      <c r="P83" s="487">
        <f t="shared" si="10"/>
        <v>0.41208791208791212</v>
      </c>
      <c r="Q83" s="6"/>
      <c r="R83" s="115"/>
      <c r="S83" s="115"/>
    </row>
    <row r="84" spans="1:19" ht="24.95" customHeight="1">
      <c r="A84" s="686" t="s">
        <v>187</v>
      </c>
      <c r="B84" s="514"/>
      <c r="C84" s="850"/>
      <c r="D84" s="781"/>
      <c r="E84" s="509"/>
      <c r="F84" s="509"/>
      <c r="G84" s="509"/>
      <c r="H84" s="509"/>
      <c r="I84" s="510"/>
      <c r="J84" s="509"/>
      <c r="K84" s="509"/>
      <c r="L84" s="509"/>
      <c r="M84" s="958">
        <v>4</v>
      </c>
      <c r="N84" s="955">
        <f t="shared" si="0"/>
        <v>4</v>
      </c>
      <c r="O84" s="672">
        <f t="shared" si="9"/>
        <v>4</v>
      </c>
      <c r="P84" s="487">
        <f t="shared" si="10"/>
        <v>0.5494505494505495</v>
      </c>
      <c r="Q84" s="6"/>
      <c r="R84" s="115"/>
      <c r="S84" s="115"/>
    </row>
    <row r="85" spans="1:19" ht="24.95" customHeight="1">
      <c r="A85" s="686" t="s">
        <v>188</v>
      </c>
      <c r="B85" s="514"/>
      <c r="C85" s="850"/>
      <c r="D85" s="781"/>
      <c r="E85" s="509"/>
      <c r="F85" s="509"/>
      <c r="G85" s="509"/>
      <c r="H85" s="509"/>
      <c r="I85" s="510"/>
      <c r="J85" s="509"/>
      <c r="K85" s="509"/>
      <c r="L85" s="509"/>
      <c r="M85" s="958">
        <v>5</v>
      </c>
      <c r="N85" s="955">
        <f t="shared" si="0"/>
        <v>5</v>
      </c>
      <c r="O85" s="672">
        <f t="shared" si="9"/>
        <v>5</v>
      </c>
      <c r="P85" s="487">
        <f t="shared" si="10"/>
        <v>0.68681318681318682</v>
      </c>
      <c r="Q85" s="6"/>
      <c r="R85" s="115"/>
      <c r="S85" s="115"/>
    </row>
    <row r="86" spans="1:19" ht="24.95" customHeight="1">
      <c r="A86" s="686" t="s">
        <v>189</v>
      </c>
      <c r="B86" s="514"/>
      <c r="C86" s="850"/>
      <c r="D86" s="781"/>
      <c r="E86" s="509"/>
      <c r="F86" s="509"/>
      <c r="G86" s="509"/>
      <c r="H86" s="509"/>
      <c r="I86" s="510"/>
      <c r="J86" s="509"/>
      <c r="K86" s="509"/>
      <c r="L86" s="509"/>
      <c r="M86" s="958">
        <v>5</v>
      </c>
      <c r="N86" s="955">
        <f t="shared" ref="N86:N97" si="11">SUM(B86:M86)</f>
        <v>5</v>
      </c>
      <c r="O86" s="672">
        <f t="shared" si="9"/>
        <v>5</v>
      </c>
      <c r="P86" s="487">
        <f t="shared" si="10"/>
        <v>0.68681318681318682</v>
      </c>
      <c r="Q86" s="6"/>
      <c r="R86" s="115"/>
      <c r="S86" s="115"/>
    </row>
    <row r="87" spans="1:19" ht="24.95" customHeight="1">
      <c r="A87" s="686" t="s">
        <v>190</v>
      </c>
      <c r="B87" s="514"/>
      <c r="C87" s="850"/>
      <c r="D87" s="781"/>
      <c r="E87" s="509"/>
      <c r="F87" s="509"/>
      <c r="G87" s="509"/>
      <c r="H87" s="509"/>
      <c r="I87" s="510"/>
      <c r="J87" s="509"/>
      <c r="K87" s="509"/>
      <c r="L87" s="509"/>
      <c r="M87" s="958">
        <v>4</v>
      </c>
      <c r="N87" s="955">
        <f t="shared" si="11"/>
        <v>4</v>
      </c>
      <c r="O87" s="672">
        <f t="shared" si="9"/>
        <v>4</v>
      </c>
      <c r="P87" s="487">
        <f t="shared" si="10"/>
        <v>0.5494505494505495</v>
      </c>
      <c r="Q87" s="6"/>
      <c r="R87" s="115"/>
      <c r="S87" s="115"/>
    </row>
    <row r="88" spans="1:19" ht="24.95" customHeight="1">
      <c r="A88" s="686" t="s">
        <v>191</v>
      </c>
      <c r="B88" s="514"/>
      <c r="C88" s="850"/>
      <c r="D88" s="781"/>
      <c r="E88" s="509"/>
      <c r="F88" s="509"/>
      <c r="G88" s="509"/>
      <c r="H88" s="509"/>
      <c r="I88" s="510"/>
      <c r="J88" s="509"/>
      <c r="K88" s="509"/>
      <c r="L88" s="509"/>
      <c r="M88" s="958">
        <v>4</v>
      </c>
      <c r="N88" s="955">
        <f t="shared" si="11"/>
        <v>4</v>
      </c>
      <c r="O88" s="672">
        <f t="shared" ref="O88:O97" si="12">AVERAGE(B88:M88)</f>
        <v>4</v>
      </c>
      <c r="P88" s="487">
        <f t="shared" si="10"/>
        <v>0.5494505494505495</v>
      </c>
      <c r="Q88" s="6"/>
      <c r="R88" s="115"/>
      <c r="S88" s="115"/>
    </row>
    <row r="89" spans="1:19" ht="24.95" customHeight="1">
      <c r="A89" s="686" t="s">
        <v>192</v>
      </c>
      <c r="B89" s="514"/>
      <c r="C89" s="850"/>
      <c r="D89" s="781"/>
      <c r="E89" s="509"/>
      <c r="F89" s="509"/>
      <c r="G89" s="509"/>
      <c r="H89" s="509"/>
      <c r="I89" s="510"/>
      <c r="J89" s="509"/>
      <c r="K89" s="509"/>
      <c r="L89" s="509"/>
      <c r="M89" s="958">
        <v>4</v>
      </c>
      <c r="N89" s="955">
        <f t="shared" si="11"/>
        <v>4</v>
      </c>
      <c r="O89" s="672">
        <f t="shared" si="12"/>
        <v>4</v>
      </c>
      <c r="P89" s="487">
        <f t="shared" ref="P89:P97" si="13">(N89/$N$98)*100</f>
        <v>0.5494505494505495</v>
      </c>
      <c r="Q89" s="6"/>
      <c r="R89" s="115"/>
      <c r="S89" s="115"/>
    </row>
    <row r="90" spans="1:19" ht="24.95" customHeight="1">
      <c r="A90" s="686" t="s">
        <v>193</v>
      </c>
      <c r="B90" s="514"/>
      <c r="C90" s="850"/>
      <c r="D90" s="781"/>
      <c r="E90" s="509"/>
      <c r="F90" s="509"/>
      <c r="G90" s="509"/>
      <c r="H90" s="509"/>
      <c r="I90" s="510"/>
      <c r="J90" s="509"/>
      <c r="K90" s="509"/>
      <c r="L90" s="509"/>
      <c r="M90" s="958">
        <v>6</v>
      </c>
      <c r="N90" s="955">
        <f t="shared" si="11"/>
        <v>6</v>
      </c>
      <c r="O90" s="672">
        <f t="shared" si="12"/>
        <v>6</v>
      </c>
      <c r="P90" s="487">
        <f t="shared" si="13"/>
        <v>0.82417582417582425</v>
      </c>
      <c r="Q90" s="6"/>
      <c r="R90" s="115"/>
      <c r="S90" s="115"/>
    </row>
    <row r="91" spans="1:19" ht="24.95" customHeight="1">
      <c r="A91" s="687" t="s">
        <v>194</v>
      </c>
      <c r="B91" s="514"/>
      <c r="C91" s="850"/>
      <c r="D91" s="781"/>
      <c r="E91" s="509"/>
      <c r="F91" s="509"/>
      <c r="G91" s="509"/>
      <c r="H91" s="509"/>
      <c r="I91" s="510"/>
      <c r="J91" s="509"/>
      <c r="K91" s="509"/>
      <c r="L91" s="509"/>
      <c r="M91" s="958">
        <v>5</v>
      </c>
      <c r="N91" s="955">
        <f t="shared" si="11"/>
        <v>5</v>
      </c>
      <c r="O91" s="672">
        <f t="shared" si="12"/>
        <v>5</v>
      </c>
      <c r="P91" s="487">
        <f t="shared" si="13"/>
        <v>0.68681318681318682</v>
      </c>
      <c r="Q91" s="6"/>
      <c r="R91" s="115"/>
      <c r="S91" s="115"/>
    </row>
    <row r="92" spans="1:19" ht="24.95" customHeight="1">
      <c r="A92" s="687" t="s">
        <v>195</v>
      </c>
      <c r="B92" s="514"/>
      <c r="C92" s="850"/>
      <c r="D92" s="781"/>
      <c r="E92" s="509"/>
      <c r="F92" s="509"/>
      <c r="G92" s="509"/>
      <c r="H92" s="509"/>
      <c r="I92" s="510"/>
      <c r="J92" s="509"/>
      <c r="K92" s="509"/>
      <c r="L92" s="509"/>
      <c r="M92" s="958">
        <v>3</v>
      </c>
      <c r="N92" s="955">
        <f t="shared" si="11"/>
        <v>3</v>
      </c>
      <c r="O92" s="672">
        <f t="shared" si="12"/>
        <v>3</v>
      </c>
      <c r="P92" s="487">
        <f t="shared" si="13"/>
        <v>0.41208791208791212</v>
      </c>
      <c r="Q92" s="6"/>
      <c r="R92" s="115"/>
      <c r="S92" s="115"/>
    </row>
    <row r="93" spans="1:19" ht="24.95" customHeight="1">
      <c r="A93" s="687" t="s">
        <v>196</v>
      </c>
      <c r="B93" s="514"/>
      <c r="C93" s="850"/>
      <c r="D93" s="781"/>
      <c r="E93" s="509"/>
      <c r="F93" s="509"/>
      <c r="G93" s="509"/>
      <c r="H93" s="509"/>
      <c r="I93" s="510"/>
      <c r="J93" s="509"/>
      <c r="K93" s="509"/>
      <c r="L93" s="509"/>
      <c r="M93" s="958">
        <v>8</v>
      </c>
      <c r="N93" s="955">
        <f t="shared" si="11"/>
        <v>8</v>
      </c>
      <c r="O93" s="672">
        <f t="shared" si="12"/>
        <v>8</v>
      </c>
      <c r="P93" s="487">
        <f t="shared" si="13"/>
        <v>1.098901098901099</v>
      </c>
      <c r="Q93" s="6"/>
      <c r="R93" s="115"/>
      <c r="S93" s="115"/>
    </row>
    <row r="94" spans="1:19" ht="24.95" customHeight="1">
      <c r="A94" s="687" t="s">
        <v>197</v>
      </c>
      <c r="B94" s="514"/>
      <c r="C94" s="850"/>
      <c r="D94" s="781"/>
      <c r="E94" s="509"/>
      <c r="F94" s="509"/>
      <c r="G94" s="509"/>
      <c r="H94" s="509"/>
      <c r="I94" s="510"/>
      <c r="J94" s="509"/>
      <c r="K94" s="509"/>
      <c r="L94" s="509"/>
      <c r="M94" s="958">
        <v>4</v>
      </c>
      <c r="N94" s="955">
        <f t="shared" si="11"/>
        <v>4</v>
      </c>
      <c r="O94" s="672">
        <f t="shared" si="12"/>
        <v>4</v>
      </c>
      <c r="P94" s="487">
        <f t="shared" si="13"/>
        <v>0.5494505494505495</v>
      </c>
      <c r="Q94" s="6"/>
      <c r="R94" s="115"/>
      <c r="S94" s="115"/>
    </row>
    <row r="95" spans="1:19" ht="24.95" customHeight="1">
      <c r="A95" s="687" t="s">
        <v>198</v>
      </c>
      <c r="B95" s="514"/>
      <c r="C95" s="850"/>
      <c r="D95" s="781"/>
      <c r="E95" s="509"/>
      <c r="F95" s="509"/>
      <c r="G95" s="509"/>
      <c r="H95" s="509"/>
      <c r="I95" s="510"/>
      <c r="J95" s="509"/>
      <c r="K95" s="509"/>
      <c r="L95" s="509"/>
      <c r="M95" s="958">
        <v>5</v>
      </c>
      <c r="N95" s="955">
        <f t="shared" si="11"/>
        <v>5</v>
      </c>
      <c r="O95" s="672">
        <f t="shared" si="12"/>
        <v>5</v>
      </c>
      <c r="P95" s="487">
        <f t="shared" si="13"/>
        <v>0.68681318681318682</v>
      </c>
      <c r="Q95" s="6"/>
      <c r="R95" s="115"/>
      <c r="S95" s="115"/>
    </row>
    <row r="96" spans="1:19" ht="24.95" customHeight="1">
      <c r="A96" s="670" t="s">
        <v>199</v>
      </c>
      <c r="B96" s="723"/>
      <c r="C96" s="850"/>
      <c r="D96" s="783"/>
      <c r="E96" s="724"/>
      <c r="F96" s="693"/>
      <c r="G96" s="693"/>
      <c r="H96" s="693"/>
      <c r="I96" s="693"/>
      <c r="J96" s="693"/>
      <c r="K96" s="693"/>
      <c r="L96" s="693"/>
      <c r="M96" s="958">
        <v>4</v>
      </c>
      <c r="N96" s="955">
        <f t="shared" si="11"/>
        <v>4</v>
      </c>
      <c r="O96" s="683">
        <f t="shared" si="12"/>
        <v>4</v>
      </c>
      <c r="P96" s="684">
        <f t="shared" si="13"/>
        <v>0.5494505494505495</v>
      </c>
      <c r="Q96" s="6"/>
      <c r="R96" s="115"/>
      <c r="S96" s="115"/>
    </row>
    <row r="97" spans="1:54" ht="24.95" customHeight="1" thickBot="1">
      <c r="A97" s="688" t="s">
        <v>317</v>
      </c>
      <c r="B97" s="646"/>
      <c r="C97" s="851"/>
      <c r="D97" s="784"/>
      <c r="E97" s="647"/>
      <c r="F97" s="647"/>
      <c r="G97" s="647"/>
      <c r="H97" s="647"/>
      <c r="I97" s="648"/>
      <c r="J97" s="648"/>
      <c r="K97" s="648"/>
      <c r="L97" s="648"/>
      <c r="M97" s="959">
        <v>9</v>
      </c>
      <c r="N97" s="956">
        <f t="shared" si="11"/>
        <v>9</v>
      </c>
      <c r="O97" s="673">
        <f t="shared" si="12"/>
        <v>9</v>
      </c>
      <c r="P97" s="650">
        <f t="shared" si="13"/>
        <v>1.2362637362637363</v>
      </c>
      <c r="Q97" s="742"/>
      <c r="R97" s="115"/>
      <c r="S97" s="115"/>
      <c r="T97" s="668"/>
    </row>
    <row r="98" spans="1:54" ht="24.95" customHeight="1" thickBot="1">
      <c r="A98" s="493" t="s">
        <v>203</v>
      </c>
      <c r="B98" s="508">
        <v>444</v>
      </c>
      <c r="C98" s="821">
        <f>SUM(C22:C97)</f>
        <v>0</v>
      </c>
      <c r="D98" s="508">
        <f>SUM(D22:D97)</f>
        <v>0</v>
      </c>
      <c r="E98" s="508">
        <f>SUM(E22:E97)</f>
        <v>0</v>
      </c>
      <c r="F98" s="508">
        <f t="shared" ref="F98:N98" si="14">SUM(F22:F97)</f>
        <v>0</v>
      </c>
      <c r="G98" s="508">
        <f t="shared" si="14"/>
        <v>0</v>
      </c>
      <c r="H98" s="508">
        <f t="shared" si="14"/>
        <v>0</v>
      </c>
      <c r="I98" s="508">
        <f t="shared" si="14"/>
        <v>0</v>
      </c>
      <c r="J98" s="508">
        <f t="shared" si="14"/>
        <v>0</v>
      </c>
      <c r="K98" s="508">
        <f t="shared" si="14"/>
        <v>0</v>
      </c>
      <c r="L98" s="508">
        <f t="shared" si="14"/>
        <v>0</v>
      </c>
      <c r="M98" s="821">
        <f t="shared" si="14"/>
        <v>728</v>
      </c>
      <c r="N98" s="508">
        <f t="shared" si="14"/>
        <v>728</v>
      </c>
      <c r="O98" s="488">
        <f>(C98+D98+E98+F98+G98+H98+I98+J98+K98+L98+M98)/11</f>
        <v>66.181818181818187</v>
      </c>
      <c r="P98" s="489">
        <f>SUM(P22:P92)</f>
        <v>95.741758241758291</v>
      </c>
      <c r="Q98" s="675"/>
      <c r="R98" s="115"/>
      <c r="S98" s="656"/>
      <c r="T98" s="669"/>
      <c r="U98" s="198"/>
      <c r="V98" s="198"/>
      <c r="W98" s="198"/>
      <c r="X98" s="198"/>
      <c r="Y98" s="198"/>
      <c r="Z98" s="198"/>
      <c r="AA98" s="198"/>
      <c r="AB98" s="198"/>
      <c r="AC98" s="198"/>
      <c r="AD98" s="198"/>
      <c r="AE98" s="198"/>
    </row>
    <row r="99" spans="1:54" ht="24.95" customHeight="1">
      <c r="A99" s="869"/>
      <c r="B99" s="869"/>
      <c r="C99" s="870"/>
      <c r="D99" s="870"/>
      <c r="E99" s="869"/>
      <c r="F99" s="871"/>
      <c r="G99" s="871"/>
      <c r="H99" s="871"/>
      <c r="I99" s="872"/>
      <c r="J99" s="871"/>
      <c r="K99" s="871"/>
      <c r="L99" s="871"/>
      <c r="M99" s="873"/>
      <c r="N99" s="874"/>
      <c r="O99" s="870"/>
      <c r="P99" s="870"/>
      <c r="Q99" s="870"/>
      <c r="R99" s="869"/>
      <c r="S99" s="750"/>
      <c r="T99" s="751"/>
      <c r="U99" s="505"/>
      <c r="V99" s="505"/>
      <c r="W99" s="747"/>
      <c r="X99" s="747"/>
      <c r="Y99" s="747"/>
      <c r="Z99" s="747"/>
      <c r="AA99" s="747"/>
      <c r="AB99" s="505"/>
      <c r="AC99" s="505"/>
      <c r="AD99" s="406"/>
      <c r="AE99" s="406"/>
      <c r="AF99" s="209"/>
      <c r="AG99" s="209"/>
      <c r="AH99" s="477"/>
    </row>
    <row r="100" spans="1:54" s="494" customFormat="1" ht="24.95" customHeight="1">
      <c r="A100" s="875"/>
      <c r="B100" s="876"/>
      <c r="C100" s="876"/>
      <c r="D100" s="876"/>
      <c r="E100" s="876"/>
      <c r="F100" s="876"/>
      <c r="G100" s="876"/>
      <c r="H100" s="876"/>
      <c r="I100" s="876"/>
      <c r="J100" s="876"/>
      <c r="K100" s="876"/>
      <c r="L100" s="876"/>
      <c r="M100" s="876"/>
      <c r="N100" s="876"/>
      <c r="O100" s="823"/>
      <c r="P100" s="877"/>
      <c r="Q100" s="877"/>
      <c r="R100" s="878"/>
      <c r="S100" s="878"/>
      <c r="T100" s="752"/>
      <c r="U100" s="652"/>
      <c r="V100" s="652"/>
      <c r="W100" s="753"/>
      <c r="X100" s="753"/>
      <c r="Y100" s="753"/>
      <c r="Z100" s="753"/>
      <c r="AA100" s="753"/>
      <c r="AB100" s="652"/>
      <c r="AC100" s="652"/>
      <c r="AD100" s="657"/>
      <c r="AE100" s="657"/>
      <c r="AF100" s="652"/>
      <c r="AG100" s="652"/>
      <c r="AH100" s="653"/>
      <c r="AI100" s="651"/>
      <c r="AJ100" s="651"/>
      <c r="AK100" s="651"/>
      <c r="AL100" s="651"/>
      <c r="AM100" s="651"/>
      <c r="AN100" s="651"/>
      <c r="AO100" s="651"/>
      <c r="AP100" s="651"/>
      <c r="AQ100" s="651"/>
      <c r="AR100" s="651"/>
      <c r="AS100" s="651"/>
      <c r="AT100" s="651"/>
      <c r="AU100" s="651"/>
      <c r="AV100" s="651"/>
      <c r="BB100" s="495"/>
    </row>
    <row r="101" spans="1:54">
      <c r="A101" s="515" t="s">
        <v>280</v>
      </c>
      <c r="B101" s="516">
        <v>44896</v>
      </c>
      <c r="C101" s="516">
        <v>44866</v>
      </c>
      <c r="D101" s="516">
        <v>44835</v>
      </c>
      <c r="E101" s="517">
        <v>44805</v>
      </c>
      <c r="F101" s="517">
        <v>44774</v>
      </c>
      <c r="G101" s="517">
        <v>44743</v>
      </c>
      <c r="H101" s="517">
        <v>44713</v>
      </c>
      <c r="I101" s="517">
        <v>44682</v>
      </c>
      <c r="J101" s="517">
        <v>44652</v>
      </c>
      <c r="K101" s="517">
        <v>44621</v>
      </c>
      <c r="L101" s="517">
        <v>44593</v>
      </c>
      <c r="M101" s="517">
        <v>44562</v>
      </c>
      <c r="N101" s="701" t="s">
        <v>3</v>
      </c>
      <c r="O101" s="518" t="s">
        <v>4</v>
      </c>
      <c r="P101" s="825"/>
      <c r="Q101" s="961"/>
      <c r="R101" s="962"/>
      <c r="S101" s="963"/>
      <c r="T101" s="754"/>
      <c r="U101" s="747"/>
      <c r="V101" s="505"/>
      <c r="W101" s="505"/>
      <c r="X101" s="505"/>
      <c r="Y101" s="505"/>
      <c r="Z101" s="505"/>
      <c r="AA101" s="505"/>
      <c r="AB101" s="505"/>
      <c r="AC101" s="505"/>
      <c r="AD101" s="406"/>
      <c r="AE101" s="406"/>
      <c r="AF101" s="654"/>
      <c r="AG101" s="655"/>
      <c r="AH101" s="655"/>
      <c r="AI101" s="655"/>
      <c r="AJ101" s="655"/>
      <c r="AK101" s="655"/>
      <c r="AL101" s="655"/>
      <c r="AM101" s="655"/>
      <c r="AN101" s="655"/>
      <c r="AO101" s="655"/>
      <c r="AP101" s="655"/>
      <c r="AQ101" s="655"/>
      <c r="AR101" s="655"/>
      <c r="AS101" s="655"/>
      <c r="AT101" s="655"/>
      <c r="AU101" s="655"/>
      <c r="AV101" s="655"/>
    </row>
    <row r="102" spans="1:54">
      <c r="A102" s="964" t="s">
        <v>284</v>
      </c>
      <c r="B102" s="676"/>
      <c r="C102" s="826"/>
      <c r="D102" s="785"/>
      <c r="E102" s="676"/>
      <c r="F102" s="676"/>
      <c r="G102" s="676"/>
      <c r="H102" s="676"/>
      <c r="I102" s="677"/>
      <c r="J102" s="676"/>
      <c r="K102" s="676"/>
      <c r="L102" s="676"/>
      <c r="M102" s="965">
        <v>154</v>
      </c>
      <c r="N102" s="676">
        <f t="shared" ref="N102:N111" si="15">SUM(B102:M102)</f>
        <v>154</v>
      </c>
      <c r="O102" s="678">
        <f t="shared" ref="O102:O111" si="16">AVERAGE(B102:M102)</f>
        <v>154</v>
      </c>
      <c r="P102" s="827">
        <f>(N102/$N$112)*100</f>
        <v>34.684684684684683</v>
      </c>
      <c r="Q102" s="960"/>
      <c r="R102" s="869"/>
      <c r="S102" s="869"/>
      <c r="T102" s="751"/>
      <c r="U102" s="505"/>
      <c r="V102" s="505"/>
      <c r="W102" s="747"/>
      <c r="X102" s="747"/>
      <c r="Y102" s="747"/>
      <c r="Z102" s="747"/>
      <c r="AA102" s="747"/>
      <c r="AB102" s="505"/>
      <c r="AC102" s="505"/>
      <c r="AD102" s="406"/>
      <c r="AE102" s="406"/>
      <c r="AF102" s="505"/>
      <c r="AG102" s="505"/>
      <c r="AH102" s="654"/>
      <c r="AI102" s="655"/>
      <c r="AJ102" s="655"/>
      <c r="AK102" s="655"/>
      <c r="AL102" s="655"/>
      <c r="AM102" s="655"/>
      <c r="AN102" s="655"/>
      <c r="AO102" s="655"/>
      <c r="AP102" s="655"/>
      <c r="AQ102" s="655"/>
      <c r="AR102" s="655"/>
      <c r="AS102" s="655"/>
      <c r="AT102" s="655"/>
      <c r="AU102" s="655"/>
      <c r="AV102" s="655"/>
      <c r="BB102" s="197"/>
    </row>
    <row r="103" spans="1:54">
      <c r="A103" s="964" t="s">
        <v>439</v>
      </c>
      <c r="B103" s="676"/>
      <c r="C103" s="826"/>
      <c r="D103" s="785"/>
      <c r="E103" s="676"/>
      <c r="F103" s="676"/>
      <c r="G103" s="676"/>
      <c r="H103" s="676"/>
      <c r="I103" s="677"/>
      <c r="J103" s="676"/>
      <c r="K103" s="676"/>
      <c r="L103" s="676"/>
      <c r="M103" s="965">
        <v>55</v>
      </c>
      <c r="N103" s="676">
        <f t="shared" si="15"/>
        <v>55</v>
      </c>
      <c r="O103" s="678">
        <f t="shared" si="16"/>
        <v>55</v>
      </c>
      <c r="P103" s="827">
        <f t="shared" ref="P103:P111" si="17">(N103/$N$112)*100</f>
        <v>12.387387387387387</v>
      </c>
      <c r="Q103" s="960"/>
      <c r="R103" s="869"/>
      <c r="S103" s="869"/>
      <c r="T103" s="751"/>
      <c r="U103" s="505"/>
      <c r="V103" s="505"/>
      <c r="W103" s="747"/>
      <c r="X103" s="747"/>
      <c r="Y103" s="747"/>
      <c r="Z103" s="747"/>
      <c r="AA103" s="747"/>
      <c r="AB103" s="505"/>
      <c r="AC103" s="505"/>
      <c r="AD103" s="406"/>
      <c r="AE103" s="406"/>
      <c r="AF103" s="505"/>
      <c r="AG103" s="505"/>
      <c r="AH103" s="654"/>
      <c r="AI103" s="655"/>
      <c r="AJ103" s="655"/>
      <c r="AK103" s="655"/>
      <c r="AL103" s="655"/>
      <c r="AM103" s="655"/>
      <c r="AN103" s="655"/>
      <c r="AO103" s="655"/>
      <c r="AP103" s="655"/>
      <c r="AQ103" s="655"/>
      <c r="AR103" s="655"/>
      <c r="AS103" s="655"/>
      <c r="AT103" s="655"/>
      <c r="AU103" s="655"/>
      <c r="AV103" s="655"/>
      <c r="BB103" s="197"/>
    </row>
    <row r="104" spans="1:54">
      <c r="A104" s="964" t="s">
        <v>440</v>
      </c>
      <c r="B104" s="676"/>
      <c r="C104" s="826"/>
      <c r="D104" s="785"/>
      <c r="E104" s="676"/>
      <c r="F104" s="676"/>
      <c r="G104" s="676"/>
      <c r="H104" s="676"/>
      <c r="I104" s="677"/>
      <c r="J104" s="676"/>
      <c r="K104" s="676"/>
      <c r="L104" s="676"/>
      <c r="M104" s="965">
        <v>52</v>
      </c>
      <c r="N104" s="676">
        <f t="shared" si="15"/>
        <v>52</v>
      </c>
      <c r="O104" s="678">
        <f t="shared" si="16"/>
        <v>52</v>
      </c>
      <c r="P104" s="827">
        <f t="shared" si="17"/>
        <v>11.711711711711711</v>
      </c>
      <c r="Q104" s="960"/>
      <c r="R104" s="869"/>
      <c r="S104" s="869"/>
      <c r="T104" s="751"/>
      <c r="U104" s="505"/>
      <c r="V104" s="505"/>
      <c r="W104" s="747"/>
      <c r="X104" s="747"/>
      <c r="Y104" s="747"/>
      <c r="Z104" s="747"/>
      <c r="AA104" s="747"/>
      <c r="AB104" s="505"/>
      <c r="AC104" s="505"/>
      <c r="AD104" s="406"/>
      <c r="AE104" s="406"/>
      <c r="AF104" s="505"/>
      <c r="AG104" s="505"/>
      <c r="AH104" s="654"/>
      <c r="AI104" s="655"/>
      <c r="AJ104" s="655"/>
      <c r="AK104" s="655"/>
      <c r="AL104" s="655"/>
      <c r="AM104" s="655"/>
      <c r="AN104" s="655"/>
      <c r="AO104" s="655"/>
      <c r="AP104" s="655"/>
      <c r="AQ104" s="655"/>
      <c r="AR104" s="655"/>
      <c r="AS104" s="655"/>
      <c r="AT104" s="655"/>
      <c r="AU104" s="655"/>
      <c r="AV104" s="655"/>
      <c r="BB104" s="197"/>
    </row>
    <row r="105" spans="1:54">
      <c r="A105" s="964" t="s">
        <v>387</v>
      </c>
      <c r="B105" s="676"/>
      <c r="C105" s="826"/>
      <c r="D105" s="785"/>
      <c r="E105" s="676"/>
      <c r="F105" s="676"/>
      <c r="G105" s="676"/>
      <c r="H105" s="676"/>
      <c r="I105" s="677"/>
      <c r="J105" s="676"/>
      <c r="K105" s="676"/>
      <c r="L105" s="676"/>
      <c r="M105" s="965">
        <v>46</v>
      </c>
      <c r="N105" s="676">
        <f t="shared" si="15"/>
        <v>46</v>
      </c>
      <c r="O105" s="678">
        <f t="shared" si="16"/>
        <v>46</v>
      </c>
      <c r="P105" s="827">
        <f t="shared" si="17"/>
        <v>10.36036036036036</v>
      </c>
      <c r="Q105" s="960"/>
      <c r="R105" s="869"/>
      <c r="S105" s="869"/>
      <c r="T105" s="751"/>
      <c r="U105" s="505"/>
      <c r="V105" s="505"/>
      <c r="W105" s="747"/>
      <c r="X105" s="747"/>
      <c r="Y105" s="747"/>
      <c r="Z105" s="747"/>
      <c r="AA105" s="747"/>
      <c r="AB105" s="505"/>
      <c r="AC105" s="505"/>
      <c r="AD105" s="406"/>
      <c r="AE105" s="406"/>
      <c r="AF105" s="505"/>
      <c r="AG105" s="505"/>
      <c r="AH105" s="654"/>
      <c r="AI105" s="655"/>
      <c r="AJ105" s="655"/>
      <c r="AK105" s="655"/>
      <c r="AL105" s="655"/>
      <c r="AM105" s="655"/>
      <c r="AN105" s="655"/>
      <c r="AO105" s="655"/>
      <c r="AP105" s="655"/>
      <c r="AQ105" s="655"/>
      <c r="AR105" s="655"/>
      <c r="AS105" s="655"/>
      <c r="AT105" s="655"/>
      <c r="AU105" s="655"/>
      <c r="AV105" s="655"/>
      <c r="BB105" s="197"/>
    </row>
    <row r="106" spans="1:54">
      <c r="A106" s="964" t="s">
        <v>283</v>
      </c>
      <c r="B106" s="676"/>
      <c r="C106" s="826"/>
      <c r="D106" s="785"/>
      <c r="E106" s="676"/>
      <c r="F106" s="676"/>
      <c r="G106" s="676"/>
      <c r="H106" s="676"/>
      <c r="I106" s="677"/>
      <c r="J106" s="676"/>
      <c r="K106" s="676"/>
      <c r="L106" s="676"/>
      <c r="M106" s="965">
        <v>38</v>
      </c>
      <c r="N106" s="676">
        <f t="shared" si="15"/>
        <v>38</v>
      </c>
      <c r="O106" s="678">
        <f t="shared" si="16"/>
        <v>38</v>
      </c>
      <c r="P106" s="827">
        <f t="shared" si="17"/>
        <v>8.5585585585585591</v>
      </c>
      <c r="Q106" s="960"/>
      <c r="R106" s="869"/>
      <c r="S106" s="869"/>
      <c r="T106" s="751"/>
      <c r="U106" s="505"/>
      <c r="V106" s="505"/>
      <c r="W106" s="747"/>
      <c r="X106" s="747"/>
      <c r="Y106" s="747"/>
      <c r="Z106" s="747"/>
      <c r="AA106" s="747"/>
      <c r="AB106" s="505"/>
      <c r="AC106" s="505"/>
      <c r="AD106" s="406"/>
      <c r="AE106" s="406"/>
      <c r="AF106" s="505"/>
      <c r="AG106" s="505"/>
      <c r="AH106" s="654"/>
      <c r="AI106" s="655"/>
      <c r="AJ106" s="655"/>
      <c r="AK106" s="655"/>
      <c r="AL106" s="655"/>
      <c r="AM106" s="655"/>
      <c r="AN106" s="655"/>
      <c r="AO106" s="655"/>
      <c r="AP106" s="655"/>
      <c r="AQ106" s="655"/>
      <c r="AR106" s="655"/>
      <c r="AS106" s="655"/>
      <c r="AT106" s="655"/>
      <c r="AU106" s="655"/>
      <c r="AV106" s="655"/>
      <c r="BB106" s="197"/>
    </row>
    <row r="107" spans="1:54">
      <c r="A107" s="964" t="s">
        <v>346</v>
      </c>
      <c r="B107" s="676"/>
      <c r="C107" s="826"/>
      <c r="D107" s="785"/>
      <c r="E107" s="676"/>
      <c r="F107" s="676"/>
      <c r="G107" s="676"/>
      <c r="H107" s="676"/>
      <c r="I107" s="677"/>
      <c r="J107" s="676"/>
      <c r="K107" s="676"/>
      <c r="L107" s="676"/>
      <c r="M107" s="965">
        <v>30</v>
      </c>
      <c r="N107" s="676">
        <f t="shared" si="15"/>
        <v>30</v>
      </c>
      <c r="O107" s="678">
        <f t="shared" si="16"/>
        <v>30</v>
      </c>
      <c r="P107" s="827">
        <f t="shared" si="17"/>
        <v>6.756756756756757</v>
      </c>
      <c r="Q107" s="960"/>
      <c r="R107" s="869"/>
      <c r="S107" s="869"/>
      <c r="T107" s="755"/>
      <c r="U107" s="655"/>
      <c r="V107" s="655"/>
      <c r="W107" s="655"/>
      <c r="X107" s="655"/>
      <c r="Y107" s="655"/>
      <c r="Z107" s="655"/>
      <c r="AA107" s="655"/>
      <c r="AB107" s="655"/>
      <c r="AC107" s="655"/>
      <c r="AD107" s="198"/>
      <c r="AE107" s="198"/>
      <c r="AF107" s="655"/>
      <c r="AG107" s="655"/>
      <c r="AH107" s="655"/>
      <c r="AI107" s="655"/>
      <c r="AJ107" s="655"/>
      <c r="AK107" s="655"/>
      <c r="AL107" s="655"/>
      <c r="AM107" s="655"/>
      <c r="AN107" s="655"/>
      <c r="AO107" s="655"/>
      <c r="AP107" s="655"/>
      <c r="AQ107" s="655"/>
      <c r="AR107" s="655"/>
      <c r="AS107" s="655"/>
      <c r="AT107" s="655"/>
      <c r="AU107" s="655"/>
      <c r="AV107" s="655"/>
      <c r="BB107" s="197"/>
    </row>
    <row r="108" spans="1:54">
      <c r="A108" s="964" t="s">
        <v>318</v>
      </c>
      <c r="B108" s="676"/>
      <c r="C108" s="826"/>
      <c r="D108" s="785"/>
      <c r="E108" s="676"/>
      <c r="F108" s="676"/>
      <c r="G108" s="676"/>
      <c r="H108" s="676"/>
      <c r="I108" s="677"/>
      <c r="J108" s="676"/>
      <c r="K108" s="676"/>
      <c r="L108" s="676"/>
      <c r="M108" s="965">
        <v>20</v>
      </c>
      <c r="N108" s="676">
        <f t="shared" si="15"/>
        <v>20</v>
      </c>
      <c r="O108" s="678">
        <f t="shared" si="16"/>
        <v>20</v>
      </c>
      <c r="P108" s="827">
        <f t="shared" si="17"/>
        <v>4.5045045045045047</v>
      </c>
      <c r="Q108" s="960"/>
      <c r="R108" s="869"/>
      <c r="S108" s="869"/>
      <c r="T108" s="755"/>
      <c r="U108" s="655"/>
      <c r="V108" s="655"/>
      <c r="W108" s="655"/>
      <c r="X108" s="655"/>
      <c r="Y108" s="655"/>
      <c r="Z108" s="655"/>
      <c r="AA108" s="655"/>
      <c r="AB108" s="655"/>
      <c r="AC108" s="655"/>
      <c r="AD108" s="198"/>
      <c r="AE108" s="198"/>
      <c r="AF108" s="655"/>
      <c r="AG108" s="655"/>
      <c r="AH108" s="655"/>
      <c r="AI108" s="655"/>
      <c r="AJ108" s="655"/>
      <c r="AK108" s="655"/>
      <c r="AL108" s="655"/>
      <c r="AM108" s="655"/>
      <c r="AN108" s="655"/>
      <c r="AO108" s="655"/>
      <c r="AP108" s="655"/>
      <c r="AQ108" s="655"/>
      <c r="AR108" s="655"/>
      <c r="AS108" s="655"/>
      <c r="AT108" s="655"/>
      <c r="AU108" s="655"/>
      <c r="AV108" s="655"/>
      <c r="BB108" s="197"/>
    </row>
    <row r="109" spans="1:54">
      <c r="A109" s="964" t="s">
        <v>347</v>
      </c>
      <c r="B109" s="676"/>
      <c r="C109" s="826"/>
      <c r="D109" s="785"/>
      <c r="E109" s="676"/>
      <c r="F109" s="676"/>
      <c r="G109" s="676"/>
      <c r="H109" s="676"/>
      <c r="I109" s="677"/>
      <c r="J109" s="676"/>
      <c r="K109" s="676"/>
      <c r="L109" s="676"/>
      <c r="M109" s="965">
        <v>20</v>
      </c>
      <c r="N109" s="676">
        <f t="shared" si="15"/>
        <v>20</v>
      </c>
      <c r="O109" s="678">
        <f t="shared" si="16"/>
        <v>20</v>
      </c>
      <c r="P109" s="827">
        <f t="shared" si="17"/>
        <v>4.5045045045045047</v>
      </c>
      <c r="Q109" s="960"/>
      <c r="R109" s="869"/>
      <c r="S109" s="869"/>
      <c r="T109" s="755"/>
      <c r="U109" s="655"/>
      <c r="V109" s="655"/>
      <c r="W109" s="655"/>
      <c r="X109" s="655"/>
      <c r="Y109" s="655"/>
      <c r="Z109" s="655"/>
      <c r="AA109" s="655"/>
      <c r="AB109" s="655"/>
      <c r="AC109" s="655"/>
      <c r="AD109" s="198"/>
      <c r="AE109" s="198"/>
      <c r="AF109" s="655"/>
      <c r="AG109" s="655"/>
      <c r="AH109" s="655"/>
      <c r="AI109" s="655"/>
      <c r="AJ109" s="655"/>
      <c r="AK109" s="655"/>
      <c r="AL109" s="655"/>
      <c r="AM109" s="655"/>
      <c r="AN109" s="655"/>
      <c r="AO109" s="655"/>
      <c r="AP109" s="655"/>
      <c r="AQ109" s="655"/>
      <c r="AR109" s="655"/>
      <c r="AS109" s="655"/>
      <c r="AT109" s="655"/>
      <c r="AU109" s="655"/>
      <c r="AV109" s="655"/>
      <c r="BB109" s="197"/>
    </row>
    <row r="110" spans="1:54">
      <c r="A110" s="964" t="s">
        <v>441</v>
      </c>
      <c r="B110" s="676"/>
      <c r="C110" s="826"/>
      <c r="D110" s="785"/>
      <c r="E110" s="676"/>
      <c r="F110" s="676"/>
      <c r="G110" s="676"/>
      <c r="H110" s="676"/>
      <c r="I110" s="677"/>
      <c r="J110" s="676"/>
      <c r="K110" s="676"/>
      <c r="L110" s="676"/>
      <c r="M110" s="965">
        <v>15</v>
      </c>
      <c r="N110" s="676">
        <f t="shared" si="15"/>
        <v>15</v>
      </c>
      <c r="O110" s="678">
        <f t="shared" si="16"/>
        <v>15</v>
      </c>
      <c r="P110" s="827">
        <f t="shared" si="17"/>
        <v>3.3783783783783785</v>
      </c>
      <c r="Q110" s="960"/>
      <c r="R110" s="869"/>
      <c r="S110" s="869"/>
      <c r="T110" s="755"/>
      <c r="U110" s="655"/>
      <c r="V110" s="655"/>
      <c r="W110" s="655"/>
      <c r="X110" s="655"/>
      <c r="Y110" s="655"/>
      <c r="Z110" s="655"/>
      <c r="AA110" s="655"/>
      <c r="AB110" s="655"/>
      <c r="AC110" s="655"/>
      <c r="AD110" s="198"/>
      <c r="AE110" s="198"/>
      <c r="AF110" s="655"/>
      <c r="AG110" s="655"/>
      <c r="AH110" s="655"/>
      <c r="AI110" s="655"/>
      <c r="AJ110" s="655"/>
      <c r="AK110" s="655"/>
      <c r="AL110" s="655"/>
      <c r="AM110" s="655"/>
      <c r="AN110" s="655"/>
      <c r="AO110" s="655"/>
      <c r="AP110" s="655"/>
      <c r="AQ110" s="655"/>
      <c r="AR110" s="655"/>
      <c r="AS110" s="655"/>
      <c r="AT110" s="655"/>
      <c r="AU110" s="655"/>
      <c r="AV110" s="655"/>
      <c r="BB110" s="197"/>
    </row>
    <row r="111" spans="1:54">
      <c r="A111" s="964" t="s">
        <v>442</v>
      </c>
      <c r="B111" s="676"/>
      <c r="C111" s="826"/>
      <c r="D111" s="785"/>
      <c r="E111" s="676"/>
      <c r="F111" s="676"/>
      <c r="G111" s="676"/>
      <c r="H111" s="676"/>
      <c r="I111" s="677"/>
      <c r="J111" s="676"/>
      <c r="K111" s="676"/>
      <c r="L111" s="676"/>
      <c r="M111" s="965">
        <v>14</v>
      </c>
      <c r="N111" s="676">
        <f t="shared" si="15"/>
        <v>14</v>
      </c>
      <c r="O111" s="678">
        <f t="shared" si="16"/>
        <v>14</v>
      </c>
      <c r="P111" s="827">
        <f t="shared" si="17"/>
        <v>3.1531531531531529</v>
      </c>
      <c r="Q111" s="960"/>
      <c r="R111" s="869"/>
      <c r="S111" s="869"/>
      <c r="T111" s="755"/>
      <c r="U111" s="655"/>
      <c r="V111" s="655"/>
      <c r="W111" s="655"/>
      <c r="X111" s="655"/>
      <c r="Y111" s="655"/>
      <c r="Z111" s="655"/>
      <c r="AA111" s="655"/>
      <c r="AB111" s="655"/>
      <c r="AC111" s="655"/>
      <c r="AD111" s="198"/>
      <c r="AE111" s="198"/>
      <c r="AF111" s="655"/>
      <c r="AG111" s="655"/>
      <c r="AH111" s="655"/>
      <c r="AI111" s="655"/>
      <c r="AJ111" s="655"/>
      <c r="AK111" s="655"/>
      <c r="AL111" s="655"/>
      <c r="AM111" s="655"/>
      <c r="AN111" s="655"/>
      <c r="AO111" s="655"/>
      <c r="AP111" s="655"/>
      <c r="AQ111" s="655"/>
      <c r="AR111" s="655"/>
      <c r="AS111" s="655"/>
      <c r="AT111" s="655"/>
      <c r="AU111" s="655"/>
      <c r="AV111" s="655"/>
      <c r="BB111" s="197"/>
    </row>
    <row r="112" spans="1:54">
      <c r="A112" s="828"/>
      <c r="B112" s="828"/>
      <c r="C112" s="829"/>
      <c r="D112" s="829"/>
      <c r="E112" s="829"/>
      <c r="F112" s="829"/>
      <c r="G112" s="829"/>
      <c r="H112" s="829"/>
      <c r="I112" s="518"/>
      <c r="J112" s="829"/>
      <c r="K112" s="829"/>
      <c r="L112" s="829"/>
      <c r="M112" s="829"/>
      <c r="N112" s="830">
        <f>SUM(N102:N111)</f>
        <v>444</v>
      </c>
      <c r="O112" s="830">
        <f>SUM(O102:O111)</f>
        <v>444</v>
      </c>
      <c r="P112" s="701"/>
      <c r="Q112" s="960"/>
      <c r="R112" s="869"/>
      <c r="S112" s="869"/>
      <c r="T112" s="755"/>
      <c r="U112" s="655"/>
      <c r="V112" s="655"/>
      <c r="W112" s="655"/>
      <c r="X112" s="655"/>
      <c r="Y112" s="655"/>
      <c r="Z112" s="655"/>
      <c r="AA112" s="655"/>
      <c r="AB112" s="655"/>
      <c r="AC112" s="655"/>
      <c r="AD112" s="198"/>
      <c r="AE112" s="198"/>
      <c r="AF112" s="655"/>
      <c r="AG112" s="655"/>
      <c r="AH112" s="655"/>
      <c r="AI112" s="655"/>
      <c r="AJ112" s="655"/>
      <c r="AK112" s="655"/>
      <c r="AL112" s="655"/>
      <c r="AM112" s="655"/>
      <c r="AN112" s="655"/>
      <c r="AO112" s="655"/>
      <c r="AP112" s="655"/>
      <c r="AQ112" s="655"/>
      <c r="AR112" s="655"/>
      <c r="AS112" s="655"/>
      <c r="AT112" s="655"/>
      <c r="AU112" s="655"/>
      <c r="AV112" s="655"/>
      <c r="BB112" s="197"/>
    </row>
    <row r="113" spans="1:54">
      <c r="A113" s="869"/>
      <c r="B113" s="869"/>
      <c r="C113" s="870"/>
      <c r="D113" s="870"/>
      <c r="E113" s="869"/>
      <c r="F113" s="871"/>
      <c r="G113" s="871"/>
      <c r="H113" s="871"/>
      <c r="I113" s="872"/>
      <c r="J113" s="871"/>
      <c r="K113" s="871"/>
      <c r="L113" s="871"/>
      <c r="M113" s="871"/>
      <c r="N113" s="874"/>
      <c r="O113" s="870"/>
      <c r="P113" s="870"/>
      <c r="Q113" s="870"/>
      <c r="R113" s="869"/>
      <c r="S113" s="869"/>
      <c r="T113" s="755"/>
      <c r="U113" s="655"/>
      <c r="V113" s="655"/>
      <c r="W113" s="655"/>
      <c r="X113" s="655"/>
      <c r="Y113" s="655"/>
      <c r="Z113" s="655"/>
      <c r="AA113" s="655"/>
      <c r="AB113" s="655"/>
      <c r="AC113" s="655"/>
      <c r="AD113" s="198"/>
      <c r="AE113" s="198"/>
      <c r="AF113" s="655"/>
      <c r="AG113" s="655"/>
      <c r="AH113" s="655"/>
      <c r="AI113" s="655"/>
      <c r="AJ113" s="655"/>
      <c r="AK113" s="655"/>
      <c r="AL113" s="655"/>
      <c r="AM113" s="655"/>
      <c r="AN113" s="655"/>
      <c r="AO113" s="655"/>
      <c r="AP113" s="655"/>
      <c r="AQ113" s="655"/>
      <c r="AR113" s="655"/>
      <c r="AS113" s="655"/>
      <c r="AT113" s="655"/>
      <c r="AU113" s="655"/>
      <c r="AV113" s="655"/>
      <c r="BB113" s="197"/>
    </row>
    <row r="114" spans="1:54">
      <c r="A114" s="824"/>
      <c r="B114" s="869"/>
      <c r="C114" s="870"/>
      <c r="D114" s="870"/>
      <c r="E114" s="869"/>
      <c r="F114" s="871"/>
      <c r="G114" s="871"/>
      <c r="H114" s="871"/>
      <c r="I114" s="872"/>
      <c r="J114" s="871"/>
      <c r="K114" s="871"/>
      <c r="L114" s="871"/>
      <c r="M114" s="873"/>
      <c r="N114" s="874"/>
      <c r="O114" s="870"/>
      <c r="P114" s="870"/>
      <c r="Q114" s="870"/>
      <c r="R114" s="869"/>
      <c r="S114" s="869"/>
      <c r="T114" s="755"/>
      <c r="U114" s="655"/>
      <c r="V114" s="655"/>
      <c r="W114" s="655"/>
      <c r="X114" s="655"/>
      <c r="Y114" s="655"/>
      <c r="Z114" s="655"/>
      <c r="AA114" s="655"/>
      <c r="AB114" s="655"/>
      <c r="AC114" s="655"/>
      <c r="AD114" s="198"/>
      <c r="AE114" s="198"/>
      <c r="AF114" s="655"/>
      <c r="AG114" s="655"/>
      <c r="AH114" s="655"/>
      <c r="AI114" s="655"/>
      <c r="AJ114" s="655"/>
      <c r="AK114" s="655"/>
      <c r="AL114" s="655"/>
      <c r="AM114" s="655"/>
      <c r="AN114" s="655"/>
      <c r="AO114" s="655"/>
      <c r="AP114" s="655"/>
      <c r="AQ114" s="655"/>
      <c r="AR114" s="655"/>
      <c r="AS114" s="655"/>
      <c r="AT114" s="655"/>
      <c r="AU114" s="655"/>
      <c r="AV114" s="655"/>
      <c r="BB114" s="197"/>
    </row>
    <row r="115" spans="1:54">
      <c r="A115" s="824"/>
      <c r="B115" s="655"/>
      <c r="C115" s="746"/>
      <c r="D115" s="746"/>
      <c r="E115" s="655"/>
      <c r="F115" s="747"/>
      <c r="G115" s="747"/>
      <c r="H115" s="747"/>
      <c r="I115" s="748"/>
      <c r="J115" s="747"/>
      <c r="K115" s="747"/>
      <c r="L115" s="747"/>
      <c r="M115" s="654"/>
      <c r="N115" s="749"/>
      <c r="O115" s="746"/>
      <c r="P115" s="746"/>
      <c r="Q115" s="746"/>
      <c r="R115" s="655"/>
      <c r="S115" s="655"/>
      <c r="T115" s="755"/>
      <c r="U115" s="655"/>
      <c r="V115" s="655"/>
      <c r="W115" s="655"/>
      <c r="X115" s="655"/>
      <c r="Y115" s="655"/>
      <c r="Z115" s="655"/>
      <c r="AA115" s="655"/>
      <c r="AB115" s="655"/>
      <c r="AC115" s="655"/>
      <c r="AD115" s="198"/>
      <c r="AE115" s="198"/>
      <c r="AF115" s="655"/>
      <c r="AG115" s="655"/>
      <c r="AH115" s="655"/>
      <c r="AI115" s="655"/>
      <c r="AJ115" s="655"/>
      <c r="AK115" s="655"/>
      <c r="AL115" s="655"/>
      <c r="AM115" s="655"/>
      <c r="AN115" s="655"/>
      <c r="AO115" s="655"/>
      <c r="AP115" s="655"/>
      <c r="AQ115" s="655"/>
      <c r="AR115" s="655"/>
      <c r="AS115" s="655"/>
      <c r="AT115" s="655"/>
      <c r="AU115" s="655"/>
      <c r="AV115" s="655"/>
    </row>
    <row r="116" spans="1:54">
      <c r="A116" s="824"/>
      <c r="B116" s="655"/>
      <c r="C116" s="746"/>
      <c r="D116" s="746"/>
      <c r="E116" s="655"/>
      <c r="F116" s="747"/>
      <c r="G116" s="747"/>
      <c r="H116" s="747"/>
      <c r="I116" s="748"/>
      <c r="J116" s="747"/>
      <c r="K116" s="747"/>
      <c r="L116" s="747"/>
      <c r="M116" s="654"/>
      <c r="N116" s="749"/>
      <c r="O116" s="746"/>
      <c r="P116" s="746"/>
      <c r="Q116" s="746"/>
      <c r="R116" s="655"/>
      <c r="S116" s="655"/>
      <c r="T116" s="755"/>
      <c r="U116" s="655"/>
      <c r="V116" s="655"/>
      <c r="W116" s="655"/>
      <c r="X116" s="655"/>
      <c r="Y116" s="655"/>
      <c r="Z116" s="655"/>
      <c r="AA116" s="655"/>
      <c r="AB116" s="655"/>
      <c r="AC116" s="655"/>
      <c r="AD116" s="198"/>
      <c r="AE116" s="198"/>
      <c r="AF116" s="655"/>
      <c r="AG116" s="655"/>
      <c r="AH116" s="655"/>
      <c r="AI116" s="655"/>
      <c r="AJ116" s="655"/>
      <c r="AK116" s="655"/>
      <c r="AL116" s="655"/>
      <c r="AM116" s="655"/>
      <c r="AN116" s="655"/>
      <c r="AO116" s="655"/>
      <c r="AP116" s="655"/>
      <c r="AQ116" s="655"/>
      <c r="AR116" s="655"/>
      <c r="AS116" s="655"/>
      <c r="AT116" s="655"/>
      <c r="AU116" s="655"/>
      <c r="AV116" s="655"/>
    </row>
    <row r="117" spans="1:54">
      <c r="A117" s="824"/>
      <c r="B117" s="655"/>
      <c r="C117" s="746"/>
      <c r="D117" s="746"/>
      <c r="E117" s="655"/>
      <c r="F117" s="747"/>
      <c r="G117" s="747"/>
      <c r="H117" s="747"/>
      <c r="I117" s="748"/>
      <c r="J117" s="747"/>
      <c r="K117" s="747"/>
      <c r="L117" s="747"/>
      <c r="M117" s="654"/>
      <c r="N117" s="749"/>
      <c r="O117" s="746"/>
      <c r="P117" s="746"/>
      <c r="Q117" s="746"/>
      <c r="R117" s="655"/>
      <c r="S117" s="655"/>
      <c r="T117" s="755"/>
      <c r="U117" s="655"/>
      <c r="V117" s="655"/>
      <c r="W117" s="655"/>
      <c r="X117" s="655"/>
      <c r="Y117" s="655"/>
      <c r="Z117" s="655"/>
      <c r="AA117" s="655"/>
      <c r="AB117" s="655"/>
      <c r="AC117" s="655"/>
      <c r="AD117" s="198"/>
      <c r="AE117" s="198"/>
      <c r="AF117" s="655"/>
      <c r="AG117" s="655"/>
      <c r="AH117" s="655"/>
      <c r="AI117" s="655"/>
      <c r="AJ117" s="655"/>
      <c r="AK117" s="655"/>
      <c r="AL117" s="655"/>
      <c r="AM117" s="655"/>
      <c r="AN117" s="655"/>
      <c r="AO117" s="655"/>
      <c r="AP117" s="655"/>
      <c r="AQ117" s="655"/>
      <c r="AR117" s="655"/>
      <c r="AS117" s="655"/>
      <c r="AT117" s="655"/>
      <c r="AU117" s="655"/>
      <c r="AV117" s="655"/>
    </row>
    <row r="118" spans="1:54">
      <c r="A118" s="824"/>
      <c r="B118" s="655"/>
      <c r="C118" s="746"/>
      <c r="D118" s="746"/>
      <c r="E118" s="655"/>
      <c r="F118" s="747"/>
      <c r="G118" s="747"/>
      <c r="H118" s="747"/>
      <c r="I118" s="748"/>
      <c r="J118" s="747"/>
      <c r="K118" s="747"/>
      <c r="L118" s="747"/>
      <c r="M118" s="654"/>
      <c r="N118" s="749"/>
      <c r="O118" s="746"/>
      <c r="P118" s="746"/>
      <c r="Q118" s="746"/>
      <c r="R118" s="655"/>
      <c r="S118" s="655"/>
      <c r="T118" s="755"/>
      <c r="U118" s="655"/>
      <c r="V118" s="655"/>
      <c r="W118" s="655"/>
      <c r="X118" s="655"/>
      <c r="Y118" s="655"/>
      <c r="Z118" s="655"/>
      <c r="AA118" s="655"/>
      <c r="AB118" s="655"/>
      <c r="AC118" s="655"/>
      <c r="AD118" s="198"/>
      <c r="AE118" s="198"/>
      <c r="AF118" s="655"/>
      <c r="AG118" s="655"/>
      <c r="AH118" s="655"/>
      <c r="AI118" s="655"/>
      <c r="AJ118" s="655"/>
      <c r="AK118" s="655"/>
      <c r="AL118" s="655"/>
      <c r="AM118" s="655"/>
      <c r="AN118" s="655"/>
      <c r="AO118" s="655"/>
      <c r="AP118" s="655"/>
      <c r="AQ118" s="655"/>
      <c r="AR118" s="655"/>
      <c r="AS118" s="655"/>
      <c r="AT118" s="655"/>
      <c r="AU118" s="655"/>
      <c r="AV118" s="655"/>
    </row>
    <row r="119" spans="1:54">
      <c r="A119" s="824"/>
      <c r="B119" s="655"/>
      <c r="C119" s="746"/>
      <c r="D119" s="746"/>
      <c r="E119" s="655"/>
      <c r="F119" s="747"/>
      <c r="G119" s="747"/>
      <c r="H119" s="747"/>
      <c r="I119" s="748"/>
      <c r="J119" s="747"/>
      <c r="K119" s="747"/>
      <c r="L119" s="747"/>
      <c r="M119" s="654"/>
      <c r="N119" s="749"/>
      <c r="O119" s="746"/>
      <c r="P119" s="746"/>
      <c r="Q119" s="746"/>
      <c r="R119" s="655"/>
      <c r="S119" s="655"/>
      <c r="T119" s="755"/>
      <c r="U119" s="655"/>
      <c r="V119" s="655"/>
      <c r="W119" s="655"/>
      <c r="X119" s="655"/>
      <c r="Y119" s="655"/>
      <c r="Z119" s="655"/>
      <c r="AA119" s="655"/>
      <c r="AB119" s="655"/>
      <c r="AC119" s="655"/>
      <c r="AD119" s="198"/>
      <c r="AE119" s="198"/>
      <c r="AF119" s="655"/>
      <c r="AG119" s="655"/>
      <c r="AH119" s="655"/>
      <c r="AI119" s="655"/>
      <c r="AJ119" s="655"/>
      <c r="AK119" s="655"/>
      <c r="AL119" s="655"/>
      <c r="AM119" s="655"/>
      <c r="AN119" s="655"/>
      <c r="AO119" s="655"/>
      <c r="AP119" s="655"/>
      <c r="AQ119" s="655"/>
      <c r="AR119" s="655"/>
      <c r="AS119" s="655"/>
      <c r="AT119" s="655"/>
      <c r="AU119" s="655"/>
      <c r="AV119" s="655"/>
    </row>
    <row r="120" spans="1:54">
      <c r="A120" s="824"/>
      <c r="B120" s="655"/>
      <c r="C120" s="746"/>
      <c r="D120" s="746"/>
      <c r="E120" s="655"/>
      <c r="F120" s="747"/>
      <c r="G120" s="747"/>
      <c r="H120" s="747"/>
      <c r="I120" s="748"/>
      <c r="J120" s="747"/>
      <c r="L120" s="747"/>
      <c r="M120" s="654"/>
      <c r="N120" s="749"/>
      <c r="O120" s="746"/>
      <c r="P120" s="746"/>
      <c r="Q120" s="746"/>
      <c r="R120" s="655"/>
      <c r="S120" s="655"/>
      <c r="T120" s="755"/>
      <c r="U120" s="655"/>
      <c r="V120" s="655"/>
      <c r="W120" s="655"/>
      <c r="X120" s="655"/>
      <c r="Y120" s="655"/>
      <c r="Z120" s="655"/>
      <c r="AA120" s="655"/>
      <c r="AB120" s="655"/>
      <c r="AC120" s="655"/>
      <c r="AD120" s="198"/>
      <c r="AE120" s="198"/>
      <c r="AF120" s="655"/>
      <c r="AG120" s="655"/>
      <c r="AH120" s="655"/>
      <c r="AI120" s="655"/>
      <c r="AJ120" s="655"/>
      <c r="AK120" s="655"/>
      <c r="AL120" s="655"/>
      <c r="AM120" s="655"/>
      <c r="AN120" s="655"/>
      <c r="AO120" s="655"/>
      <c r="AP120" s="655"/>
      <c r="AQ120" s="655"/>
      <c r="AR120" s="655"/>
      <c r="AS120" s="655"/>
      <c r="AT120" s="655"/>
      <c r="AU120" s="655"/>
      <c r="AV120" s="655"/>
    </row>
    <row r="121" spans="1:54">
      <c r="A121" s="824"/>
      <c r="B121" s="655"/>
      <c r="C121" s="746"/>
      <c r="D121" s="746"/>
      <c r="E121" s="655"/>
      <c r="F121" s="747"/>
      <c r="G121" s="747"/>
      <c r="H121" s="747"/>
      <c r="I121" s="748"/>
      <c r="J121" s="747"/>
      <c r="K121" s="747"/>
      <c r="L121" s="747"/>
      <c r="M121" s="654"/>
      <c r="N121" s="749"/>
      <c r="O121" s="746"/>
      <c r="P121" s="746"/>
      <c r="Q121" s="746"/>
      <c r="R121" s="655"/>
      <c r="S121" s="655"/>
      <c r="T121" s="755"/>
      <c r="U121" s="655"/>
      <c r="V121" s="655"/>
      <c r="W121" s="655"/>
      <c r="X121" s="655"/>
      <c r="Y121" s="655"/>
      <c r="Z121" s="655"/>
      <c r="AA121" s="655"/>
      <c r="AB121" s="655"/>
      <c r="AC121" s="655"/>
      <c r="AD121" s="198"/>
      <c r="AE121" s="198"/>
      <c r="AF121" s="655"/>
      <c r="AG121" s="655"/>
      <c r="AH121" s="655"/>
      <c r="AI121" s="655"/>
      <c r="AJ121" s="655"/>
      <c r="AK121" s="655"/>
      <c r="AL121" s="655"/>
      <c r="AM121" s="655"/>
      <c r="AN121" s="655"/>
      <c r="AO121" s="655"/>
      <c r="AP121" s="655"/>
      <c r="AQ121" s="655"/>
      <c r="AR121" s="655"/>
      <c r="AS121" s="655"/>
      <c r="AT121" s="655"/>
      <c r="AU121" s="655"/>
      <c r="AV121" s="655"/>
    </row>
    <row r="122" spans="1:54">
      <c r="A122" s="824"/>
      <c r="B122" s="655"/>
      <c r="C122" s="746"/>
      <c r="D122" s="746"/>
      <c r="E122" s="655"/>
      <c r="F122" s="747"/>
      <c r="G122" s="747"/>
      <c r="H122" s="747"/>
      <c r="I122" s="748"/>
      <c r="J122" s="747"/>
      <c r="K122" s="747"/>
      <c r="L122" s="747"/>
      <c r="M122" s="654"/>
      <c r="N122" s="749"/>
      <c r="O122" s="746"/>
      <c r="P122" s="746"/>
      <c r="Q122" s="746"/>
      <c r="R122" s="655"/>
      <c r="S122" s="655"/>
      <c r="T122" s="755"/>
      <c r="U122" s="655"/>
      <c r="V122" s="655"/>
      <c r="W122" s="655"/>
      <c r="X122" s="655"/>
      <c r="Y122" s="655"/>
      <c r="Z122" s="655"/>
      <c r="AA122" s="655"/>
      <c r="AB122" s="655"/>
      <c r="AC122" s="655"/>
      <c r="AD122" s="198"/>
      <c r="AE122" s="198"/>
      <c r="AF122" s="655"/>
      <c r="AG122" s="655"/>
      <c r="AH122" s="655"/>
      <c r="AI122" s="655"/>
      <c r="AJ122" s="655"/>
      <c r="AK122" s="655"/>
      <c r="AL122" s="655"/>
      <c r="AM122" s="655"/>
      <c r="AN122" s="655"/>
      <c r="AO122" s="655"/>
      <c r="AP122" s="655"/>
      <c r="AQ122" s="655"/>
      <c r="AR122" s="655"/>
      <c r="AS122" s="655"/>
      <c r="AT122" s="655"/>
      <c r="AU122" s="655"/>
      <c r="AV122" s="655"/>
    </row>
    <row r="123" spans="1:54">
      <c r="A123" s="824"/>
      <c r="B123" s="655"/>
      <c r="C123" s="746"/>
      <c r="D123" s="746"/>
      <c r="E123" s="655"/>
      <c r="F123" s="747"/>
      <c r="G123" s="747"/>
      <c r="H123" s="747"/>
      <c r="I123" s="748"/>
      <c r="J123" s="747"/>
      <c r="K123" s="747"/>
      <c r="L123" s="747"/>
      <c r="M123" s="654"/>
      <c r="N123" s="749"/>
      <c r="O123" s="746"/>
      <c r="P123" s="746"/>
      <c r="Q123" s="746"/>
      <c r="R123" s="655"/>
      <c r="S123" s="655"/>
      <c r="T123" s="755"/>
      <c r="U123" s="655"/>
      <c r="V123" s="655"/>
      <c r="W123" s="655"/>
      <c r="X123" s="655"/>
      <c r="Y123" s="655"/>
      <c r="Z123" s="655"/>
      <c r="AA123" s="655"/>
      <c r="AB123" s="655"/>
      <c r="AC123" s="655"/>
      <c r="AD123" s="198"/>
      <c r="AE123" s="198"/>
      <c r="AF123" s="655"/>
      <c r="AG123" s="655"/>
      <c r="AH123" s="655"/>
      <c r="AI123" s="655"/>
      <c r="AJ123" s="655"/>
      <c r="AK123" s="655"/>
      <c r="AL123" s="655"/>
      <c r="AM123" s="655"/>
      <c r="AN123" s="655"/>
      <c r="AO123" s="655"/>
      <c r="AP123" s="655"/>
      <c r="AQ123" s="655"/>
      <c r="AR123" s="655"/>
      <c r="AS123" s="655"/>
      <c r="AT123" s="655"/>
      <c r="AU123" s="655"/>
      <c r="AV123" s="655"/>
    </row>
    <row r="124" spans="1:54">
      <c r="A124" s="655"/>
      <c r="B124" s="655"/>
      <c r="C124" s="746"/>
      <c r="D124" s="746"/>
      <c r="E124" s="655"/>
      <c r="F124" s="747"/>
      <c r="G124" s="747"/>
      <c r="H124" s="747"/>
      <c r="I124" s="748"/>
      <c r="J124" s="747"/>
      <c r="K124" s="747"/>
      <c r="L124" s="747"/>
      <c r="M124" s="654"/>
      <c r="N124" s="749"/>
      <c r="O124" s="746"/>
      <c r="P124" s="746"/>
      <c r="Q124" s="746"/>
      <c r="R124" s="655"/>
      <c r="S124" s="655"/>
      <c r="T124" s="755"/>
      <c r="U124" s="655"/>
      <c r="V124" s="655"/>
      <c r="W124" s="655"/>
      <c r="X124" s="655"/>
      <c r="Y124" s="655"/>
      <c r="Z124" s="655"/>
      <c r="AA124" s="655"/>
      <c r="AB124" s="655"/>
      <c r="AC124" s="655"/>
      <c r="AD124" s="198"/>
      <c r="AE124" s="198"/>
      <c r="AF124" s="655"/>
      <c r="AG124" s="655"/>
      <c r="AH124" s="655"/>
      <c r="AI124" s="655"/>
      <c r="AJ124" s="655"/>
      <c r="AK124" s="655"/>
      <c r="AL124" s="655"/>
      <c r="AM124" s="655"/>
      <c r="AN124" s="655"/>
      <c r="AO124" s="655"/>
      <c r="AP124" s="655"/>
      <c r="AQ124" s="655"/>
      <c r="AR124" s="655"/>
      <c r="AS124" s="655"/>
      <c r="AT124" s="655"/>
      <c r="AU124" s="655"/>
      <c r="AV124" s="655"/>
    </row>
    <row r="125" spans="1:54">
      <c r="A125" s="655"/>
      <c r="B125" s="655"/>
      <c r="C125" s="746"/>
      <c r="D125" s="746"/>
      <c r="E125" s="655"/>
      <c r="F125" s="747"/>
      <c r="G125" s="747"/>
      <c r="H125" s="747"/>
      <c r="I125" s="748"/>
      <c r="J125" s="747"/>
      <c r="K125" s="747"/>
      <c r="L125" s="747"/>
      <c r="M125" s="654"/>
      <c r="N125" s="749"/>
      <c r="O125" s="746"/>
      <c r="P125" s="746"/>
      <c r="Q125" s="746"/>
      <c r="R125" s="655"/>
      <c r="S125" s="655"/>
      <c r="T125" s="755"/>
      <c r="U125" s="655"/>
      <c r="V125" s="655"/>
      <c r="W125" s="655"/>
      <c r="X125" s="655"/>
      <c r="Y125" s="655"/>
      <c r="Z125" s="655"/>
      <c r="AA125" s="655"/>
      <c r="AB125" s="655"/>
      <c r="AC125" s="655"/>
      <c r="AD125" s="198"/>
      <c r="AE125" s="198"/>
      <c r="AF125" s="655"/>
      <c r="AG125" s="655"/>
      <c r="AH125" s="655"/>
      <c r="AI125" s="655"/>
      <c r="AJ125" s="655"/>
      <c r="AK125" s="655"/>
      <c r="AL125" s="655"/>
      <c r="AM125" s="655"/>
      <c r="AN125" s="655"/>
      <c r="AO125" s="655"/>
      <c r="AP125" s="655"/>
      <c r="AQ125" s="655"/>
      <c r="AR125" s="655"/>
      <c r="AS125" s="655"/>
      <c r="AT125" s="655"/>
      <c r="AU125" s="655"/>
      <c r="AV125" s="655"/>
    </row>
    <row r="126" spans="1:54">
      <c r="A126" s="655"/>
      <c r="B126" s="655"/>
      <c r="C126" s="746"/>
      <c r="D126" s="746"/>
      <c r="E126" s="655"/>
      <c r="F126" s="747"/>
      <c r="G126" s="747"/>
      <c r="H126" s="747"/>
      <c r="I126" s="748"/>
      <c r="J126" s="747"/>
      <c r="K126" s="747"/>
      <c r="L126" s="747"/>
      <c r="M126" s="654"/>
      <c r="N126" s="749"/>
      <c r="O126" s="746"/>
      <c r="P126" s="746"/>
      <c r="Q126" s="746"/>
      <c r="R126" s="655"/>
      <c r="S126" s="655"/>
      <c r="T126" s="755"/>
      <c r="U126" s="655"/>
      <c r="V126" s="655"/>
      <c r="W126" s="655"/>
      <c r="X126" s="655"/>
      <c r="Y126" s="655"/>
      <c r="Z126" s="655"/>
      <c r="AA126" s="655"/>
      <c r="AB126" s="655"/>
      <c r="AC126" s="655"/>
      <c r="AD126" s="198"/>
      <c r="AE126" s="198"/>
      <c r="AF126" s="655"/>
      <c r="AG126" s="655"/>
      <c r="AH126" s="655"/>
      <c r="AI126" s="655"/>
      <c r="AJ126" s="655"/>
      <c r="AK126" s="655"/>
      <c r="AL126" s="655"/>
      <c r="AM126" s="655"/>
      <c r="AN126" s="655"/>
      <c r="AO126" s="655"/>
      <c r="AP126" s="655"/>
      <c r="AQ126" s="655"/>
      <c r="AR126" s="655"/>
      <c r="AS126" s="655"/>
      <c r="AT126" s="655"/>
      <c r="AU126" s="655"/>
      <c r="AV126" s="655"/>
    </row>
    <row r="127" spans="1:54">
      <c r="A127" s="655"/>
      <c r="B127" s="655"/>
      <c r="C127" s="746"/>
      <c r="D127" s="746"/>
      <c r="E127" s="655"/>
      <c r="F127" s="747"/>
      <c r="G127" s="747"/>
      <c r="H127" s="747"/>
      <c r="I127" s="748"/>
      <c r="J127" s="747"/>
      <c r="K127" s="747"/>
      <c r="L127" s="747"/>
      <c r="M127" s="654"/>
      <c r="N127" s="749"/>
      <c r="O127" s="746"/>
      <c r="P127" s="746"/>
      <c r="Q127" s="746"/>
      <c r="R127" s="655"/>
      <c r="S127" s="655"/>
      <c r="T127" s="755"/>
      <c r="U127" s="655"/>
      <c r="V127" s="655"/>
      <c r="W127" s="655"/>
      <c r="X127" s="655"/>
      <c r="Y127" s="655"/>
      <c r="Z127" s="655"/>
      <c r="AA127" s="655"/>
      <c r="AB127" s="655"/>
      <c r="AC127" s="655"/>
      <c r="AD127" s="198"/>
      <c r="AE127" s="198"/>
      <c r="AF127" s="655"/>
      <c r="AG127" s="655"/>
      <c r="AH127" s="655"/>
      <c r="AI127" s="655"/>
      <c r="AJ127" s="655"/>
      <c r="AK127" s="655"/>
      <c r="AL127" s="655"/>
      <c r="AM127" s="655"/>
      <c r="AN127" s="655"/>
      <c r="AO127" s="655"/>
      <c r="AP127" s="655"/>
      <c r="AQ127" s="655"/>
      <c r="AR127" s="655"/>
      <c r="AS127" s="655"/>
      <c r="AT127" s="655"/>
      <c r="AU127" s="655"/>
      <c r="AV127" s="655"/>
    </row>
    <row r="128" spans="1:54">
      <c r="A128" s="655"/>
      <c r="B128" s="655"/>
      <c r="C128" s="746"/>
      <c r="D128" s="746"/>
      <c r="E128" s="655"/>
      <c r="F128" s="747"/>
      <c r="G128" s="747"/>
      <c r="H128" s="747"/>
      <c r="I128" s="748"/>
      <c r="J128" s="747"/>
      <c r="K128" s="747"/>
      <c r="L128" s="747"/>
      <c r="M128" s="654"/>
      <c r="N128" s="749"/>
      <c r="O128" s="746"/>
      <c r="P128" s="746"/>
      <c r="Q128" s="746"/>
      <c r="R128" s="655"/>
      <c r="S128" s="655"/>
      <c r="T128" s="755"/>
      <c r="U128" s="655"/>
      <c r="V128" s="655"/>
      <c r="W128" s="655"/>
      <c r="X128" s="655"/>
      <c r="Y128" s="655"/>
      <c r="Z128" s="655"/>
      <c r="AA128" s="655"/>
      <c r="AB128" s="655"/>
      <c r="AC128" s="655"/>
      <c r="AD128" s="198"/>
      <c r="AE128" s="198"/>
      <c r="AF128" s="655"/>
      <c r="AG128" s="655"/>
      <c r="AH128" s="655"/>
      <c r="AI128" s="655"/>
      <c r="AJ128" s="655"/>
      <c r="AK128" s="655"/>
      <c r="AL128" s="655"/>
      <c r="AM128" s="655"/>
      <c r="AN128" s="655"/>
      <c r="AO128" s="655"/>
      <c r="AP128" s="655"/>
      <c r="AQ128" s="655"/>
      <c r="AR128" s="655"/>
      <c r="AS128" s="655"/>
      <c r="AT128" s="655"/>
      <c r="AU128" s="655"/>
      <c r="AV128" s="655"/>
    </row>
    <row r="129" spans="1:48">
      <c r="A129" s="655"/>
      <c r="B129" s="655"/>
      <c r="C129" s="746"/>
      <c r="D129" s="746"/>
      <c r="E129" s="655"/>
      <c r="F129" s="747"/>
      <c r="G129" s="747"/>
      <c r="H129" s="747"/>
      <c r="I129" s="748"/>
      <c r="J129" s="747"/>
      <c r="K129" s="747"/>
      <c r="L129" s="747"/>
      <c r="M129" s="654"/>
      <c r="N129" s="749"/>
      <c r="O129" s="746"/>
      <c r="P129" s="746"/>
      <c r="Q129" s="746"/>
      <c r="R129" s="655"/>
      <c r="S129" s="655"/>
      <c r="T129" s="755"/>
      <c r="U129" s="655"/>
      <c r="V129" s="655"/>
      <c r="W129" s="655"/>
      <c r="X129" s="655"/>
      <c r="Y129" s="655"/>
      <c r="Z129" s="655"/>
      <c r="AA129" s="655"/>
      <c r="AB129" s="655"/>
      <c r="AC129" s="655"/>
      <c r="AD129" s="655"/>
      <c r="AE129" s="655"/>
      <c r="AF129" s="655"/>
      <c r="AG129" s="655"/>
      <c r="AH129" s="655"/>
      <c r="AI129" s="655"/>
      <c r="AJ129" s="655"/>
      <c r="AK129" s="655"/>
      <c r="AL129" s="655"/>
      <c r="AM129" s="655"/>
      <c r="AN129" s="655"/>
      <c r="AO129" s="655"/>
      <c r="AP129" s="655"/>
      <c r="AQ129" s="655"/>
      <c r="AR129" s="655"/>
      <c r="AS129" s="655"/>
      <c r="AT129" s="655"/>
      <c r="AU129" s="655"/>
      <c r="AV129" s="655"/>
    </row>
    <row r="130" spans="1:48">
      <c r="A130" s="655"/>
      <c r="B130" s="655"/>
      <c r="C130" s="746"/>
      <c r="D130" s="746"/>
      <c r="E130" s="655"/>
      <c r="F130" s="747"/>
      <c r="G130" s="747"/>
      <c r="H130" s="747"/>
      <c r="I130" s="748"/>
      <c r="J130" s="747"/>
      <c r="K130" s="747"/>
      <c r="L130" s="747"/>
      <c r="M130" s="654"/>
      <c r="N130" s="749"/>
      <c r="O130" s="746"/>
      <c r="P130" s="746"/>
      <c r="Q130" s="746"/>
      <c r="R130" s="655"/>
      <c r="S130" s="655"/>
      <c r="T130" s="755"/>
      <c r="U130" s="655"/>
      <c r="V130" s="655"/>
      <c r="W130" s="655"/>
      <c r="X130" s="655"/>
      <c r="Y130" s="655"/>
      <c r="Z130" s="655"/>
      <c r="AA130" s="655"/>
      <c r="AB130" s="655"/>
      <c r="AC130" s="655"/>
      <c r="AD130" s="655"/>
      <c r="AE130" s="655"/>
      <c r="AF130" s="655"/>
      <c r="AG130" s="655"/>
      <c r="AH130" s="655"/>
      <c r="AI130" s="655"/>
      <c r="AJ130" s="655"/>
      <c r="AK130" s="655"/>
      <c r="AL130" s="655"/>
      <c r="AM130" s="655"/>
      <c r="AN130" s="655"/>
      <c r="AO130" s="655"/>
      <c r="AP130" s="655"/>
      <c r="AQ130" s="655"/>
      <c r="AR130" s="655"/>
      <c r="AS130" s="655"/>
      <c r="AT130" s="655"/>
      <c r="AU130" s="655"/>
      <c r="AV130" s="655"/>
    </row>
    <row r="131" spans="1:48">
      <c r="A131" s="655"/>
      <c r="B131" s="655"/>
      <c r="C131" s="746"/>
      <c r="D131" s="746"/>
      <c r="E131" s="655"/>
      <c r="F131" s="747"/>
      <c r="G131" s="747"/>
      <c r="H131" s="747"/>
      <c r="I131" s="748"/>
      <c r="J131" s="747"/>
      <c r="K131" s="747"/>
      <c r="L131" s="747"/>
      <c r="M131" s="654"/>
      <c r="N131" s="749"/>
      <c r="O131" s="746"/>
      <c r="P131" s="746"/>
      <c r="Q131" s="746"/>
      <c r="R131" s="655"/>
      <c r="S131" s="655"/>
      <c r="T131" s="755"/>
      <c r="U131" s="655"/>
      <c r="V131" s="655"/>
      <c r="W131" s="655"/>
      <c r="X131" s="655"/>
      <c r="Y131" s="655"/>
      <c r="Z131" s="655"/>
      <c r="AA131" s="655"/>
      <c r="AB131" s="655"/>
      <c r="AC131" s="655"/>
      <c r="AD131" s="655"/>
      <c r="AE131" s="655"/>
      <c r="AF131" s="655"/>
      <c r="AG131" s="655"/>
      <c r="AH131" s="655"/>
      <c r="AI131" s="655"/>
      <c r="AJ131" s="655"/>
      <c r="AK131" s="655"/>
      <c r="AL131" s="655"/>
      <c r="AM131" s="655"/>
      <c r="AN131" s="655"/>
      <c r="AO131" s="655"/>
      <c r="AP131" s="655"/>
      <c r="AQ131" s="655"/>
      <c r="AR131" s="655"/>
      <c r="AS131" s="655"/>
      <c r="AT131" s="655"/>
      <c r="AU131" s="655"/>
      <c r="AV131" s="655"/>
    </row>
    <row r="132" spans="1:48">
      <c r="A132" s="655"/>
      <c r="B132" s="655"/>
      <c r="C132" s="746"/>
      <c r="D132" s="746"/>
      <c r="E132" s="655"/>
      <c r="F132" s="747"/>
      <c r="G132" s="747"/>
      <c r="H132" s="747"/>
      <c r="I132" s="748"/>
      <c r="J132" s="747"/>
      <c r="K132" s="747"/>
      <c r="L132" s="747"/>
      <c r="M132" s="654"/>
      <c r="N132" s="749"/>
      <c r="O132" s="746"/>
      <c r="P132" s="746"/>
      <c r="Q132" s="746"/>
      <c r="R132" s="655"/>
      <c r="S132" s="655"/>
      <c r="T132" s="755"/>
      <c r="U132" s="655"/>
      <c r="V132" s="655"/>
      <c r="W132" s="655"/>
      <c r="X132" s="655"/>
      <c r="Y132" s="655"/>
      <c r="Z132" s="655"/>
      <c r="AA132" s="655"/>
      <c r="AB132" s="655"/>
      <c r="AC132" s="655"/>
      <c r="AD132" s="655"/>
      <c r="AE132" s="655"/>
      <c r="AF132" s="655"/>
      <c r="AG132" s="655"/>
      <c r="AH132" s="655"/>
      <c r="AI132" s="655"/>
      <c r="AJ132" s="655"/>
      <c r="AK132" s="655"/>
      <c r="AL132" s="655"/>
      <c r="AM132" s="655"/>
      <c r="AN132" s="655"/>
      <c r="AO132" s="655"/>
      <c r="AP132" s="655"/>
      <c r="AQ132" s="655"/>
      <c r="AR132" s="655"/>
      <c r="AS132" s="655"/>
      <c r="AT132" s="655"/>
      <c r="AU132" s="655"/>
      <c r="AV132" s="655"/>
    </row>
    <row r="133" spans="1:48">
      <c r="A133" s="655"/>
      <c r="B133" s="655"/>
      <c r="C133" s="746"/>
      <c r="D133" s="746"/>
      <c r="E133" s="655"/>
      <c r="F133" s="747"/>
      <c r="G133" s="747"/>
      <c r="H133" s="747"/>
      <c r="I133" s="748"/>
      <c r="J133" s="747"/>
      <c r="K133" s="747"/>
      <c r="L133" s="747"/>
      <c r="M133" s="654"/>
      <c r="N133" s="749"/>
      <c r="O133" s="746"/>
      <c r="P133" s="746"/>
      <c r="Q133" s="746"/>
      <c r="R133" s="655"/>
      <c r="S133" s="655"/>
      <c r="T133" s="755"/>
      <c r="U133" s="655"/>
      <c r="V133" s="655"/>
      <c r="W133" s="655"/>
      <c r="X133" s="655"/>
      <c r="Y133" s="655"/>
      <c r="Z133" s="655"/>
      <c r="AA133" s="655"/>
      <c r="AB133" s="655"/>
      <c r="AC133" s="655"/>
      <c r="AD133" s="655"/>
      <c r="AE133" s="655"/>
      <c r="AF133" s="655"/>
      <c r="AG133" s="655"/>
      <c r="AH133" s="655"/>
      <c r="AI133" s="655"/>
      <c r="AJ133" s="655"/>
      <c r="AK133" s="655"/>
      <c r="AL133" s="655"/>
      <c r="AM133" s="655"/>
      <c r="AN133" s="655"/>
      <c r="AO133" s="655"/>
      <c r="AP133" s="655"/>
      <c r="AQ133" s="655"/>
      <c r="AR133" s="655"/>
      <c r="AS133" s="655"/>
      <c r="AT133" s="655"/>
      <c r="AU133" s="655"/>
      <c r="AV133" s="655"/>
    </row>
    <row r="134" spans="1:48">
      <c r="A134" s="655"/>
      <c r="B134" s="655"/>
      <c r="C134" s="746"/>
      <c r="D134" s="746"/>
      <c r="E134" s="655"/>
      <c r="F134" s="747"/>
      <c r="G134" s="747"/>
      <c r="H134" s="747"/>
      <c r="I134" s="748"/>
      <c r="J134" s="747"/>
      <c r="K134" s="747"/>
      <c r="L134" s="747"/>
      <c r="M134" s="654"/>
      <c r="N134" s="749"/>
      <c r="O134" s="746"/>
      <c r="P134" s="746"/>
      <c r="Q134" s="746"/>
      <c r="R134" s="655"/>
      <c r="S134" s="655"/>
      <c r="T134" s="755"/>
      <c r="U134" s="655"/>
      <c r="V134" s="655"/>
      <c r="W134" s="655"/>
      <c r="X134" s="655"/>
      <c r="Y134" s="655"/>
      <c r="Z134" s="655"/>
      <c r="AA134" s="655"/>
      <c r="AB134" s="655"/>
      <c r="AC134" s="655"/>
      <c r="AD134" s="655"/>
      <c r="AE134" s="655"/>
      <c r="AF134" s="655"/>
      <c r="AG134" s="655"/>
      <c r="AH134" s="655"/>
      <c r="AI134" s="655"/>
      <c r="AJ134" s="655"/>
      <c r="AK134" s="655"/>
      <c r="AL134" s="655"/>
      <c r="AM134" s="655"/>
      <c r="AN134" s="655"/>
      <c r="AO134" s="655"/>
      <c r="AP134" s="655"/>
      <c r="AQ134" s="655"/>
      <c r="AR134" s="655"/>
      <c r="AS134" s="655"/>
      <c r="AT134" s="655"/>
      <c r="AU134" s="655"/>
      <c r="AV134" s="655"/>
    </row>
    <row r="135" spans="1:48">
      <c r="A135" s="655"/>
      <c r="B135" s="655"/>
      <c r="C135" s="746"/>
      <c r="D135" s="746"/>
      <c r="E135" s="655"/>
      <c r="F135" s="747"/>
      <c r="G135" s="747"/>
      <c r="H135" s="747"/>
      <c r="I135" s="748"/>
      <c r="J135" s="747"/>
      <c r="K135" s="747"/>
      <c r="L135" s="747"/>
      <c r="M135" s="654"/>
      <c r="N135" s="749"/>
      <c r="O135" s="746"/>
      <c r="P135" s="746"/>
      <c r="Q135" s="746"/>
      <c r="R135" s="655"/>
      <c r="S135" s="655"/>
      <c r="T135" s="755"/>
      <c r="U135" s="655"/>
      <c r="V135" s="655"/>
      <c r="W135" s="655"/>
      <c r="X135" s="655"/>
      <c r="Y135" s="655"/>
      <c r="Z135" s="655"/>
      <c r="AA135" s="655"/>
      <c r="AB135" s="655"/>
      <c r="AC135" s="655"/>
      <c r="AD135" s="655"/>
      <c r="AE135" s="655"/>
      <c r="AF135" s="655"/>
      <c r="AG135" s="655"/>
      <c r="AH135" s="655"/>
      <c r="AI135" s="655"/>
      <c r="AJ135" s="655"/>
      <c r="AK135" s="655"/>
      <c r="AL135" s="655"/>
      <c r="AM135" s="655"/>
      <c r="AN135" s="655"/>
      <c r="AO135" s="655"/>
      <c r="AP135" s="655"/>
      <c r="AQ135" s="655"/>
      <c r="AR135" s="655"/>
      <c r="AS135" s="655"/>
      <c r="AT135" s="655"/>
      <c r="AU135" s="655"/>
      <c r="AV135" s="655"/>
    </row>
    <row r="136" spans="1:48">
      <c r="A136" s="655"/>
      <c r="B136" s="655"/>
      <c r="C136" s="746"/>
      <c r="D136" s="746"/>
      <c r="E136" s="655"/>
      <c r="F136" s="747"/>
      <c r="G136" s="747"/>
      <c r="H136" s="747"/>
      <c r="I136" s="748"/>
      <c r="J136" s="747"/>
      <c r="K136" s="747"/>
      <c r="L136" s="747"/>
      <c r="M136" s="654"/>
      <c r="N136" s="749"/>
      <c r="O136" s="746"/>
      <c r="P136" s="746"/>
      <c r="Q136" s="746"/>
      <c r="R136" s="655"/>
      <c r="S136" s="655"/>
      <c r="T136" s="755"/>
      <c r="U136" s="655"/>
      <c r="V136" s="655"/>
      <c r="W136" s="655"/>
      <c r="X136" s="655"/>
      <c r="Y136" s="655"/>
      <c r="Z136" s="655"/>
      <c r="AA136" s="655"/>
      <c r="AB136" s="655"/>
      <c r="AC136" s="655"/>
      <c r="AD136" s="655"/>
      <c r="AE136" s="655"/>
      <c r="AF136" s="655"/>
      <c r="AG136" s="655"/>
      <c r="AH136" s="655"/>
      <c r="AI136" s="655"/>
      <c r="AJ136" s="655"/>
      <c r="AK136" s="655"/>
      <c r="AL136" s="655"/>
      <c r="AM136" s="655"/>
      <c r="AN136" s="655"/>
      <c r="AO136" s="655"/>
      <c r="AP136" s="655"/>
      <c r="AQ136" s="655"/>
      <c r="AR136" s="655"/>
      <c r="AS136" s="655"/>
      <c r="AT136" s="655"/>
      <c r="AU136" s="655"/>
      <c r="AV136" s="655"/>
    </row>
    <row r="137" spans="1:48">
      <c r="A137" s="655"/>
      <c r="B137" s="655"/>
      <c r="C137" s="746"/>
      <c r="D137" s="746"/>
      <c r="E137" s="655"/>
      <c r="F137" s="747"/>
      <c r="G137" s="747"/>
      <c r="H137" s="747"/>
      <c r="I137" s="748"/>
      <c r="J137" s="747"/>
      <c r="K137" s="747"/>
      <c r="L137" s="747"/>
      <c r="M137" s="654"/>
      <c r="N137" s="749"/>
      <c r="O137" s="746"/>
      <c r="P137" s="746"/>
      <c r="Q137" s="746"/>
      <c r="R137" s="655"/>
      <c r="S137" s="655"/>
      <c r="T137" s="755"/>
      <c r="U137" s="655"/>
      <c r="V137" s="655"/>
      <c r="W137" s="655"/>
      <c r="X137" s="655"/>
      <c r="Y137" s="655"/>
      <c r="Z137" s="655"/>
      <c r="AA137" s="655"/>
      <c r="AB137" s="655"/>
      <c r="AC137" s="655"/>
      <c r="AD137" s="655"/>
      <c r="AE137" s="655"/>
      <c r="AF137" s="655"/>
      <c r="AG137" s="655"/>
      <c r="AH137" s="655"/>
      <c r="AI137" s="655"/>
      <c r="AJ137" s="655"/>
      <c r="AK137" s="655"/>
      <c r="AL137" s="655"/>
      <c r="AM137" s="655"/>
      <c r="AN137" s="655"/>
      <c r="AO137" s="655"/>
      <c r="AP137" s="655"/>
      <c r="AQ137" s="655"/>
      <c r="AR137" s="655"/>
      <c r="AS137" s="655"/>
      <c r="AT137" s="655"/>
      <c r="AU137" s="655"/>
      <c r="AV137" s="655"/>
    </row>
    <row r="138" spans="1:48">
      <c r="A138" s="655"/>
      <c r="B138" s="655"/>
      <c r="C138" s="746"/>
      <c r="D138" s="746"/>
      <c r="E138" s="655"/>
      <c r="F138" s="747"/>
      <c r="G138" s="747"/>
      <c r="H138" s="747"/>
      <c r="I138" s="748"/>
      <c r="J138" s="747"/>
      <c r="K138" s="747"/>
      <c r="L138" s="747"/>
      <c r="M138" s="654"/>
      <c r="N138" s="749"/>
      <c r="O138" s="746"/>
      <c r="P138" s="746"/>
      <c r="Q138" s="746"/>
      <c r="R138" s="655"/>
      <c r="S138" s="655"/>
      <c r="T138" s="755"/>
      <c r="U138" s="655"/>
      <c r="V138" s="655"/>
      <c r="W138" s="655"/>
      <c r="X138" s="655"/>
      <c r="Y138" s="655"/>
      <c r="Z138" s="655"/>
      <c r="AA138" s="655"/>
      <c r="AB138" s="655"/>
      <c r="AC138" s="655"/>
      <c r="AD138" s="655"/>
      <c r="AE138" s="655"/>
      <c r="AF138" s="655"/>
      <c r="AG138" s="655"/>
      <c r="AH138" s="655"/>
      <c r="AI138" s="655"/>
      <c r="AJ138" s="655"/>
      <c r="AK138" s="655"/>
      <c r="AL138" s="655"/>
      <c r="AM138" s="655"/>
      <c r="AN138" s="655"/>
      <c r="AO138" s="655"/>
      <c r="AP138" s="655"/>
      <c r="AQ138" s="655"/>
      <c r="AR138" s="655"/>
      <c r="AS138" s="655"/>
      <c r="AT138" s="655"/>
      <c r="AU138" s="655"/>
      <c r="AV138" s="655"/>
    </row>
    <row r="139" spans="1:48">
      <c r="A139" s="655"/>
      <c r="B139" s="655"/>
      <c r="C139" s="746"/>
      <c r="D139" s="746"/>
      <c r="E139" s="655"/>
      <c r="F139" s="747"/>
      <c r="G139" s="747"/>
      <c r="H139" s="747"/>
      <c r="I139" s="748"/>
      <c r="J139" s="747"/>
      <c r="K139" s="747"/>
      <c r="L139" s="747"/>
      <c r="M139" s="654"/>
      <c r="N139" s="749"/>
      <c r="O139" s="746"/>
      <c r="P139" s="746"/>
      <c r="Q139" s="746"/>
      <c r="R139" s="655"/>
      <c r="S139" s="655"/>
      <c r="T139" s="755"/>
      <c r="U139" s="655"/>
      <c r="V139" s="655"/>
      <c r="W139" s="655"/>
      <c r="X139" s="655"/>
      <c r="Y139" s="655"/>
      <c r="Z139" s="655"/>
      <c r="AA139" s="655"/>
      <c r="AB139" s="655"/>
      <c r="AC139" s="655"/>
      <c r="AD139" s="655"/>
      <c r="AE139" s="655"/>
      <c r="AF139" s="655"/>
      <c r="AG139" s="655"/>
      <c r="AH139" s="655"/>
      <c r="AI139" s="655"/>
      <c r="AJ139" s="655"/>
      <c r="AK139" s="655"/>
      <c r="AL139" s="655"/>
      <c r="AM139" s="655"/>
      <c r="AN139" s="655"/>
      <c r="AO139" s="655"/>
      <c r="AP139" s="655"/>
      <c r="AQ139" s="655"/>
      <c r="AR139" s="655"/>
      <c r="AS139" s="655"/>
      <c r="AT139" s="655"/>
      <c r="AU139" s="655"/>
      <c r="AV139" s="655"/>
    </row>
    <row r="140" spans="1:48">
      <c r="A140" s="655"/>
      <c r="B140" s="655"/>
      <c r="C140" s="746"/>
      <c r="D140" s="746"/>
      <c r="E140" s="655"/>
      <c r="F140" s="747"/>
      <c r="G140" s="747"/>
      <c r="H140" s="747"/>
      <c r="I140" s="748"/>
      <c r="J140" s="747"/>
      <c r="K140" s="747"/>
      <c r="L140" s="747"/>
      <c r="M140" s="654"/>
      <c r="N140" s="749"/>
      <c r="O140" s="746"/>
      <c r="P140" s="746"/>
      <c r="Q140" s="746"/>
      <c r="R140" s="655"/>
      <c r="S140" s="655"/>
      <c r="T140" s="755"/>
      <c r="U140" s="655"/>
      <c r="V140" s="655"/>
      <c r="W140" s="655"/>
      <c r="X140" s="655"/>
      <c r="Y140" s="655"/>
      <c r="Z140" s="655"/>
      <c r="AA140" s="655"/>
      <c r="AB140" s="655"/>
      <c r="AC140" s="655"/>
      <c r="AD140" s="655"/>
      <c r="AE140" s="655"/>
      <c r="AF140" s="655"/>
      <c r="AG140" s="655"/>
      <c r="AH140" s="655"/>
      <c r="AI140" s="655"/>
      <c r="AJ140" s="655"/>
      <c r="AK140" s="655"/>
      <c r="AL140" s="655"/>
      <c r="AM140" s="655"/>
      <c r="AN140" s="655"/>
      <c r="AO140" s="655"/>
      <c r="AP140" s="655"/>
      <c r="AQ140" s="655"/>
      <c r="AR140" s="655"/>
      <c r="AS140" s="655"/>
      <c r="AT140" s="655"/>
      <c r="AU140" s="655"/>
      <c r="AV140" s="655"/>
    </row>
    <row r="141" spans="1:48">
      <c r="A141" s="655"/>
      <c r="B141" s="655"/>
      <c r="C141" s="746"/>
      <c r="D141" s="746"/>
      <c r="E141" s="655"/>
      <c r="F141" s="747"/>
      <c r="G141" s="747"/>
      <c r="H141" s="747"/>
      <c r="I141" s="748"/>
      <c r="J141" s="747"/>
      <c r="K141" s="747"/>
      <c r="L141" s="747"/>
      <c r="M141" s="654"/>
      <c r="N141" s="749"/>
      <c r="O141" s="746"/>
      <c r="P141" s="746"/>
      <c r="Q141" s="746"/>
      <c r="R141" s="655"/>
      <c r="S141" s="655"/>
      <c r="T141" s="755"/>
      <c r="U141" s="655"/>
      <c r="V141" s="655"/>
      <c r="W141" s="655"/>
      <c r="X141" s="655"/>
      <c r="Y141" s="655"/>
      <c r="Z141" s="655"/>
      <c r="AA141" s="655"/>
      <c r="AB141" s="655"/>
      <c r="AC141" s="655"/>
      <c r="AD141" s="655"/>
      <c r="AE141" s="655"/>
      <c r="AF141" s="655"/>
      <c r="AG141" s="655"/>
      <c r="AH141" s="655"/>
      <c r="AI141" s="655"/>
      <c r="AJ141" s="655"/>
      <c r="AK141" s="655"/>
      <c r="AL141" s="655"/>
      <c r="AM141" s="655"/>
      <c r="AN141" s="655"/>
      <c r="AO141" s="655"/>
      <c r="AP141" s="655"/>
      <c r="AQ141" s="655"/>
      <c r="AR141" s="655"/>
      <c r="AS141" s="655"/>
      <c r="AT141" s="655"/>
      <c r="AU141" s="655"/>
      <c r="AV141" s="655"/>
    </row>
    <row r="142" spans="1:48">
      <c r="A142" s="655"/>
      <c r="B142" s="655"/>
      <c r="C142" s="746"/>
      <c r="D142" s="746"/>
      <c r="E142" s="655"/>
      <c r="F142" s="747"/>
      <c r="G142" s="747"/>
      <c r="H142" s="747"/>
      <c r="I142" s="748"/>
      <c r="J142" s="747"/>
      <c r="K142" s="747"/>
      <c r="L142" s="747"/>
      <c r="M142" s="654"/>
      <c r="N142" s="749"/>
      <c r="O142" s="746"/>
      <c r="P142" s="746"/>
      <c r="Q142" s="746"/>
      <c r="R142" s="655"/>
      <c r="S142" s="655"/>
      <c r="T142" s="755"/>
      <c r="U142" s="655"/>
      <c r="V142" s="655"/>
      <c r="W142" s="655"/>
      <c r="X142" s="655"/>
      <c r="Y142" s="655"/>
      <c r="Z142" s="655"/>
      <c r="AA142" s="655"/>
      <c r="AB142" s="655"/>
      <c r="AC142" s="655"/>
      <c r="AD142" s="655"/>
      <c r="AE142" s="655"/>
      <c r="AF142" s="655"/>
      <c r="AG142" s="655"/>
      <c r="AH142" s="655"/>
      <c r="AI142" s="655"/>
      <c r="AJ142" s="655"/>
      <c r="AK142" s="655"/>
      <c r="AL142" s="655"/>
      <c r="AM142" s="655"/>
      <c r="AN142" s="655"/>
      <c r="AO142" s="655"/>
      <c r="AP142" s="655"/>
      <c r="AQ142" s="655"/>
      <c r="AR142" s="655"/>
      <c r="AS142" s="655"/>
      <c r="AT142" s="655"/>
      <c r="AU142" s="655"/>
      <c r="AV142" s="655"/>
    </row>
    <row r="143" spans="1:48">
      <c r="A143" s="655"/>
      <c r="B143" s="655"/>
      <c r="C143" s="746"/>
      <c r="D143" s="746"/>
      <c r="E143" s="655"/>
      <c r="F143" s="747"/>
      <c r="G143" s="747"/>
      <c r="H143" s="747"/>
      <c r="I143" s="748"/>
      <c r="J143" s="747"/>
      <c r="K143" s="747"/>
      <c r="L143" s="747"/>
      <c r="M143" s="654"/>
      <c r="N143" s="749"/>
      <c r="O143" s="746"/>
      <c r="P143" s="746"/>
      <c r="Q143" s="746"/>
      <c r="R143" s="655"/>
      <c r="T143" s="668"/>
      <c r="V143" s="655"/>
      <c r="W143" s="655"/>
      <c r="X143" s="655"/>
      <c r="Y143" s="655"/>
      <c r="Z143" s="655"/>
      <c r="AA143" s="655"/>
      <c r="AB143" s="655"/>
      <c r="AC143" s="655"/>
      <c r="AD143" s="655"/>
      <c r="AE143" s="655"/>
      <c r="AF143" s="655"/>
      <c r="AG143" s="655"/>
      <c r="AH143" s="655"/>
      <c r="AI143" s="655"/>
      <c r="AJ143" s="655"/>
      <c r="AK143" s="655"/>
      <c r="AL143" s="655"/>
      <c r="AM143" s="655"/>
      <c r="AN143" s="655"/>
      <c r="AO143" s="655"/>
      <c r="AP143" s="655"/>
      <c r="AQ143" s="655"/>
      <c r="AR143" s="655"/>
      <c r="AS143" s="655"/>
      <c r="AT143" s="655"/>
      <c r="AU143" s="655"/>
      <c r="AV143" s="655"/>
    </row>
    <row r="144" spans="1:48">
      <c r="A144" s="655"/>
      <c r="B144" s="655"/>
      <c r="C144" s="746"/>
      <c r="D144" s="746"/>
      <c r="E144" s="655"/>
      <c r="F144" s="747"/>
      <c r="G144" s="747"/>
      <c r="H144" s="747"/>
      <c r="I144" s="748"/>
      <c r="J144" s="747"/>
      <c r="K144" s="747"/>
      <c r="L144" s="747"/>
      <c r="M144" s="654"/>
      <c r="N144" s="749"/>
      <c r="O144" s="746"/>
      <c r="P144" s="746"/>
      <c r="Q144" s="746"/>
      <c r="R144" s="655"/>
      <c r="T144" s="668"/>
      <c r="V144" s="655"/>
      <c r="W144" s="655"/>
      <c r="X144" s="655"/>
      <c r="Y144" s="655"/>
      <c r="Z144" s="655"/>
      <c r="AA144" s="655"/>
      <c r="AB144" s="655"/>
      <c r="AC144" s="655"/>
      <c r="AD144" s="655"/>
      <c r="AE144" s="655"/>
      <c r="AF144" s="655"/>
      <c r="AG144" s="655"/>
      <c r="AH144" s="655"/>
      <c r="AI144" s="655"/>
      <c r="AJ144" s="655"/>
      <c r="AK144" s="655"/>
      <c r="AL144" s="655"/>
      <c r="AM144" s="655"/>
      <c r="AN144" s="655"/>
      <c r="AO144" s="655"/>
      <c r="AP144" s="655"/>
      <c r="AQ144" s="655"/>
      <c r="AR144" s="655"/>
      <c r="AS144" s="655"/>
      <c r="AT144" s="655"/>
      <c r="AU144" s="655"/>
      <c r="AV144" s="655"/>
    </row>
    <row r="145" spans="1:48">
      <c r="A145" s="655"/>
      <c r="B145" s="655"/>
      <c r="C145" s="746"/>
      <c r="D145" s="746"/>
      <c r="E145" s="655"/>
      <c r="F145" s="747"/>
      <c r="G145" s="747"/>
      <c r="H145" s="747"/>
      <c r="I145" s="748"/>
      <c r="J145" s="747"/>
      <c r="K145" s="747"/>
      <c r="L145" s="747"/>
      <c r="M145" s="654"/>
      <c r="N145" s="749"/>
      <c r="O145" s="746"/>
      <c r="P145" s="746"/>
      <c r="Q145" s="746"/>
      <c r="R145" s="655"/>
      <c r="T145" s="668"/>
      <c r="V145" s="655"/>
      <c r="W145" s="655"/>
      <c r="X145" s="655"/>
      <c r="Y145" s="655"/>
      <c r="Z145" s="655"/>
      <c r="AA145" s="655"/>
      <c r="AB145" s="655"/>
      <c r="AC145" s="655"/>
      <c r="AD145" s="655"/>
      <c r="AE145" s="655"/>
      <c r="AF145" s="655"/>
      <c r="AG145" s="655"/>
      <c r="AH145" s="655"/>
      <c r="AI145" s="655"/>
      <c r="AJ145" s="655"/>
      <c r="AK145" s="655"/>
      <c r="AL145" s="655"/>
      <c r="AM145" s="655"/>
      <c r="AN145" s="655"/>
      <c r="AO145" s="655"/>
      <c r="AP145" s="655"/>
      <c r="AQ145" s="655"/>
      <c r="AR145" s="655"/>
      <c r="AS145" s="655"/>
      <c r="AT145" s="655"/>
      <c r="AU145" s="655"/>
      <c r="AV145" s="655"/>
    </row>
    <row r="146" spans="1:48">
      <c r="A146" s="655"/>
      <c r="B146" s="655"/>
      <c r="C146" s="746"/>
      <c r="D146" s="746"/>
      <c r="E146" s="655"/>
      <c r="F146" s="747"/>
      <c r="G146" s="747"/>
      <c r="H146" s="747"/>
      <c r="I146" s="748"/>
      <c r="J146" s="747"/>
      <c r="K146" s="747"/>
      <c r="L146" s="747"/>
      <c r="M146" s="654"/>
      <c r="N146" s="749"/>
      <c r="O146" s="746"/>
      <c r="P146" s="746"/>
      <c r="Q146" s="746"/>
      <c r="R146" s="655"/>
      <c r="T146" s="668"/>
      <c r="V146" s="655"/>
      <c r="W146" s="655"/>
      <c r="X146" s="655"/>
      <c r="Y146" s="655"/>
      <c r="Z146" s="655"/>
      <c r="AA146" s="655"/>
      <c r="AB146" s="655"/>
      <c r="AC146" s="655"/>
      <c r="AD146" s="655"/>
      <c r="AE146" s="655"/>
      <c r="AF146" s="655"/>
      <c r="AG146" s="655"/>
      <c r="AH146" s="655"/>
      <c r="AI146" s="655"/>
      <c r="AJ146" s="655"/>
      <c r="AK146" s="655"/>
      <c r="AL146" s="655"/>
      <c r="AM146" s="655"/>
      <c r="AN146" s="655"/>
      <c r="AO146" s="655"/>
      <c r="AP146" s="655"/>
      <c r="AQ146" s="655"/>
      <c r="AR146" s="655"/>
      <c r="AS146" s="655"/>
      <c r="AT146" s="655"/>
      <c r="AU146" s="655"/>
      <c r="AV146" s="655"/>
    </row>
    <row r="147" spans="1:48">
      <c r="A147" s="655"/>
      <c r="B147" s="655"/>
      <c r="C147" s="746"/>
      <c r="D147" s="746"/>
      <c r="E147" s="655"/>
      <c r="F147" s="747"/>
      <c r="G147" s="747"/>
      <c r="H147" s="747"/>
      <c r="I147" s="748"/>
      <c r="J147" s="747"/>
      <c r="K147" s="747"/>
      <c r="L147" s="747"/>
      <c r="M147" s="654"/>
      <c r="N147" s="749"/>
      <c r="O147" s="746"/>
      <c r="P147" s="746"/>
      <c r="Q147" s="746"/>
      <c r="R147" s="655"/>
      <c r="T147" s="668"/>
      <c r="V147" s="655"/>
      <c r="W147" s="655"/>
      <c r="X147" s="655"/>
      <c r="Y147" s="655"/>
      <c r="Z147" s="655"/>
      <c r="AA147" s="655"/>
      <c r="AB147" s="655"/>
      <c r="AC147" s="655"/>
      <c r="AD147" s="655"/>
      <c r="AE147" s="655"/>
      <c r="AF147" s="655"/>
      <c r="AG147" s="655"/>
      <c r="AH147" s="655"/>
      <c r="AI147" s="655"/>
      <c r="AJ147" s="655"/>
      <c r="AK147" s="655"/>
      <c r="AL147" s="655"/>
      <c r="AM147" s="655"/>
      <c r="AN147" s="655"/>
      <c r="AO147" s="655"/>
      <c r="AP147" s="655"/>
      <c r="AQ147" s="655"/>
      <c r="AR147" s="655"/>
      <c r="AS147" s="655"/>
      <c r="AT147" s="655"/>
      <c r="AU147" s="655"/>
      <c r="AV147" s="655"/>
    </row>
    <row r="148" spans="1:48">
      <c r="A148" s="655"/>
      <c r="B148" s="655"/>
      <c r="C148" s="746"/>
      <c r="D148" s="746"/>
      <c r="E148" s="655"/>
      <c r="F148" s="747"/>
      <c r="G148" s="747"/>
      <c r="H148" s="747"/>
      <c r="I148" s="748"/>
      <c r="J148" s="747"/>
      <c r="K148" s="747"/>
      <c r="L148" s="747"/>
      <c r="M148" s="654"/>
      <c r="N148" s="749"/>
      <c r="O148" s="746"/>
      <c r="P148" s="746"/>
      <c r="Q148" s="746"/>
      <c r="R148" s="655"/>
      <c r="T148" s="668"/>
      <c r="V148" s="655"/>
      <c r="W148" s="655"/>
      <c r="X148" s="655"/>
      <c r="Y148" s="655"/>
      <c r="Z148" s="655"/>
      <c r="AA148" s="655"/>
      <c r="AB148" s="655"/>
      <c r="AC148" s="655"/>
      <c r="AD148" s="655"/>
      <c r="AE148" s="655"/>
      <c r="AF148" s="655"/>
      <c r="AG148" s="655"/>
      <c r="AH148" s="655"/>
      <c r="AI148" s="655"/>
      <c r="AJ148" s="655"/>
      <c r="AK148" s="655"/>
      <c r="AL148" s="655"/>
      <c r="AM148" s="655"/>
      <c r="AN148" s="655"/>
      <c r="AO148" s="655"/>
      <c r="AP148" s="655"/>
      <c r="AQ148" s="655"/>
      <c r="AR148" s="655"/>
      <c r="AS148" s="655"/>
      <c r="AT148" s="655"/>
      <c r="AU148" s="655"/>
      <c r="AV148" s="655"/>
    </row>
    <row r="149" spans="1:48">
      <c r="A149" s="655"/>
      <c r="B149" s="655"/>
      <c r="C149" s="746"/>
      <c r="D149" s="746"/>
      <c r="E149" s="655"/>
      <c r="F149" s="747"/>
      <c r="G149" s="747"/>
      <c r="H149" s="747"/>
      <c r="I149" s="748"/>
      <c r="J149" s="747"/>
      <c r="K149" s="747"/>
      <c r="L149" s="747"/>
      <c r="M149" s="654"/>
      <c r="N149" s="749"/>
      <c r="O149" s="746"/>
      <c r="P149" s="746"/>
      <c r="Q149" s="746"/>
      <c r="R149" s="655"/>
      <c r="T149" s="668"/>
      <c r="V149" s="655"/>
      <c r="W149" s="655"/>
      <c r="X149" s="655"/>
      <c r="Y149" s="655"/>
      <c r="Z149" s="655"/>
      <c r="AA149" s="655"/>
      <c r="AB149" s="655"/>
      <c r="AC149" s="655"/>
      <c r="AD149" s="655"/>
      <c r="AE149" s="655"/>
      <c r="AF149" s="655"/>
      <c r="AG149" s="655"/>
      <c r="AH149" s="655"/>
      <c r="AI149" s="655"/>
      <c r="AJ149" s="655"/>
      <c r="AK149" s="655"/>
      <c r="AL149" s="655"/>
      <c r="AM149" s="655"/>
      <c r="AN149" s="655"/>
      <c r="AO149" s="655"/>
      <c r="AP149" s="655"/>
      <c r="AQ149" s="655"/>
      <c r="AR149" s="655"/>
      <c r="AS149" s="655"/>
      <c r="AT149" s="655"/>
      <c r="AU149" s="655"/>
      <c r="AV149" s="655"/>
    </row>
    <row r="150" spans="1:48">
      <c r="A150" s="655"/>
      <c r="B150" s="655"/>
      <c r="C150" s="746"/>
      <c r="D150" s="746"/>
      <c r="E150" s="655"/>
      <c r="F150" s="747"/>
      <c r="G150" s="747"/>
      <c r="H150" s="747"/>
      <c r="I150" s="748"/>
      <c r="J150" s="747"/>
      <c r="K150" s="747"/>
      <c r="L150" s="747"/>
      <c r="M150" s="654"/>
      <c r="N150" s="749"/>
      <c r="O150" s="746"/>
      <c r="P150" s="746"/>
      <c r="Q150" s="746"/>
      <c r="R150" s="655"/>
      <c r="T150" s="668"/>
      <c r="V150" s="655"/>
      <c r="W150" s="655"/>
      <c r="X150" s="655"/>
      <c r="Y150" s="655"/>
      <c r="Z150" s="655"/>
      <c r="AA150" s="655"/>
      <c r="AB150" s="655"/>
      <c r="AC150" s="655"/>
      <c r="AD150" s="655"/>
      <c r="AE150" s="655"/>
      <c r="AF150" s="655"/>
      <c r="AG150" s="655"/>
      <c r="AH150" s="655"/>
      <c r="AI150" s="655"/>
      <c r="AJ150" s="655"/>
      <c r="AK150" s="655"/>
      <c r="AL150" s="655"/>
      <c r="AM150" s="655"/>
      <c r="AN150" s="655"/>
      <c r="AO150" s="655"/>
      <c r="AP150" s="655"/>
      <c r="AQ150" s="655"/>
      <c r="AR150" s="655"/>
      <c r="AS150" s="655"/>
      <c r="AT150" s="655"/>
      <c r="AU150" s="655"/>
      <c r="AV150" s="655"/>
    </row>
    <row r="151" spans="1:48">
      <c r="A151" s="655"/>
      <c r="B151" s="655"/>
      <c r="C151" s="746"/>
      <c r="D151" s="746"/>
      <c r="E151" s="655"/>
      <c r="F151" s="747"/>
      <c r="G151" s="747"/>
      <c r="H151" s="747"/>
      <c r="I151" s="748"/>
      <c r="J151" s="747"/>
      <c r="K151" s="747"/>
      <c r="L151" s="747"/>
      <c r="M151" s="654"/>
      <c r="N151" s="749"/>
      <c r="O151" s="746"/>
      <c r="P151" s="746"/>
      <c r="Q151" s="746"/>
      <c r="R151" s="655"/>
      <c r="T151" s="668"/>
      <c r="V151" s="655"/>
      <c r="W151" s="655"/>
      <c r="X151" s="655"/>
      <c r="Y151" s="655"/>
      <c r="Z151" s="655"/>
      <c r="AA151" s="655"/>
      <c r="AB151" s="655"/>
      <c r="AC151" s="655"/>
      <c r="AD151" s="655"/>
      <c r="AE151" s="655"/>
      <c r="AF151" s="655"/>
      <c r="AG151" s="655"/>
      <c r="AH151" s="655"/>
      <c r="AI151" s="655"/>
      <c r="AJ151" s="655"/>
      <c r="AK151" s="655"/>
      <c r="AL151" s="655"/>
      <c r="AM151" s="655"/>
      <c r="AN151" s="655"/>
      <c r="AO151" s="655"/>
      <c r="AP151" s="655"/>
      <c r="AQ151" s="655"/>
      <c r="AR151" s="655"/>
      <c r="AS151" s="655"/>
      <c r="AT151" s="655"/>
      <c r="AU151" s="655"/>
      <c r="AV151" s="655"/>
    </row>
    <row r="152" spans="1:48">
      <c r="A152" s="655"/>
      <c r="B152" s="655"/>
      <c r="C152" s="746"/>
      <c r="D152" s="746"/>
      <c r="E152" s="655"/>
      <c r="F152" s="747"/>
      <c r="G152" s="747"/>
      <c r="H152" s="747"/>
      <c r="I152" s="748"/>
      <c r="J152" s="747"/>
      <c r="K152" s="747"/>
      <c r="L152" s="747"/>
      <c r="M152" s="654"/>
      <c r="N152" s="749"/>
      <c r="O152" s="746"/>
      <c r="P152" s="746"/>
      <c r="Q152" s="746"/>
      <c r="R152" s="655"/>
      <c r="T152" s="668"/>
    </row>
    <row r="153" spans="1:48">
      <c r="A153" s="655"/>
      <c r="B153" s="655"/>
      <c r="C153" s="746"/>
      <c r="D153" s="746"/>
      <c r="E153" s="655"/>
      <c r="F153" s="747"/>
      <c r="G153" s="747"/>
      <c r="H153" s="747"/>
      <c r="I153" s="748"/>
      <c r="J153" s="747"/>
      <c r="K153" s="747"/>
      <c r="L153" s="747"/>
      <c r="M153" s="654"/>
      <c r="N153" s="749"/>
      <c r="O153" s="746"/>
      <c r="P153" s="746"/>
      <c r="Q153" s="746"/>
      <c r="R153" s="655"/>
      <c r="T153" s="668"/>
    </row>
    <row r="154" spans="1:48">
      <c r="A154" s="655"/>
      <c r="B154" s="655"/>
      <c r="C154" s="746"/>
      <c r="D154" s="746"/>
      <c r="E154" s="655"/>
      <c r="F154" s="747"/>
      <c r="G154" s="747"/>
      <c r="H154" s="747"/>
      <c r="I154" s="748"/>
      <c r="J154" s="747"/>
      <c r="K154" s="747"/>
      <c r="L154" s="747"/>
      <c r="M154" s="654"/>
      <c r="N154" s="749"/>
      <c r="O154" s="746"/>
      <c r="P154" s="746"/>
      <c r="Q154" s="746"/>
      <c r="R154" s="655"/>
      <c r="T154" s="668"/>
    </row>
    <row r="155" spans="1:48">
      <c r="A155" s="655"/>
      <c r="B155" s="655"/>
      <c r="C155" s="746"/>
      <c r="D155" s="746"/>
      <c r="E155" s="655"/>
      <c r="F155" s="747"/>
      <c r="G155" s="747"/>
      <c r="H155" s="747"/>
      <c r="I155" s="748"/>
      <c r="J155" s="747"/>
      <c r="K155" s="747"/>
      <c r="L155" s="747"/>
      <c r="M155" s="654"/>
      <c r="N155" s="749"/>
      <c r="O155" s="746"/>
      <c r="P155" s="746"/>
      <c r="Q155" s="746"/>
      <c r="R155" s="655"/>
      <c r="T155" s="668"/>
    </row>
    <row r="156" spans="1:48">
      <c r="A156" s="655"/>
      <c r="B156" s="655"/>
      <c r="C156" s="746"/>
      <c r="D156" s="746"/>
      <c r="E156" s="655"/>
      <c r="F156" s="747"/>
      <c r="G156" s="747"/>
      <c r="H156" s="747"/>
      <c r="I156" s="748"/>
      <c r="J156" s="747"/>
      <c r="K156" s="747"/>
      <c r="L156" s="747"/>
      <c r="M156" s="654"/>
      <c r="N156" s="749"/>
      <c r="O156" s="746"/>
      <c r="P156" s="746"/>
      <c r="Q156" s="746"/>
      <c r="R156" s="655"/>
      <c r="T156" s="668"/>
    </row>
    <row r="157" spans="1:48">
      <c r="A157" s="655"/>
      <c r="B157" s="655"/>
      <c r="C157" s="746"/>
      <c r="D157" s="746"/>
      <c r="E157" s="655"/>
      <c r="F157" s="747"/>
      <c r="G157" s="747"/>
      <c r="H157" s="747"/>
      <c r="I157" s="748"/>
      <c r="J157" s="747"/>
      <c r="K157" s="747"/>
      <c r="L157" s="747"/>
      <c r="M157" s="654"/>
      <c r="N157" s="749"/>
      <c r="O157" s="746"/>
      <c r="P157" s="746"/>
      <c r="Q157" s="746"/>
      <c r="R157" s="655"/>
      <c r="T157" s="668"/>
    </row>
    <row r="158" spans="1:48">
      <c r="A158" s="655"/>
      <c r="B158" s="655"/>
      <c r="C158" s="746"/>
      <c r="D158" s="746"/>
      <c r="E158" s="655"/>
      <c r="F158" s="747"/>
      <c r="G158" s="747"/>
      <c r="H158" s="747"/>
      <c r="I158" s="748"/>
      <c r="J158" s="747"/>
      <c r="K158" s="747"/>
      <c r="L158" s="747"/>
      <c r="M158" s="654"/>
      <c r="N158" s="749"/>
      <c r="O158" s="746"/>
      <c r="P158" s="746"/>
      <c r="Q158" s="746"/>
      <c r="R158" s="655"/>
      <c r="T158" s="668"/>
    </row>
    <row r="159" spans="1:48">
      <c r="A159" s="655"/>
      <c r="B159" s="655"/>
      <c r="C159" s="746"/>
      <c r="D159" s="746"/>
      <c r="E159" s="655"/>
      <c r="F159" s="747"/>
      <c r="G159" s="747"/>
      <c r="H159" s="747"/>
      <c r="I159" s="748"/>
      <c r="J159" s="747"/>
      <c r="K159" s="747"/>
      <c r="L159" s="747"/>
      <c r="M159" s="654"/>
      <c r="N159" s="749"/>
      <c r="O159" s="746"/>
      <c r="P159" s="746"/>
      <c r="Q159" s="746"/>
      <c r="R159" s="655"/>
      <c r="T159" s="668"/>
    </row>
    <row r="160" spans="1:48">
      <c r="A160" s="655"/>
      <c r="B160" s="655"/>
      <c r="C160" s="746"/>
      <c r="D160" s="746"/>
      <c r="E160" s="655"/>
      <c r="F160" s="747"/>
      <c r="G160" s="747"/>
      <c r="H160" s="747"/>
      <c r="I160" s="748"/>
      <c r="J160" s="747"/>
      <c r="K160" s="747"/>
      <c r="L160" s="747"/>
      <c r="M160" s="654"/>
      <c r="N160" s="749"/>
      <c r="O160" s="746"/>
      <c r="P160" s="746"/>
      <c r="Q160" s="746"/>
      <c r="R160" s="655"/>
      <c r="T160" s="668"/>
    </row>
    <row r="161" spans="1:20">
      <c r="A161" s="655"/>
      <c r="B161" s="655"/>
      <c r="C161" s="746"/>
      <c r="D161" s="746"/>
      <c r="E161" s="655"/>
      <c r="F161" s="747"/>
      <c r="G161" s="747"/>
      <c r="H161" s="747"/>
      <c r="I161" s="748"/>
      <c r="J161" s="747"/>
      <c r="K161" s="747"/>
      <c r="L161" s="747"/>
      <c r="M161" s="654"/>
      <c r="N161" s="749"/>
      <c r="O161" s="746"/>
      <c r="P161" s="746"/>
      <c r="Q161" s="746"/>
      <c r="R161" s="655"/>
      <c r="T161" s="668"/>
    </row>
    <row r="162" spans="1:20">
      <c r="A162" s="655"/>
      <c r="B162" s="655"/>
      <c r="C162" s="746"/>
      <c r="D162" s="746"/>
      <c r="E162" s="655"/>
      <c r="F162" s="747"/>
      <c r="G162" s="747"/>
      <c r="H162" s="747"/>
      <c r="I162" s="748"/>
      <c r="J162" s="747"/>
      <c r="K162" s="747"/>
      <c r="L162" s="747"/>
      <c r="M162" s="654"/>
      <c r="N162" s="749"/>
      <c r="O162" s="746"/>
      <c r="P162" s="746"/>
      <c r="Q162" s="746"/>
      <c r="R162" s="655"/>
      <c r="T162" s="668"/>
    </row>
    <row r="163" spans="1:20">
      <c r="A163" s="655"/>
      <c r="B163" s="655"/>
      <c r="C163" s="746"/>
      <c r="D163" s="746"/>
      <c r="E163" s="655"/>
      <c r="F163" s="747"/>
      <c r="G163" s="747"/>
      <c r="H163" s="747"/>
      <c r="I163" s="748"/>
      <c r="J163" s="747"/>
      <c r="K163" s="747"/>
      <c r="L163" s="747"/>
      <c r="M163" s="654"/>
      <c r="N163" s="749"/>
      <c r="O163" s="746"/>
      <c r="P163" s="746"/>
      <c r="Q163" s="746"/>
      <c r="R163" s="655"/>
      <c r="T163" s="668"/>
    </row>
    <row r="164" spans="1:20">
      <c r="A164" s="655"/>
      <c r="B164" s="655"/>
      <c r="C164" s="746"/>
      <c r="D164" s="746"/>
      <c r="E164" s="655"/>
      <c r="F164" s="747"/>
      <c r="G164" s="747"/>
      <c r="H164" s="747"/>
      <c r="I164" s="748"/>
      <c r="J164" s="747"/>
      <c r="K164" s="747"/>
      <c r="L164" s="747"/>
      <c r="M164" s="654"/>
      <c r="N164" s="749"/>
      <c r="O164" s="746"/>
      <c r="P164" s="746"/>
      <c r="Q164" s="746"/>
      <c r="R164" s="655"/>
      <c r="T164" s="668"/>
    </row>
    <row r="165" spans="1:20">
      <c r="A165" s="655"/>
      <c r="B165" s="655"/>
      <c r="C165" s="746"/>
      <c r="D165" s="746"/>
      <c r="E165" s="655"/>
      <c r="F165" s="747"/>
      <c r="G165" s="747"/>
      <c r="H165" s="747"/>
      <c r="I165" s="748"/>
      <c r="J165" s="747"/>
      <c r="K165" s="747"/>
      <c r="L165" s="747"/>
      <c r="M165" s="654"/>
      <c r="N165" s="749"/>
      <c r="O165" s="746"/>
      <c r="P165" s="746"/>
      <c r="Q165" s="746"/>
      <c r="R165" s="655"/>
      <c r="T165" s="668"/>
    </row>
    <row r="166" spans="1:20">
      <c r="A166" s="655"/>
      <c r="B166" s="655"/>
      <c r="C166" s="746"/>
      <c r="D166" s="746"/>
      <c r="E166" s="655"/>
      <c r="F166" s="747"/>
      <c r="G166" s="747"/>
      <c r="H166" s="747"/>
      <c r="I166" s="748"/>
      <c r="J166" s="747"/>
      <c r="K166" s="747"/>
      <c r="L166" s="747"/>
      <c r="M166" s="654"/>
      <c r="N166" s="749"/>
      <c r="O166" s="746"/>
      <c r="P166" s="746"/>
      <c r="Q166" s="746"/>
      <c r="R166" s="655"/>
      <c r="T166" s="668"/>
    </row>
    <row r="167" spans="1:20">
      <c r="A167" s="655"/>
      <c r="B167" s="655"/>
      <c r="C167" s="746"/>
      <c r="D167" s="746"/>
      <c r="E167" s="655"/>
      <c r="F167" s="747"/>
      <c r="G167" s="747"/>
      <c r="H167" s="747"/>
      <c r="I167" s="748"/>
      <c r="J167" s="747"/>
      <c r="K167" s="747"/>
      <c r="L167" s="747"/>
      <c r="M167" s="654"/>
      <c r="N167" s="749"/>
      <c r="O167" s="746"/>
      <c r="P167" s="746"/>
      <c r="Q167" s="746"/>
      <c r="R167" s="655"/>
      <c r="T167" s="668"/>
    </row>
    <row r="168" spans="1:20">
      <c r="T168" s="668"/>
    </row>
  </sheetData>
  <mergeCells count="7">
    <mergeCell ref="S45:AE45"/>
    <mergeCell ref="S21:AG21"/>
    <mergeCell ref="A4:C4"/>
    <mergeCell ref="S23:AE23"/>
    <mergeCell ref="S26:AE26"/>
    <mergeCell ref="S31:AE31"/>
    <mergeCell ref="S37:AE37"/>
  </mergeCells>
  <conditionalFormatting sqref="A22:A32 A34:A92">
    <cfRule type="expression" dxfId="3" priority="34" stopIfTrue="1">
      <formula>AND(COUNTIF($A$22:$A$32, A22)+COUNTIF($A$34:$A$92, A22)&gt;1,NOT(ISBLANK(A22)))</formula>
    </cfRule>
  </conditionalFormatting>
  <conditionalFormatting sqref="A22:A97">
    <cfRule type="duplicateValues" dxfId="2" priority="37" stopIfTrue="1"/>
  </conditionalFormatting>
  <conditionalFormatting sqref="A114:A123">
    <cfRule type="expression" dxfId="1" priority="25" stopIfTrue="1">
      <formula>AND(COUNTIF($A$22:$A$32, A114)+COUNTIF($A$34:$A$92, A114)&gt;1,NOT(ISBLANK(A114)))</formula>
    </cfRule>
  </conditionalFormatting>
  <conditionalFormatting sqref="A114:A123">
    <cfRule type="duplicateValues" dxfId="0" priority="26" stopIfTrue="1"/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ignoredErrors>
    <ignoredError sqref="AB39:AE39 X39:AA39 G98:M98 C98:F98 T39:W39" formulaRange="1"/>
    <ignoredError sqref="AF27 AF33:AG33 AF39:AG39 AF47:AG4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zoomScale="90" zoomScaleNormal="90" workbookViewId="0"/>
  </sheetViews>
  <sheetFormatPr defaultRowHeight="15"/>
  <cols>
    <col min="1" max="1" width="66.570312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style="6" bestFit="1" customWidth="1"/>
    <col min="7" max="7" width="6.28515625" bestFit="1" customWidth="1"/>
    <col min="8" max="8" width="7" bestFit="1" customWidth="1"/>
    <col min="9" max="9" width="7.85546875" customWidth="1"/>
    <col min="10" max="10" width="7.140625" bestFit="1" customWidth="1"/>
    <col min="11" max="11" width="7.5703125" bestFit="1" customWidth="1"/>
    <col min="12" max="12" width="7.140625" bestFit="1" customWidth="1"/>
    <col min="13" max="13" width="6.85546875" bestFit="1" customWidth="1"/>
    <col min="14" max="14" width="7.28515625" bestFit="1" customWidth="1"/>
    <col min="15" max="15" width="7.140625" bestFit="1" customWidth="1"/>
    <col min="16" max="16" width="8" bestFit="1" customWidth="1"/>
    <col min="17" max="17" width="10.85546875" customWidth="1"/>
    <col min="18" max="20" width="9.140625" customWidth="1"/>
    <col min="21" max="21" width="22" bestFit="1" customWidth="1"/>
    <col min="22" max="22" width="11" bestFit="1" customWidth="1"/>
    <col min="23" max="23" width="6.85546875" bestFit="1" customWidth="1"/>
    <col min="24" max="24" width="9.140625" customWidth="1"/>
  </cols>
  <sheetData>
    <row r="1" spans="1:32">
      <c r="A1" s="5" t="s">
        <v>0</v>
      </c>
      <c r="B1" s="5"/>
      <c r="C1" s="5"/>
    </row>
    <row r="2" spans="1:32">
      <c r="A2" s="5" t="s">
        <v>1</v>
      </c>
      <c r="B2" s="5"/>
      <c r="C2" s="5"/>
    </row>
    <row r="3" spans="1:32" ht="15.75" thickBot="1"/>
    <row r="4" spans="1:32" s="276" customFormat="1" ht="50.25" customHeight="1" thickBot="1">
      <c r="A4" s="274" t="s">
        <v>2</v>
      </c>
      <c r="B4" s="271">
        <v>45261</v>
      </c>
      <c r="C4" s="788">
        <v>45231</v>
      </c>
      <c r="D4" s="116">
        <v>45200</v>
      </c>
      <c r="E4" s="31">
        <v>45170</v>
      </c>
      <c r="F4" s="31">
        <v>45139</v>
      </c>
      <c r="G4" s="31">
        <v>44743</v>
      </c>
      <c r="H4" s="31">
        <v>45078</v>
      </c>
      <c r="I4" s="31">
        <v>45047</v>
      </c>
      <c r="J4" s="31">
        <v>45017</v>
      </c>
      <c r="K4" s="31">
        <v>44986</v>
      </c>
      <c r="L4" s="31">
        <v>44958</v>
      </c>
      <c r="M4" s="31">
        <v>44927</v>
      </c>
      <c r="N4" s="31" t="s">
        <v>3</v>
      </c>
      <c r="O4" s="275" t="s">
        <v>4</v>
      </c>
      <c r="P4" s="275" t="s">
        <v>5</v>
      </c>
      <c r="Q4" s="419" t="s">
        <v>395</v>
      </c>
    </row>
    <row r="5" spans="1:32" s="212" customFormat="1" ht="15.75" thickBot="1">
      <c r="A5" s="277" t="s">
        <v>211</v>
      </c>
      <c r="B5" s="265"/>
      <c r="C5" s="312"/>
      <c r="D5" s="266"/>
      <c r="E5" s="266"/>
      <c r="F5" s="266"/>
      <c r="G5" s="266"/>
      <c r="H5" s="266"/>
      <c r="I5" s="756"/>
      <c r="J5" s="266"/>
      <c r="K5" s="758"/>
      <c r="L5" s="135"/>
      <c r="M5" s="144">
        <v>5</v>
      </c>
      <c r="N5" s="934">
        <f t="shared" ref="N5:N10" si="0">SUM(B5:M5)</f>
        <v>5</v>
      </c>
      <c r="O5" s="935">
        <f t="shared" ref="O5:O10" si="1">AVERAGE(B5:M5)</f>
        <v>5</v>
      </c>
      <c r="P5" s="936">
        <f t="shared" ref="P5:P11" si="2">N5/N$11*100</f>
        <v>0.11373976342129208</v>
      </c>
      <c r="Q5" s="420">
        <f t="shared" ref="Q5:Q10" si="3">(M5*100)/$M$11</f>
        <v>0.11373976342129208</v>
      </c>
    </row>
    <row r="6" spans="1:32" s="212" customFormat="1" ht="15.75" thickBot="1">
      <c r="A6" s="278" t="s">
        <v>212</v>
      </c>
      <c r="B6" s="267"/>
      <c r="C6" s="134"/>
      <c r="D6" s="268"/>
      <c r="E6" s="268"/>
      <c r="F6" s="268"/>
      <c r="G6" s="268"/>
      <c r="H6" s="268"/>
      <c r="I6" s="640"/>
      <c r="J6" s="268"/>
      <c r="K6" s="641"/>
      <c r="L6" s="134"/>
      <c r="M6" s="145">
        <v>1490</v>
      </c>
      <c r="N6" s="934">
        <f t="shared" si="0"/>
        <v>1490</v>
      </c>
      <c r="O6" s="935">
        <f t="shared" si="1"/>
        <v>1490</v>
      </c>
      <c r="P6" s="936">
        <f t="shared" si="2"/>
        <v>33.89444949954504</v>
      </c>
      <c r="Q6" s="420">
        <f t="shared" si="3"/>
        <v>33.89444949954504</v>
      </c>
    </row>
    <row r="7" spans="1:32" s="212" customFormat="1" ht="15.75" thickBot="1">
      <c r="A7" s="278" t="s">
        <v>213</v>
      </c>
      <c r="B7" s="267"/>
      <c r="C7" s="134"/>
      <c r="D7" s="268"/>
      <c r="E7" s="268"/>
      <c r="F7" s="268"/>
      <c r="G7" s="268"/>
      <c r="H7" s="268"/>
      <c r="I7" s="640"/>
      <c r="J7" s="268"/>
      <c r="K7" s="641"/>
      <c r="L7" s="134"/>
      <c r="M7" s="145">
        <v>787</v>
      </c>
      <c r="N7" s="934">
        <f t="shared" si="0"/>
        <v>787</v>
      </c>
      <c r="O7" s="935">
        <f t="shared" si="1"/>
        <v>787</v>
      </c>
      <c r="P7" s="936">
        <f t="shared" si="2"/>
        <v>17.902638762511376</v>
      </c>
      <c r="Q7" s="420">
        <f t="shared" si="3"/>
        <v>17.902638762511373</v>
      </c>
    </row>
    <row r="8" spans="1:32" s="212" customFormat="1" ht="15.75" thickBot="1">
      <c r="A8" s="278" t="s">
        <v>215</v>
      </c>
      <c r="B8" s="267"/>
      <c r="C8" s="134"/>
      <c r="D8" s="268"/>
      <c r="E8" s="268"/>
      <c r="F8" s="268"/>
      <c r="G8" s="268"/>
      <c r="H8" s="268"/>
      <c r="I8" s="640"/>
      <c r="J8" s="268"/>
      <c r="K8" s="641"/>
      <c r="L8" s="134"/>
      <c r="M8" s="145">
        <v>11</v>
      </c>
      <c r="N8" s="934">
        <f t="shared" si="0"/>
        <v>11</v>
      </c>
      <c r="O8" s="935">
        <f t="shared" si="1"/>
        <v>11</v>
      </c>
      <c r="P8" s="936">
        <f t="shared" si="2"/>
        <v>0.2502274795268426</v>
      </c>
      <c r="Q8" s="420">
        <f t="shared" si="3"/>
        <v>0.2502274795268426</v>
      </c>
      <c r="R8" s="214"/>
    </row>
    <row r="9" spans="1:32" s="212" customFormat="1" ht="15.75" thickBot="1">
      <c r="A9" s="278" t="s">
        <v>216</v>
      </c>
      <c r="B9" s="267"/>
      <c r="C9" s="134"/>
      <c r="D9" s="268"/>
      <c r="E9" s="268"/>
      <c r="F9" s="268"/>
      <c r="G9" s="268"/>
      <c r="H9" s="268"/>
      <c r="I9" s="640"/>
      <c r="J9" s="268"/>
      <c r="K9" s="641"/>
      <c r="L9" s="134"/>
      <c r="M9" s="145">
        <v>1997</v>
      </c>
      <c r="N9" s="934">
        <f t="shared" si="0"/>
        <v>1997</v>
      </c>
      <c r="O9" s="935">
        <f t="shared" si="1"/>
        <v>1997</v>
      </c>
      <c r="P9" s="936">
        <f t="shared" si="2"/>
        <v>45.427661510464056</v>
      </c>
      <c r="Q9" s="420">
        <f t="shared" si="3"/>
        <v>45.427661510464056</v>
      </c>
      <c r="R9" s="214"/>
    </row>
    <row r="10" spans="1:32" s="212" customFormat="1" ht="15.75" thickBot="1">
      <c r="A10" s="279" t="s">
        <v>214</v>
      </c>
      <c r="B10" s="269"/>
      <c r="C10" s="439"/>
      <c r="D10" s="270"/>
      <c r="E10" s="270"/>
      <c r="F10" s="270"/>
      <c r="G10" s="270"/>
      <c r="H10" s="270"/>
      <c r="I10" s="757"/>
      <c r="J10" s="270"/>
      <c r="K10" s="759"/>
      <c r="L10" s="137"/>
      <c r="M10" s="146">
        <v>106</v>
      </c>
      <c r="N10" s="934">
        <f t="shared" si="0"/>
        <v>106</v>
      </c>
      <c r="O10" s="935">
        <f t="shared" si="1"/>
        <v>106</v>
      </c>
      <c r="P10" s="936">
        <f t="shared" si="2"/>
        <v>2.4112829845313923</v>
      </c>
      <c r="Q10" s="420">
        <f t="shared" si="3"/>
        <v>2.4112829845313923</v>
      </c>
      <c r="R10" s="214"/>
      <c r="S10" s="123"/>
    </row>
    <row r="11" spans="1:32" ht="16.5" thickBot="1">
      <c r="A11" s="215" t="s">
        <v>6</v>
      </c>
      <c r="B11" s="789">
        <f>SUM(B5:B10)</f>
        <v>0</v>
      </c>
      <c r="C11" s="791">
        <f t="shared" ref="C11:H11" si="4">SUM(C5:C10)</f>
        <v>0</v>
      </c>
      <c r="D11" s="791">
        <f t="shared" si="4"/>
        <v>0</v>
      </c>
      <c r="E11" s="791">
        <f t="shared" si="4"/>
        <v>0</v>
      </c>
      <c r="F11" s="791">
        <f t="shared" si="4"/>
        <v>0</v>
      </c>
      <c r="G11" s="791">
        <f t="shared" si="4"/>
        <v>0</v>
      </c>
      <c r="H11" s="940">
        <f t="shared" si="4"/>
        <v>0</v>
      </c>
      <c r="I11" s="937">
        <f t="shared" ref="I11:N11" si="5">SUM(I5:I10)</f>
        <v>0</v>
      </c>
      <c r="J11" s="937">
        <f t="shared" si="5"/>
        <v>0</v>
      </c>
      <c r="K11" s="937">
        <f t="shared" si="5"/>
        <v>0</v>
      </c>
      <c r="L11" s="937">
        <f>SUM(L5:L10)</f>
        <v>0</v>
      </c>
      <c r="M11" s="941">
        <f t="shared" si="5"/>
        <v>4396</v>
      </c>
      <c r="N11" s="937">
        <f t="shared" si="5"/>
        <v>4396</v>
      </c>
      <c r="O11" s="938">
        <f>AVERAGE(B11:M11)</f>
        <v>366.33333333333331</v>
      </c>
      <c r="P11" s="939">
        <f t="shared" si="2"/>
        <v>100</v>
      </c>
      <c r="Q11" s="703">
        <f>(M11*100)/$N$11</f>
        <v>100</v>
      </c>
      <c r="R11" s="7"/>
      <c r="S11" s="10"/>
      <c r="AD11" s="8"/>
      <c r="AE11" s="6"/>
      <c r="AF11" s="8"/>
    </row>
    <row r="12" spans="1:32">
      <c r="M12" s="9"/>
      <c r="N12" s="10"/>
      <c r="U12" s="8"/>
      <c r="V12" s="6"/>
      <c r="W12" s="8"/>
    </row>
    <row r="13" spans="1:32">
      <c r="A13" s="977"/>
      <c r="B13" s="977"/>
      <c r="C13" s="977"/>
      <c r="D13" s="977"/>
      <c r="E13" s="161"/>
      <c r="I13" s="10"/>
      <c r="J13" s="10"/>
      <c r="U13" s="8"/>
      <c r="V13" s="6"/>
      <c r="W13" s="8"/>
    </row>
    <row r="14" spans="1:32">
      <c r="A14" s="977"/>
      <c r="B14" s="977"/>
      <c r="C14" s="977"/>
      <c r="D14" s="977"/>
      <c r="I14" s="10"/>
      <c r="U14" s="8"/>
      <c r="V14" s="6"/>
      <c r="W14" s="8"/>
    </row>
    <row r="15" spans="1:32">
      <c r="A15" s="977"/>
      <c r="B15" s="977"/>
      <c r="C15" s="977"/>
      <c r="D15" s="977"/>
      <c r="U15" s="11"/>
      <c r="V15" s="6"/>
      <c r="W15" s="12"/>
    </row>
    <row r="19" spans="1:5">
      <c r="A19" s="1"/>
      <c r="B19" s="1"/>
      <c r="C19" s="1"/>
      <c r="D19" s="1"/>
      <c r="E19" s="1"/>
    </row>
    <row r="20" spans="1:5">
      <c r="A20" s="13"/>
      <c r="B20" s="13"/>
      <c r="C20" s="13"/>
      <c r="D20" s="2"/>
      <c r="E20" s="1"/>
    </row>
    <row r="21" spans="1:5">
      <c r="A21" s="14"/>
      <c r="B21" s="14"/>
      <c r="C21" s="14"/>
      <c r="D21" s="15"/>
      <c r="E21" s="1"/>
    </row>
    <row r="22" spans="1:5">
      <c r="A22" s="14"/>
      <c r="B22" s="14"/>
      <c r="C22" s="14"/>
      <c r="D22" s="15"/>
      <c r="E22" s="1"/>
    </row>
    <row r="23" spans="1:5">
      <c r="A23" s="14"/>
      <c r="B23" s="14"/>
      <c r="C23" s="14"/>
      <c r="D23" s="15"/>
      <c r="E23" s="1"/>
    </row>
    <row r="24" spans="1:5">
      <c r="A24" s="14"/>
      <c r="B24" s="14"/>
      <c r="C24" s="14"/>
      <c r="D24" s="15"/>
      <c r="E24" s="1"/>
    </row>
    <row r="25" spans="1:5">
      <c r="A25" s="11"/>
      <c r="B25" s="11"/>
      <c r="C25" s="11"/>
      <c r="D25" s="15"/>
      <c r="E25" s="1"/>
    </row>
    <row r="26" spans="1:5">
      <c r="A26" s="1"/>
      <c r="B26" s="1"/>
      <c r="C26" s="1"/>
      <c r="D26" s="1"/>
      <c r="E26" s="16"/>
    </row>
    <row r="27" spans="1:5">
      <c r="A27" s="1"/>
      <c r="B27" s="1"/>
      <c r="C27" s="1"/>
      <c r="D27" s="1"/>
      <c r="E27" s="1"/>
    </row>
  </sheetData>
  <mergeCells count="1">
    <mergeCell ref="A13:D15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M11" formula="1" formulaRange="1"/>
    <ignoredError sqref="B11:L11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opLeftCell="C2" workbookViewId="0">
      <selection activeCell="K12" sqref="K12"/>
    </sheetView>
  </sheetViews>
  <sheetFormatPr defaultColWidth="9.140625" defaultRowHeight="15"/>
  <cols>
    <col min="1" max="1" width="55.7109375" hidden="1" customWidth="1"/>
    <col min="2" max="2" width="19.85546875" hidden="1" customWidth="1"/>
  </cols>
  <sheetData>
    <row r="1" spans="1:17" s="370" customFormat="1">
      <c r="A1" s="51" t="s">
        <v>0</v>
      </c>
    </row>
    <row r="2" spans="1:17" s="370" customFormat="1">
      <c r="A2" s="5" t="s">
        <v>1</v>
      </c>
    </row>
    <row r="3" spans="1:17">
      <c r="A3" s="29"/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</row>
    <row r="4" spans="1:17">
      <c r="A4" s="371" t="s">
        <v>266</v>
      </c>
      <c r="B4" s="372" t="s">
        <v>265</v>
      </c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</row>
    <row r="5" spans="1:17" ht="15.75" thickBot="1">
      <c r="A5" s="373" t="s">
        <v>257</v>
      </c>
      <c r="B5" s="374">
        <v>135</v>
      </c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370"/>
      <c r="O5" s="370"/>
      <c r="P5" s="370"/>
      <c r="Q5" s="370"/>
    </row>
    <row r="6" spans="1:17" ht="45.75" thickBot="1">
      <c r="A6" s="373" t="s">
        <v>258</v>
      </c>
      <c r="B6" s="374">
        <v>58</v>
      </c>
      <c r="C6" s="370"/>
      <c r="D6" s="370"/>
      <c r="E6" s="370"/>
      <c r="F6" s="370"/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</row>
    <row r="7" spans="1:17" ht="45.75" thickBot="1">
      <c r="A7" s="375" t="s">
        <v>259</v>
      </c>
      <c r="B7" s="374">
        <v>281</v>
      </c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</row>
    <row r="8" spans="1:17" ht="15.75" thickBot="1">
      <c r="A8" s="373" t="s">
        <v>260</v>
      </c>
      <c r="B8" s="374">
        <v>106</v>
      </c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</row>
    <row r="9" spans="1:17" ht="15.75" thickBot="1">
      <c r="A9" s="373" t="s">
        <v>261</v>
      </c>
      <c r="B9" s="374">
        <v>4</v>
      </c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</row>
    <row r="10" spans="1:17" ht="15.75" thickBot="1">
      <c r="A10" s="373" t="s">
        <v>262</v>
      </c>
      <c r="B10" s="374">
        <v>257</v>
      </c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</row>
    <row r="11" spans="1:17" ht="15.75" thickBot="1">
      <c r="A11" s="373" t="s">
        <v>263</v>
      </c>
      <c r="B11" s="374">
        <v>72</v>
      </c>
      <c r="C11" s="370"/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  <c r="O11" s="370"/>
      <c r="P11" s="370"/>
      <c r="Q11" s="370"/>
    </row>
    <row r="12" spans="1:17" ht="30.75" thickBot="1">
      <c r="A12" s="376" t="s">
        <v>264</v>
      </c>
      <c r="B12" s="374">
        <v>42</v>
      </c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370"/>
    </row>
    <row r="13" spans="1:17">
      <c r="A13" s="377" t="s">
        <v>16</v>
      </c>
      <c r="B13" s="378">
        <f>SUM(B5:B12)</f>
        <v>955</v>
      </c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</row>
    <row r="14" spans="1:17">
      <c r="A14" s="370"/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</row>
    <row r="15" spans="1:17">
      <c r="A15" s="370"/>
      <c r="B15" s="370"/>
      <c r="C15" s="370"/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370"/>
      <c r="P15" s="370"/>
      <c r="Q15" s="370"/>
    </row>
    <row r="16" spans="1:17">
      <c r="A16" s="29"/>
      <c r="B16" s="370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</row>
    <row r="17" spans="1:17">
      <c r="A17" s="29"/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</row>
    <row r="18" spans="1:17">
      <c r="A18" s="29"/>
      <c r="B18" s="370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</row>
    <row r="19" spans="1:17">
      <c r="A19" s="29"/>
      <c r="B19" s="370"/>
      <c r="C19" s="370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>
      <selection activeCell="A4" sqref="A4"/>
    </sheetView>
  </sheetViews>
  <sheetFormatPr defaultRowHeight="15"/>
  <cols>
    <col min="1" max="1" width="28.7109375" style="113" customWidth="1"/>
    <col min="2" max="2" width="35.28515625" customWidth="1"/>
    <col min="3" max="3" width="11.42578125" bestFit="1" customWidth="1"/>
  </cols>
  <sheetData>
    <row r="1" spans="1:20" s="399" customFormat="1">
      <c r="A1" s="51" t="s">
        <v>0</v>
      </c>
      <c r="D1" s="973"/>
      <c r="E1" s="973"/>
      <c r="F1" s="973"/>
      <c r="G1" s="973"/>
      <c r="H1" s="973"/>
      <c r="I1" s="973"/>
      <c r="J1" s="973"/>
      <c r="K1" s="973"/>
      <c r="L1" s="973"/>
      <c r="M1" s="973"/>
      <c r="N1" s="973"/>
      <c r="O1" s="973"/>
      <c r="P1" s="973"/>
      <c r="Q1" s="973"/>
      <c r="R1" s="973"/>
      <c r="S1" s="973"/>
      <c r="T1" s="973"/>
    </row>
    <row r="2" spans="1:20" s="379" customFormat="1">
      <c r="A2" s="5" t="s">
        <v>1</v>
      </c>
      <c r="D2" s="973"/>
      <c r="E2" s="973"/>
      <c r="F2" s="973"/>
      <c r="G2" s="973"/>
      <c r="H2" s="973"/>
      <c r="I2" s="973"/>
      <c r="J2" s="973"/>
      <c r="K2" s="973"/>
      <c r="L2" s="973"/>
      <c r="M2" s="973"/>
      <c r="N2" s="973"/>
      <c r="O2" s="973"/>
      <c r="P2" s="973"/>
      <c r="Q2" s="973"/>
      <c r="R2" s="973"/>
      <c r="S2" s="973"/>
      <c r="T2" s="973"/>
    </row>
    <row r="3" spans="1:20" s="379" customFormat="1" ht="9.75" customHeight="1" thickBot="1">
      <c r="A3" s="113"/>
      <c r="D3" s="973"/>
      <c r="E3" s="973"/>
      <c r="F3" s="973"/>
      <c r="G3" s="973"/>
      <c r="H3" s="973"/>
      <c r="I3" s="973"/>
      <c r="J3" s="973"/>
      <c r="K3" s="973"/>
      <c r="L3" s="973"/>
      <c r="M3" s="973"/>
      <c r="N3" s="973"/>
      <c r="O3" s="973"/>
      <c r="P3" s="973"/>
      <c r="Q3" s="973"/>
      <c r="R3" s="973"/>
      <c r="S3" s="973"/>
      <c r="T3" s="973"/>
    </row>
    <row r="4" spans="1:20" ht="15.75" thickBot="1">
      <c r="A4" s="414" t="s">
        <v>269</v>
      </c>
      <c r="B4" s="415" t="s">
        <v>270</v>
      </c>
      <c r="C4" s="416" t="s">
        <v>265</v>
      </c>
      <c r="D4" s="973"/>
      <c r="E4" s="973"/>
      <c r="F4" s="973"/>
      <c r="G4" s="973"/>
      <c r="H4" s="973"/>
      <c r="I4" s="973"/>
      <c r="J4" s="973"/>
      <c r="K4" s="973"/>
      <c r="L4" s="973"/>
      <c r="M4" s="973"/>
      <c r="N4" s="973"/>
      <c r="O4" s="973"/>
      <c r="P4" s="973"/>
      <c r="Q4" s="973"/>
      <c r="R4" s="973"/>
      <c r="S4" s="973"/>
      <c r="T4" s="973"/>
    </row>
    <row r="5" spans="1:20">
      <c r="A5" s="700" t="s">
        <v>267</v>
      </c>
      <c r="B5" s="381" t="s">
        <v>261</v>
      </c>
      <c r="C5" s="384">
        <v>0</v>
      </c>
      <c r="D5" s="973"/>
      <c r="E5" s="973"/>
      <c r="F5" s="973"/>
      <c r="G5" s="973"/>
      <c r="H5" s="973"/>
      <c r="I5" s="973"/>
      <c r="J5" s="973"/>
      <c r="K5" s="973"/>
      <c r="L5" s="973"/>
      <c r="M5" s="973"/>
      <c r="N5" s="973"/>
      <c r="O5" s="973"/>
      <c r="P5" s="973"/>
      <c r="Q5" s="973"/>
      <c r="R5" s="973"/>
      <c r="S5" s="973"/>
      <c r="T5" s="973"/>
    </row>
    <row r="6" spans="1:20">
      <c r="A6" s="388" t="s">
        <v>271</v>
      </c>
      <c r="B6" s="382" t="s">
        <v>260</v>
      </c>
      <c r="C6" s="385">
        <v>6</v>
      </c>
      <c r="D6" s="973"/>
      <c r="E6" s="973"/>
      <c r="F6" s="973"/>
      <c r="G6" s="973"/>
      <c r="H6" s="973"/>
      <c r="I6" s="973"/>
      <c r="J6" s="973"/>
      <c r="K6" s="973"/>
      <c r="L6" s="973"/>
      <c r="M6" s="973"/>
      <c r="N6" s="973"/>
      <c r="O6" s="973"/>
      <c r="P6" s="973"/>
      <c r="Q6" s="973"/>
      <c r="R6" s="973"/>
      <c r="S6" s="973"/>
      <c r="T6" s="973"/>
    </row>
    <row r="7" spans="1:20">
      <c r="A7" s="388" t="s">
        <v>268</v>
      </c>
      <c r="B7" s="382" t="s">
        <v>262</v>
      </c>
      <c r="C7" s="385">
        <v>3</v>
      </c>
      <c r="D7" s="973"/>
      <c r="E7" s="973"/>
      <c r="F7" s="973"/>
      <c r="G7" s="973"/>
      <c r="H7" s="973"/>
      <c r="I7" s="973"/>
      <c r="J7" s="973"/>
      <c r="K7" s="973"/>
      <c r="L7" s="973"/>
      <c r="M7" s="973"/>
      <c r="N7" s="973"/>
      <c r="O7" s="973"/>
      <c r="P7" s="973"/>
      <c r="Q7" s="973"/>
      <c r="R7" s="973"/>
      <c r="S7" s="973"/>
      <c r="T7" s="973"/>
    </row>
    <row r="8" spans="1:20">
      <c r="A8" s="389" t="s">
        <v>263</v>
      </c>
      <c r="B8" s="380" t="s">
        <v>263</v>
      </c>
      <c r="C8" s="386">
        <v>0</v>
      </c>
      <c r="D8" s="973"/>
      <c r="E8" s="973"/>
      <c r="F8" s="973"/>
      <c r="G8" s="973"/>
      <c r="H8" s="973"/>
      <c r="I8" s="973"/>
      <c r="J8" s="973"/>
      <c r="K8" s="973"/>
      <c r="L8" s="973"/>
      <c r="M8" s="973"/>
      <c r="N8" s="973"/>
      <c r="O8" s="973"/>
      <c r="P8" s="973"/>
      <c r="Q8" s="973"/>
      <c r="R8" s="973"/>
      <c r="S8" s="973"/>
      <c r="T8" s="973"/>
    </row>
    <row r="9" spans="1:20" ht="45.75" thickBot="1">
      <c r="A9" s="390" t="s">
        <v>205</v>
      </c>
      <c r="B9" s="383" t="s">
        <v>264</v>
      </c>
      <c r="C9" s="387">
        <v>0</v>
      </c>
      <c r="D9" s="973"/>
      <c r="E9" s="973"/>
      <c r="F9" s="973"/>
      <c r="G9" s="973"/>
      <c r="H9" s="973"/>
      <c r="I9" s="973"/>
      <c r="J9" s="973"/>
      <c r="K9" s="973"/>
      <c r="L9" s="973"/>
      <c r="M9" s="973"/>
      <c r="N9" s="973"/>
      <c r="O9" s="973"/>
      <c r="P9" s="973"/>
      <c r="Q9" s="973"/>
      <c r="R9" s="973"/>
      <c r="S9" s="973"/>
      <c r="T9" s="973"/>
    </row>
    <row r="10" spans="1:20" ht="15.75" thickBot="1">
      <c r="A10" s="391"/>
      <c r="B10" s="417" t="s">
        <v>16</v>
      </c>
      <c r="C10" s="418">
        <f>SUM(C5:C9)</f>
        <v>9</v>
      </c>
      <c r="D10" s="973"/>
      <c r="E10" s="973"/>
      <c r="F10" s="973"/>
      <c r="G10" s="973"/>
      <c r="H10" s="973"/>
      <c r="I10" s="973"/>
      <c r="J10" s="973"/>
      <c r="K10" s="973"/>
      <c r="L10" s="973"/>
      <c r="M10" s="973"/>
      <c r="N10" s="973"/>
      <c r="O10" s="973"/>
      <c r="P10" s="973"/>
      <c r="Q10" s="973"/>
      <c r="R10" s="973"/>
      <c r="S10" s="973"/>
      <c r="T10" s="973"/>
    </row>
    <row r="11" spans="1:20">
      <c r="A11" s="972"/>
      <c r="B11" s="973"/>
      <c r="C11" s="973"/>
      <c r="D11" s="973"/>
      <c r="E11" s="973"/>
      <c r="F11" s="973"/>
      <c r="G11" s="973"/>
      <c r="H11" s="973"/>
      <c r="I11" s="973"/>
      <c r="J11" s="973"/>
      <c r="K11" s="973"/>
      <c r="L11" s="973"/>
      <c r="M11" s="973"/>
      <c r="N11" s="973"/>
      <c r="O11" s="973"/>
      <c r="P11" s="973"/>
      <c r="Q11" s="973"/>
      <c r="R11" s="973"/>
      <c r="S11" s="973"/>
      <c r="T11" s="973"/>
    </row>
    <row r="12" spans="1:20">
      <c r="A12" s="972"/>
      <c r="B12" s="973"/>
      <c r="C12" s="973"/>
      <c r="D12" s="973"/>
      <c r="E12" s="973"/>
      <c r="F12" s="973"/>
      <c r="G12" s="973"/>
      <c r="H12" s="973"/>
      <c r="I12" s="973"/>
      <c r="J12" s="973"/>
      <c r="K12" s="973"/>
      <c r="L12" s="973"/>
      <c r="M12" s="973"/>
      <c r="N12" s="973"/>
      <c r="O12" s="973"/>
      <c r="P12" s="973"/>
      <c r="Q12" s="973"/>
      <c r="R12" s="973"/>
      <c r="S12" s="973"/>
      <c r="T12" s="973"/>
    </row>
    <row r="13" spans="1:20">
      <c r="A13" s="972"/>
      <c r="B13" s="973"/>
      <c r="C13" s="973"/>
      <c r="D13" s="973"/>
      <c r="E13" s="973"/>
      <c r="F13" s="973"/>
      <c r="G13" s="973"/>
      <c r="H13" s="973"/>
      <c r="I13" s="973"/>
      <c r="J13" s="973"/>
      <c r="K13" s="973"/>
      <c r="L13" s="973"/>
      <c r="M13" s="973"/>
      <c r="N13" s="973"/>
      <c r="O13" s="973"/>
      <c r="P13" s="973"/>
      <c r="Q13" s="973"/>
      <c r="R13" s="973"/>
    </row>
    <row r="14" spans="1:20">
      <c r="A14" s="972"/>
      <c r="B14" s="973"/>
      <c r="C14" s="973"/>
      <c r="D14" s="973"/>
      <c r="E14" s="973"/>
      <c r="F14" s="973"/>
      <c r="G14" s="973"/>
      <c r="H14" s="973"/>
      <c r="I14" s="973"/>
      <c r="J14" s="973"/>
      <c r="K14" s="973"/>
      <c r="L14" s="973"/>
      <c r="M14" s="973"/>
      <c r="N14" s="973"/>
      <c r="O14" s="973"/>
      <c r="P14" s="973"/>
      <c r="Q14" s="973"/>
      <c r="R14" s="973"/>
    </row>
    <row r="15" spans="1:20">
      <c r="A15" s="972"/>
      <c r="B15" s="973"/>
      <c r="C15" s="973"/>
      <c r="D15" s="973"/>
      <c r="E15" s="973"/>
      <c r="F15" s="973"/>
      <c r="G15" s="973"/>
      <c r="H15" s="973"/>
      <c r="I15" s="973"/>
      <c r="J15" s="973"/>
      <c r="K15" s="973"/>
      <c r="L15" s="973"/>
      <c r="M15" s="973"/>
      <c r="N15" s="973"/>
      <c r="O15" s="973"/>
      <c r="P15" s="973"/>
      <c r="Q15" s="973"/>
      <c r="R15" s="973"/>
    </row>
    <row r="16" spans="1:20">
      <c r="A16" s="972"/>
      <c r="B16" s="973"/>
      <c r="C16" s="973"/>
      <c r="D16" s="973"/>
      <c r="E16" s="973"/>
      <c r="F16" s="973"/>
      <c r="G16" s="973"/>
      <c r="H16" s="973"/>
      <c r="I16" s="973"/>
      <c r="J16" s="973"/>
      <c r="K16" s="973"/>
      <c r="L16" s="973"/>
      <c r="M16" s="973"/>
      <c r="N16" s="973"/>
      <c r="O16" s="973"/>
      <c r="P16" s="973"/>
      <c r="Q16" s="973"/>
      <c r="R16" s="973"/>
    </row>
    <row r="17" spans="1:18">
      <c r="A17" s="972"/>
      <c r="B17" s="973"/>
      <c r="C17" s="973"/>
      <c r="D17" s="973"/>
      <c r="E17" s="973"/>
      <c r="F17" s="973"/>
      <c r="G17" s="973"/>
      <c r="H17" s="973"/>
      <c r="I17" s="973"/>
      <c r="J17" s="973"/>
      <c r="K17" s="973"/>
      <c r="L17" s="973"/>
      <c r="M17" s="973"/>
      <c r="N17" s="973"/>
      <c r="O17" s="973"/>
      <c r="P17" s="973"/>
      <c r="Q17" s="973"/>
      <c r="R17" s="973"/>
    </row>
    <row r="18" spans="1:18">
      <c r="A18" s="972"/>
      <c r="B18" s="973"/>
      <c r="C18" s="973"/>
      <c r="D18" s="973"/>
      <c r="E18" s="973"/>
      <c r="F18" s="973"/>
      <c r="G18" s="973"/>
      <c r="H18" s="973"/>
      <c r="I18" s="973"/>
      <c r="J18" s="973"/>
      <c r="K18" s="973"/>
      <c r="L18" s="973"/>
      <c r="M18" s="973"/>
      <c r="N18" s="973"/>
      <c r="O18" s="973"/>
      <c r="P18" s="973"/>
      <c r="Q18" s="973"/>
      <c r="R18" s="973"/>
    </row>
    <row r="19" spans="1:18">
      <c r="A19" s="972"/>
      <c r="B19" s="973"/>
      <c r="C19" s="973"/>
      <c r="D19" s="973"/>
      <c r="E19" s="973"/>
      <c r="F19" s="973"/>
      <c r="G19" s="973"/>
      <c r="H19" s="973"/>
      <c r="I19" s="973"/>
      <c r="J19" s="973"/>
      <c r="K19" s="973"/>
      <c r="L19" s="973"/>
      <c r="M19" s="973"/>
      <c r="N19" s="973"/>
      <c r="O19" s="973"/>
      <c r="P19" s="973"/>
      <c r="Q19" s="973"/>
      <c r="R19" s="973"/>
    </row>
    <row r="20" spans="1:18">
      <c r="A20" s="972"/>
      <c r="B20" s="973"/>
      <c r="C20" s="973"/>
      <c r="D20" s="973"/>
      <c r="E20" s="973"/>
      <c r="F20" s="973"/>
      <c r="G20" s="973"/>
      <c r="H20" s="973"/>
      <c r="I20" s="973"/>
      <c r="J20" s="973"/>
      <c r="K20" s="973"/>
      <c r="L20" s="973"/>
      <c r="M20" s="973"/>
      <c r="N20" s="973"/>
      <c r="O20" s="973"/>
      <c r="P20" s="973"/>
      <c r="Q20" s="973"/>
      <c r="R20" s="973"/>
    </row>
    <row r="21" spans="1:18">
      <c r="A21" s="972"/>
      <c r="B21" s="973"/>
      <c r="C21" s="973"/>
      <c r="D21" s="973"/>
      <c r="E21" s="973"/>
      <c r="F21" s="973"/>
      <c r="G21" s="973"/>
      <c r="H21" s="973"/>
      <c r="I21" s="973"/>
      <c r="J21" s="973"/>
      <c r="K21" s="973"/>
      <c r="L21" s="973"/>
      <c r="M21" s="973"/>
      <c r="N21" s="973"/>
      <c r="O21" s="973"/>
      <c r="P21" s="973"/>
      <c r="Q21" s="973"/>
      <c r="R21" s="973"/>
    </row>
    <row r="22" spans="1:18">
      <c r="A22" s="972"/>
      <c r="B22" s="973"/>
      <c r="C22" s="973"/>
      <c r="D22" s="973"/>
      <c r="E22" s="973"/>
      <c r="F22" s="973"/>
      <c r="G22" s="973"/>
      <c r="H22" s="973"/>
      <c r="I22" s="973"/>
      <c r="J22" s="973"/>
      <c r="K22" s="973"/>
      <c r="L22" s="973"/>
      <c r="M22" s="973"/>
      <c r="N22" s="973"/>
      <c r="O22" s="973"/>
      <c r="P22" s="973"/>
      <c r="Q22" s="973"/>
      <c r="R22" s="973"/>
    </row>
    <row r="23" spans="1:18">
      <c r="A23" s="972"/>
      <c r="B23" s="973"/>
      <c r="C23" s="973"/>
      <c r="D23" s="973"/>
      <c r="E23" s="973"/>
      <c r="F23" s="973"/>
      <c r="G23" s="973"/>
      <c r="H23" s="973"/>
      <c r="I23" s="973"/>
      <c r="J23" s="973"/>
      <c r="K23" s="973"/>
      <c r="L23" s="973"/>
      <c r="M23" s="973"/>
      <c r="N23" s="973"/>
      <c r="O23" s="973"/>
      <c r="P23" s="973"/>
      <c r="Q23" s="973"/>
      <c r="R23" s="973"/>
    </row>
    <row r="24" spans="1:18">
      <c r="A24" s="972"/>
      <c r="B24" s="973"/>
      <c r="C24" s="973"/>
      <c r="D24" s="973"/>
      <c r="E24" s="973"/>
      <c r="F24" s="973"/>
      <c r="G24" s="973"/>
      <c r="H24" s="973"/>
      <c r="I24" s="973"/>
      <c r="J24" s="973"/>
      <c r="K24" s="973"/>
      <c r="L24" s="973"/>
      <c r="M24" s="973"/>
      <c r="N24" s="973"/>
      <c r="O24" s="973"/>
      <c r="P24" s="973"/>
      <c r="Q24" s="973"/>
      <c r="R24" s="973"/>
    </row>
    <row r="25" spans="1:18">
      <c r="A25" s="972"/>
      <c r="B25" s="973"/>
      <c r="C25" s="973"/>
      <c r="D25" s="973"/>
      <c r="E25" s="973"/>
      <c r="F25" s="973"/>
      <c r="G25" s="973"/>
      <c r="H25" s="973"/>
      <c r="I25" s="973"/>
      <c r="J25" s="973"/>
      <c r="K25" s="973"/>
      <c r="L25" s="973"/>
      <c r="M25" s="973"/>
      <c r="N25" s="973"/>
      <c r="O25" s="973"/>
      <c r="P25" s="973"/>
      <c r="Q25" s="973"/>
      <c r="R25" s="973"/>
    </row>
    <row r="26" spans="1:18">
      <c r="A26" s="972"/>
      <c r="B26" s="973"/>
      <c r="C26" s="973"/>
      <c r="D26" s="973"/>
      <c r="E26" s="973"/>
      <c r="F26" s="973"/>
      <c r="G26" s="973"/>
      <c r="H26" s="973"/>
      <c r="I26" s="973"/>
      <c r="J26" s="973"/>
      <c r="K26" s="973"/>
      <c r="L26" s="973"/>
      <c r="M26" s="973"/>
      <c r="N26" s="973"/>
      <c r="O26" s="973"/>
      <c r="P26" s="973"/>
      <c r="Q26" s="973"/>
      <c r="R26" s="973"/>
    </row>
    <row r="27" spans="1:18">
      <c r="A27" s="972"/>
      <c r="B27" s="973"/>
      <c r="C27" s="973"/>
      <c r="D27" s="973"/>
      <c r="E27" s="973"/>
      <c r="F27" s="973"/>
      <c r="G27" s="973"/>
      <c r="H27" s="973"/>
      <c r="I27" s="973"/>
      <c r="J27" s="973"/>
      <c r="K27" s="973"/>
      <c r="L27" s="973"/>
      <c r="M27" s="973"/>
      <c r="N27" s="973"/>
      <c r="O27" s="973"/>
      <c r="P27" s="973"/>
      <c r="Q27" s="973"/>
      <c r="R27" s="973"/>
    </row>
    <row r="28" spans="1:18">
      <c r="A28" s="972"/>
      <c r="B28" s="973"/>
      <c r="C28" s="973"/>
      <c r="D28" s="973"/>
      <c r="E28" s="973"/>
      <c r="F28" s="973"/>
      <c r="G28" s="973"/>
      <c r="H28" s="973"/>
      <c r="I28" s="973"/>
      <c r="J28" s="973"/>
      <c r="K28" s="973"/>
      <c r="L28" s="973"/>
      <c r="M28" s="973"/>
      <c r="N28" s="973"/>
      <c r="O28" s="973"/>
      <c r="P28" s="973"/>
      <c r="Q28" s="973"/>
      <c r="R28" s="973"/>
    </row>
    <row r="29" spans="1:18">
      <c r="A29" s="972"/>
      <c r="B29" s="973"/>
      <c r="C29" s="973"/>
      <c r="D29" s="973"/>
      <c r="E29" s="973"/>
      <c r="F29" s="973"/>
      <c r="G29" s="973"/>
      <c r="H29" s="973"/>
      <c r="I29" s="973"/>
      <c r="J29" s="973"/>
      <c r="K29" s="973"/>
      <c r="L29" s="973"/>
      <c r="M29" s="973"/>
      <c r="N29" s="973"/>
      <c r="O29" s="973"/>
      <c r="P29" s="973"/>
      <c r="Q29" s="973"/>
      <c r="R29" s="973"/>
    </row>
    <row r="30" spans="1:18">
      <c r="A30" s="972"/>
      <c r="B30" s="973"/>
      <c r="C30" s="973"/>
      <c r="D30" s="973"/>
      <c r="E30" s="973"/>
      <c r="F30" s="973"/>
      <c r="G30" s="973"/>
      <c r="H30" s="973"/>
      <c r="I30" s="973"/>
      <c r="J30" s="973"/>
      <c r="K30" s="973"/>
      <c r="L30" s="973"/>
      <c r="M30" s="973"/>
      <c r="N30" s="973"/>
      <c r="O30" s="973"/>
      <c r="P30" s="973"/>
      <c r="Q30" s="973"/>
      <c r="R30" s="973"/>
    </row>
    <row r="31" spans="1:18">
      <c r="A31" s="972"/>
      <c r="B31" s="973"/>
      <c r="C31" s="973"/>
      <c r="D31" s="973"/>
      <c r="E31" s="973"/>
      <c r="F31" s="973"/>
      <c r="G31" s="973"/>
      <c r="H31" s="973"/>
      <c r="I31" s="973"/>
      <c r="J31" s="973"/>
      <c r="K31" s="973"/>
      <c r="L31" s="973"/>
      <c r="M31" s="973"/>
      <c r="N31" s="973"/>
      <c r="O31" s="973"/>
      <c r="P31" s="973"/>
      <c r="Q31" s="973"/>
      <c r="R31" s="973"/>
    </row>
    <row r="32" spans="1:18">
      <c r="A32" s="972"/>
      <c r="B32" s="973"/>
      <c r="C32" s="973"/>
      <c r="D32" s="973"/>
      <c r="E32" s="973"/>
      <c r="F32" s="973"/>
      <c r="G32" s="973"/>
      <c r="H32" s="973"/>
      <c r="I32" s="973"/>
      <c r="J32" s="973"/>
      <c r="K32" s="973"/>
      <c r="L32" s="973"/>
      <c r="M32" s="973"/>
      <c r="N32" s="973"/>
      <c r="O32" s="973"/>
      <c r="P32" s="973"/>
      <c r="Q32" s="973"/>
      <c r="R32" s="973"/>
    </row>
    <row r="33" spans="1:18">
      <c r="A33" s="972"/>
      <c r="B33" s="973"/>
      <c r="C33" s="973"/>
      <c r="D33" s="973"/>
      <c r="E33" s="973"/>
      <c r="F33" s="973"/>
      <c r="G33" s="973"/>
      <c r="H33" s="973"/>
      <c r="I33" s="973"/>
      <c r="J33" s="973"/>
      <c r="K33" s="973"/>
      <c r="L33" s="973"/>
      <c r="M33" s="973"/>
      <c r="N33" s="973"/>
      <c r="O33" s="973"/>
      <c r="P33" s="973"/>
      <c r="Q33" s="973"/>
      <c r="R33" s="973"/>
    </row>
    <row r="34" spans="1:18">
      <c r="A34" s="972"/>
      <c r="B34" s="973"/>
      <c r="C34" s="973"/>
      <c r="D34" s="973"/>
      <c r="E34" s="973"/>
      <c r="F34" s="973"/>
      <c r="G34" s="973"/>
      <c r="H34" s="973"/>
      <c r="I34" s="973"/>
      <c r="J34" s="973"/>
      <c r="K34" s="973"/>
      <c r="L34" s="973"/>
      <c r="M34" s="973"/>
      <c r="N34" s="973"/>
      <c r="O34" s="973"/>
      <c r="P34" s="973"/>
      <c r="Q34" s="973"/>
      <c r="R34" s="973"/>
    </row>
    <row r="35" spans="1:18">
      <c r="A35" s="972"/>
      <c r="B35" s="973"/>
      <c r="C35" s="973"/>
      <c r="D35" s="973"/>
      <c r="E35" s="973"/>
      <c r="F35" s="973"/>
      <c r="G35" s="973"/>
      <c r="H35" s="973"/>
      <c r="I35" s="973"/>
      <c r="J35" s="973"/>
      <c r="K35" s="973"/>
      <c r="L35" s="973"/>
      <c r="M35" s="973"/>
      <c r="N35" s="973"/>
      <c r="O35" s="973"/>
      <c r="P35" s="973"/>
      <c r="Q35" s="973"/>
      <c r="R35" s="97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90" zoomScaleNormal="90" workbookViewId="0"/>
  </sheetViews>
  <sheetFormatPr defaultRowHeight="15"/>
  <cols>
    <col min="1" max="1" width="13.5703125" customWidth="1"/>
    <col min="2" max="2" width="12" bestFit="1" customWidth="1"/>
    <col min="3" max="3" width="10.42578125" bestFit="1" customWidth="1"/>
    <col min="4" max="4" width="15.140625" customWidth="1"/>
    <col min="5" max="5" width="7.5703125" bestFit="1" customWidth="1"/>
    <col min="6" max="6" width="7.7109375" bestFit="1" customWidth="1"/>
    <col min="7" max="7" width="7.140625" bestFit="1" customWidth="1"/>
    <col min="8" max="8" width="7.5703125" bestFit="1" customWidth="1"/>
    <col min="9" max="9" width="7.7109375" style="6" bestFit="1" customWidth="1"/>
    <col min="10" max="10" width="7.140625" style="6" bestFit="1" customWidth="1"/>
    <col min="11" max="11" width="7.5703125" style="17" bestFit="1" customWidth="1"/>
    <col min="12" max="12" width="7.5703125" bestFit="1" customWidth="1"/>
    <col min="13" max="13" width="7.140625" bestFit="1" customWidth="1"/>
    <col min="14" max="14" width="7.5703125" bestFit="1" customWidth="1"/>
    <col min="15" max="15" width="7.28515625" bestFit="1" customWidth="1"/>
    <col min="16" max="16" width="7.140625" bestFit="1" customWidth="1"/>
    <col min="17" max="17" width="7.5703125" bestFit="1" customWidth="1"/>
    <col min="18" max="18" width="8" bestFit="1" customWidth="1"/>
    <col min="19" max="19" width="7.5703125" customWidth="1"/>
    <col min="20" max="20" width="9.140625" customWidth="1"/>
  </cols>
  <sheetData>
    <row r="1" spans="1:11">
      <c r="A1" s="5" t="s">
        <v>0</v>
      </c>
    </row>
    <row r="2" spans="1:11">
      <c r="A2" s="5" t="s">
        <v>1</v>
      </c>
    </row>
    <row r="3" spans="1:11" ht="15.75" thickBot="1"/>
    <row r="4" spans="1:11" ht="15.75" thickBot="1">
      <c r="A4" s="18" t="s">
        <v>7</v>
      </c>
      <c r="B4" s="19" t="s">
        <v>219</v>
      </c>
      <c r="C4" s="19" t="s">
        <v>8</v>
      </c>
      <c r="D4" s="2"/>
      <c r="E4" s="2"/>
      <c r="F4" s="2"/>
      <c r="I4"/>
      <c r="J4"/>
    </row>
    <row r="5" spans="1:11">
      <c r="A5" s="216">
        <v>44927</v>
      </c>
      <c r="B5" s="20">
        <v>4396</v>
      </c>
      <c r="C5" s="21">
        <f>((B5-3527)/3527)*100</f>
        <v>24.638502977034307</v>
      </c>
      <c r="D5" s="4"/>
      <c r="E5" s="4"/>
      <c r="F5" s="4"/>
      <c r="I5"/>
      <c r="J5"/>
    </row>
    <row r="6" spans="1:11">
      <c r="A6" s="217">
        <v>44958</v>
      </c>
      <c r="B6" s="22"/>
      <c r="C6" s="21"/>
      <c r="D6" s="4"/>
      <c r="E6" s="4"/>
      <c r="F6" s="4"/>
      <c r="H6" s="23"/>
      <c r="I6" s="4"/>
      <c r="J6" s="4"/>
      <c r="K6" s="24"/>
    </row>
    <row r="7" spans="1:11">
      <c r="A7" s="217">
        <v>44986</v>
      </c>
      <c r="B7" s="22"/>
      <c r="C7" s="21"/>
      <c r="D7" s="4"/>
      <c r="E7" s="4"/>
      <c r="F7" s="4"/>
      <c r="H7" s="23"/>
      <c r="I7" s="4"/>
      <c r="J7" s="4"/>
      <c r="K7" s="24"/>
    </row>
    <row r="8" spans="1:11">
      <c r="A8" s="217">
        <v>45017</v>
      </c>
      <c r="B8" s="22"/>
      <c r="C8" s="21"/>
      <c r="D8" s="4"/>
      <c r="E8" s="4"/>
      <c r="F8" s="4"/>
    </row>
    <row r="9" spans="1:11">
      <c r="A9" s="217">
        <v>45047</v>
      </c>
      <c r="B9" s="22"/>
      <c r="C9" s="21"/>
      <c r="D9" s="4"/>
      <c r="E9" s="4"/>
      <c r="F9" s="4"/>
    </row>
    <row r="10" spans="1:11">
      <c r="A10" s="217">
        <v>45078</v>
      </c>
      <c r="B10" s="22"/>
      <c r="C10" s="21"/>
      <c r="D10" s="4"/>
      <c r="E10" s="4"/>
      <c r="F10" s="4"/>
    </row>
    <row r="11" spans="1:11">
      <c r="A11" s="217">
        <v>45108</v>
      </c>
      <c r="B11" s="22"/>
      <c r="C11" s="21"/>
      <c r="D11" s="4"/>
      <c r="E11" s="4"/>
      <c r="F11" s="4"/>
    </row>
    <row r="12" spans="1:11">
      <c r="A12" s="217">
        <v>45139</v>
      </c>
      <c r="B12" s="22"/>
      <c r="C12" s="21"/>
      <c r="D12" s="4"/>
      <c r="E12" s="4"/>
      <c r="F12" s="4"/>
    </row>
    <row r="13" spans="1:11">
      <c r="A13" s="217">
        <v>45170</v>
      </c>
      <c r="B13" s="22"/>
      <c r="C13" s="21"/>
      <c r="D13" s="4"/>
      <c r="E13" s="4"/>
      <c r="F13" s="4"/>
    </row>
    <row r="14" spans="1:11">
      <c r="A14" s="217">
        <v>45200</v>
      </c>
      <c r="B14" s="22"/>
      <c r="C14" s="21"/>
      <c r="D14" s="4"/>
      <c r="E14" s="4"/>
      <c r="F14" s="4"/>
      <c r="H14" s="25"/>
    </row>
    <row r="15" spans="1:11">
      <c r="A15" s="217">
        <v>45231</v>
      </c>
      <c r="B15" s="22"/>
      <c r="C15" s="21"/>
      <c r="D15" s="4"/>
      <c r="E15" s="4"/>
      <c r="F15" s="4"/>
    </row>
    <row r="16" spans="1:11" ht="15.75" thickBot="1">
      <c r="A16" s="218">
        <v>45261</v>
      </c>
      <c r="B16" s="26"/>
      <c r="C16" s="27"/>
      <c r="D16" s="4"/>
      <c r="E16" s="4"/>
      <c r="F16" s="4"/>
    </row>
    <row r="17" spans="1:19" ht="15.75" thickBot="1">
      <c r="A17" s="459" t="s">
        <v>3</v>
      </c>
      <c r="B17" s="942">
        <f>SUM(B5:B16)</f>
        <v>4396</v>
      </c>
    </row>
    <row r="18" spans="1:19" ht="30.75" thickBot="1">
      <c r="A18" s="453" t="s">
        <v>4</v>
      </c>
      <c r="B18" s="943">
        <f>AVERAGE(B5:B16)</f>
        <v>4396</v>
      </c>
      <c r="D18" s="273" t="s">
        <v>10</v>
      </c>
      <c r="E18" s="30">
        <v>45261</v>
      </c>
      <c r="F18" s="31">
        <v>45231</v>
      </c>
      <c r="G18" s="31">
        <v>45200</v>
      </c>
      <c r="H18" s="31">
        <v>45170</v>
      </c>
      <c r="I18" s="31">
        <v>45139</v>
      </c>
      <c r="J18" s="31">
        <v>45108</v>
      </c>
      <c r="K18" s="31">
        <v>45078</v>
      </c>
      <c r="L18" s="31">
        <v>45047</v>
      </c>
      <c r="M18" s="31">
        <v>45017</v>
      </c>
      <c r="N18" s="31">
        <v>44986</v>
      </c>
      <c r="O18" s="271">
        <v>44958</v>
      </c>
      <c r="P18" s="271">
        <v>44927</v>
      </c>
      <c r="Q18" s="31" t="s">
        <v>3</v>
      </c>
      <c r="R18" s="272" t="s">
        <v>5</v>
      </c>
      <c r="S18" s="272" t="s">
        <v>4</v>
      </c>
    </row>
    <row r="19" spans="1:19">
      <c r="A19" s="978"/>
      <c r="B19" s="978"/>
      <c r="C19" s="978"/>
      <c r="D19" s="280" t="s">
        <v>11</v>
      </c>
      <c r="E19" s="32"/>
      <c r="F19" s="792"/>
      <c r="G19" s="135"/>
      <c r="H19" s="135"/>
      <c r="I19" s="135"/>
      <c r="J19" s="135"/>
      <c r="K19" s="149"/>
      <c r="L19" s="149"/>
      <c r="M19" s="149"/>
      <c r="N19" s="135"/>
      <c r="O19" s="135"/>
      <c r="P19" s="163">
        <v>139</v>
      </c>
      <c r="Q19" s="165">
        <f>SUM(E19:P19)</f>
        <v>139</v>
      </c>
      <c r="R19" s="169">
        <f>(Q19/Q24)*100</f>
        <v>3.1619654231119196</v>
      </c>
      <c r="S19" s="167">
        <f>AVERAGE(E19:P19)</f>
        <v>139</v>
      </c>
    </row>
    <row r="20" spans="1:19" ht="15" customHeight="1">
      <c r="A20" s="979" t="s">
        <v>9</v>
      </c>
      <c r="B20" s="980"/>
      <c r="C20" s="450"/>
      <c r="D20" s="281" t="s">
        <v>12</v>
      </c>
      <c r="E20" s="33"/>
      <c r="F20" s="793"/>
      <c r="G20" s="148"/>
      <c r="H20" s="134"/>
      <c r="I20" s="134"/>
      <c r="J20" s="134"/>
      <c r="K20" s="147"/>
      <c r="L20" s="147"/>
      <c r="M20" s="147"/>
      <c r="N20" s="134"/>
      <c r="O20" s="134"/>
      <c r="P20" s="164">
        <v>67</v>
      </c>
      <c r="Q20" s="166">
        <f>SUM(E20:P20)</f>
        <v>67</v>
      </c>
      <c r="R20" s="170">
        <f>(Q20/Q24)*100</f>
        <v>1.5241128298453139</v>
      </c>
      <c r="S20" s="168">
        <f>AVERAGE(E20:P20)</f>
        <v>67</v>
      </c>
    </row>
    <row r="21" spans="1:19">
      <c r="A21" s="980"/>
      <c r="B21" s="980"/>
      <c r="D21" s="281" t="s">
        <v>13</v>
      </c>
      <c r="E21" s="34"/>
      <c r="F21" s="793"/>
      <c r="G21" s="134"/>
      <c r="H21" s="134"/>
      <c r="I21" s="134"/>
      <c r="J21" s="134"/>
      <c r="K21" s="147"/>
      <c r="L21" s="147"/>
      <c r="M21" s="147"/>
      <c r="N21" s="134"/>
      <c r="O21" s="134"/>
      <c r="P21" s="164">
        <v>3881</v>
      </c>
      <c r="Q21" s="166">
        <f>SUM(E21:P21)</f>
        <v>3881</v>
      </c>
      <c r="R21" s="170">
        <f>(Q21/Q24)*100</f>
        <v>88.284804367606924</v>
      </c>
      <c r="S21" s="168">
        <f>AVERAGE(E21:P21)</f>
        <v>3881</v>
      </c>
    </row>
    <row r="22" spans="1:19">
      <c r="D22" s="281" t="s">
        <v>14</v>
      </c>
      <c r="E22" s="34"/>
      <c r="F22" s="793"/>
      <c r="G22" s="134"/>
      <c r="H22" s="134"/>
      <c r="I22" s="134"/>
      <c r="J22" s="134"/>
      <c r="K22" s="147"/>
      <c r="L22" s="147"/>
      <c r="M22" s="147"/>
      <c r="N22" s="134"/>
      <c r="O22" s="134"/>
      <c r="P22" s="164">
        <v>253</v>
      </c>
      <c r="Q22" s="166">
        <f>SUM(E22:P22)</f>
        <v>253</v>
      </c>
      <c r="R22" s="170">
        <f>(Q22/Q24)*100</f>
        <v>5.75523202911738</v>
      </c>
      <c r="S22" s="168">
        <f>AVERAGE(E22:P22)</f>
        <v>253</v>
      </c>
    </row>
    <row r="23" spans="1:19" ht="15.75" thickBot="1">
      <c r="D23" s="281" t="s">
        <v>15</v>
      </c>
      <c r="E23" s="496"/>
      <c r="F23" s="793"/>
      <c r="G23" s="497"/>
      <c r="H23" s="439"/>
      <c r="I23" s="439"/>
      <c r="J23" s="439"/>
      <c r="K23" s="498"/>
      <c r="L23" s="498"/>
      <c r="M23" s="498"/>
      <c r="N23" s="439"/>
      <c r="O23" s="439"/>
      <c r="P23" s="499">
        <v>56</v>
      </c>
      <c r="Q23" s="500">
        <f>SUM(E23:P23)</f>
        <v>56</v>
      </c>
      <c r="R23" s="501">
        <f>(Q23/Q24)*100</f>
        <v>1.2738853503184715</v>
      </c>
      <c r="S23" s="502">
        <f>AVERAGE(E23:P23)</f>
        <v>56</v>
      </c>
    </row>
    <row r="24" spans="1:19" ht="15.75" thickBot="1">
      <c r="D24" s="449" t="s">
        <v>16</v>
      </c>
      <c r="E24" s="153">
        <f t="shared" ref="E24:R24" si="0">SUM(E19:E23)</f>
        <v>0</v>
      </c>
      <c r="F24" s="366">
        <f t="shared" si="0"/>
        <v>0</v>
      </c>
      <c r="G24" s="366">
        <f t="shared" si="0"/>
        <v>0</v>
      </c>
      <c r="H24" s="366">
        <f t="shared" si="0"/>
        <v>0</v>
      </c>
      <c r="I24" s="366">
        <f t="shared" si="0"/>
        <v>0</v>
      </c>
      <c r="J24" s="366">
        <f t="shared" si="0"/>
        <v>0</v>
      </c>
      <c r="K24" s="366">
        <f t="shared" si="0"/>
        <v>0</v>
      </c>
      <c r="L24" s="366">
        <f t="shared" si="0"/>
        <v>0</v>
      </c>
      <c r="M24" s="366">
        <f t="shared" si="0"/>
        <v>0</v>
      </c>
      <c r="N24" s="366">
        <f t="shared" si="0"/>
        <v>0</v>
      </c>
      <c r="O24" s="366">
        <f t="shared" si="0"/>
        <v>0</v>
      </c>
      <c r="P24" s="441">
        <f t="shared" si="0"/>
        <v>4396</v>
      </c>
      <c r="Q24" s="159">
        <f t="shared" si="0"/>
        <v>4396</v>
      </c>
      <c r="R24" s="503">
        <f t="shared" si="0"/>
        <v>100</v>
      </c>
      <c r="S24" s="504">
        <f>(F24+G24+H24+I24+J24+K24+L24+M24+N24+O24+P24)/11</f>
        <v>399.63636363636363</v>
      </c>
    </row>
    <row r="31" spans="1:19">
      <c r="Q31" s="17"/>
    </row>
    <row r="33" spans="13:13">
      <c r="M33" s="17"/>
    </row>
  </sheetData>
  <mergeCells count="2">
    <mergeCell ref="A19:C19"/>
    <mergeCell ref="A20:B21"/>
  </mergeCells>
  <pageMargins left="0.511811024" right="0.511811024" top="0.78740157500000008" bottom="0.78740157500000008" header="0.31496062000000008" footer="0.31496062000000008"/>
  <pageSetup paperSize="9" fitToWidth="0" fitToHeight="0" orientation="portrait" verticalDpi="0" r:id="rId1"/>
  <ignoredErrors>
    <ignoredError sqref="L24:P24 I24:K24 H24 F24 E24 G24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7"/>
  <sheetViews>
    <sheetView zoomScaleNormal="100" workbookViewId="0"/>
  </sheetViews>
  <sheetFormatPr defaultRowHeight="15"/>
  <cols>
    <col min="1" max="1" width="68" style="1" customWidth="1"/>
    <col min="2" max="2" width="7.5703125" style="41" bestFit="1" customWidth="1"/>
    <col min="3" max="3" width="7.7109375" style="41" bestFit="1" customWidth="1"/>
    <col min="4" max="4" width="7.140625" style="41" bestFit="1" customWidth="1"/>
    <col min="5" max="5" width="7" style="41" bestFit="1" customWidth="1"/>
    <col min="6" max="6" width="7.5703125" style="41" bestFit="1" customWidth="1"/>
    <col min="7" max="7" width="6.28515625" style="41" bestFit="1" customWidth="1"/>
    <col min="8" max="8" width="7" style="41" bestFit="1" customWidth="1"/>
    <col min="9" max="9" width="7.28515625" style="41" bestFit="1" customWidth="1"/>
    <col min="10" max="10" width="7.140625" style="41" bestFit="1" customWidth="1"/>
    <col min="11" max="11" width="7.5703125" style="41" bestFit="1" customWidth="1"/>
    <col min="12" max="12" width="7.140625" style="39" bestFit="1" customWidth="1"/>
    <col min="13" max="13" width="6.85546875" style="39" bestFit="1" customWidth="1"/>
    <col min="14" max="14" width="6.140625" style="39" bestFit="1" customWidth="1"/>
    <col min="15" max="15" width="8.85546875" style="39" customWidth="1"/>
    <col min="16" max="16" width="8.5703125" style="40" bestFit="1" customWidth="1"/>
  </cols>
  <sheetData>
    <row r="1" spans="1:16">
      <c r="A1" s="13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6">
      <c r="A2" s="13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6" ht="15.75" thickBot="1"/>
    <row r="4" spans="1:16" ht="15.75" thickBot="1">
      <c r="A4" s="369" t="s">
        <v>17</v>
      </c>
      <c r="B4" s="797">
        <v>45261</v>
      </c>
      <c r="C4" s="798">
        <v>45231</v>
      </c>
      <c r="D4" s="708">
        <v>45200</v>
      </c>
      <c r="E4" s="706">
        <v>45170</v>
      </c>
      <c r="F4" s="706">
        <v>45139</v>
      </c>
      <c r="G4" s="706">
        <v>45108</v>
      </c>
      <c r="H4" s="706">
        <v>45078</v>
      </c>
      <c r="I4" s="707">
        <v>45047</v>
      </c>
      <c r="J4" s="706">
        <v>45017</v>
      </c>
      <c r="K4" s="708">
        <v>44986</v>
      </c>
      <c r="L4" s="709">
        <v>44958</v>
      </c>
      <c r="M4" s="709">
        <v>44927</v>
      </c>
      <c r="N4" s="709" t="s">
        <v>3</v>
      </c>
      <c r="O4" s="833" t="s">
        <v>4</v>
      </c>
      <c r="P4" s="836" t="s">
        <v>18</v>
      </c>
    </row>
    <row r="5" spans="1:16" s="42" customFormat="1">
      <c r="A5" s="741" t="s">
        <v>19</v>
      </c>
      <c r="B5" s="695"/>
      <c r="C5" s="787"/>
      <c r="D5" s="773"/>
      <c r="E5" s="189"/>
      <c r="F5" s="189"/>
      <c r="G5" s="189"/>
      <c r="H5" s="189"/>
      <c r="I5" s="189"/>
      <c r="J5" s="189"/>
      <c r="K5" s="189"/>
      <c r="L5" s="189"/>
      <c r="M5" s="802">
        <v>1</v>
      </c>
      <c r="N5" s="705">
        <f>SUM(B5:M5)</f>
        <v>1</v>
      </c>
      <c r="O5" s="834">
        <f>AVERAGE(B5:M5)</f>
        <v>1</v>
      </c>
      <c r="P5" s="837">
        <f t="shared" ref="P5:P36" si="0">(N5/$N$187)*100</f>
        <v>2.3490721165139769E-2</v>
      </c>
    </row>
    <row r="6" spans="1:16" s="42" customFormat="1">
      <c r="A6" s="738" t="s">
        <v>248</v>
      </c>
      <c r="B6" s="696"/>
      <c r="C6" s="786"/>
      <c r="D6" s="774"/>
      <c r="E6" s="130"/>
      <c r="F6" s="130"/>
      <c r="G6" s="130"/>
      <c r="H6" s="189"/>
      <c r="I6" s="189"/>
      <c r="J6" s="189"/>
      <c r="K6" s="189"/>
      <c r="L6" s="189"/>
      <c r="M6" s="802">
        <v>0</v>
      </c>
      <c r="N6" s="337">
        <f>SUM(B6:M6)</f>
        <v>0</v>
      </c>
      <c r="O6" s="835">
        <f>AVERAGE(B6:M6)</f>
        <v>0</v>
      </c>
      <c r="P6" s="837">
        <f t="shared" si="0"/>
        <v>0</v>
      </c>
    </row>
    <row r="7" spans="1:16" s="42" customFormat="1">
      <c r="A7" s="738" t="s">
        <v>20</v>
      </c>
      <c r="B7" s="696"/>
      <c r="C7" s="786"/>
      <c r="D7" s="774"/>
      <c r="E7" s="130"/>
      <c r="F7" s="130"/>
      <c r="G7" s="130"/>
      <c r="H7" s="130"/>
      <c r="I7" s="130"/>
      <c r="J7" s="130"/>
      <c r="K7" s="130"/>
      <c r="L7" s="130"/>
      <c r="M7" s="802">
        <v>4</v>
      </c>
      <c r="N7" s="337">
        <f>SUM(B7:M7)</f>
        <v>4</v>
      </c>
      <c r="O7" s="835">
        <f t="shared" ref="O7:O64" si="1">AVERAGE(B7:M7)</f>
        <v>4</v>
      </c>
      <c r="P7" s="837">
        <f t="shared" si="0"/>
        <v>9.3962884660559076E-2</v>
      </c>
    </row>
    <row r="8" spans="1:16" s="42" customFormat="1">
      <c r="A8" s="738" t="s">
        <v>220</v>
      </c>
      <c r="B8" s="696"/>
      <c r="C8" s="786"/>
      <c r="D8" s="774"/>
      <c r="E8" s="130"/>
      <c r="F8" s="130"/>
      <c r="G8" s="130"/>
      <c r="H8" s="130"/>
      <c r="I8" s="130"/>
      <c r="J8" s="130"/>
      <c r="K8" s="130"/>
      <c r="L8" s="130"/>
      <c r="M8" s="802">
        <v>2</v>
      </c>
      <c r="N8" s="337">
        <f>SUM(B8:M8)</f>
        <v>2</v>
      </c>
      <c r="O8" s="835">
        <f>AVERAGE(B8:M8)</f>
        <v>2</v>
      </c>
      <c r="P8" s="837">
        <f t="shared" si="0"/>
        <v>4.6981442330279538E-2</v>
      </c>
    </row>
    <row r="9" spans="1:16" s="42" customFormat="1">
      <c r="A9" s="710" t="s">
        <v>373</v>
      </c>
      <c r="B9" s="696"/>
      <c r="C9" s="786"/>
      <c r="D9" s="774"/>
      <c r="E9" s="130"/>
      <c r="F9" s="130"/>
      <c r="G9" s="130"/>
      <c r="H9" s="130"/>
      <c r="I9" s="130"/>
      <c r="J9" s="130"/>
      <c r="K9" s="130"/>
      <c r="L9" s="130"/>
      <c r="M9" s="802">
        <v>1</v>
      </c>
      <c r="N9" s="337">
        <f t="shared" ref="N9:N65" si="2">SUM(B9:M9)</f>
        <v>1</v>
      </c>
      <c r="O9" s="835">
        <f t="shared" si="1"/>
        <v>1</v>
      </c>
      <c r="P9" s="837">
        <f t="shared" si="0"/>
        <v>2.3490721165139769E-2</v>
      </c>
    </row>
    <row r="10" spans="1:16" s="42" customFormat="1">
      <c r="A10" s="738" t="s">
        <v>221</v>
      </c>
      <c r="B10" s="696"/>
      <c r="C10" s="786"/>
      <c r="D10" s="774"/>
      <c r="E10" s="130"/>
      <c r="F10" s="130"/>
      <c r="G10" s="130"/>
      <c r="H10" s="130"/>
      <c r="I10" s="130"/>
      <c r="J10" s="130"/>
      <c r="K10" s="130"/>
      <c r="L10" s="130"/>
      <c r="M10" s="802">
        <v>0</v>
      </c>
      <c r="N10" s="337">
        <f t="shared" si="2"/>
        <v>0</v>
      </c>
      <c r="O10" s="835">
        <f t="shared" si="1"/>
        <v>0</v>
      </c>
      <c r="P10" s="837">
        <f t="shared" si="0"/>
        <v>0</v>
      </c>
    </row>
    <row r="11" spans="1:16" s="42" customFormat="1">
      <c r="A11" s="738" t="s">
        <v>21</v>
      </c>
      <c r="B11" s="696"/>
      <c r="C11" s="786"/>
      <c r="D11" s="774"/>
      <c r="E11" s="130"/>
      <c r="F11" s="130"/>
      <c r="G11" s="130"/>
      <c r="H11" s="130"/>
      <c r="I11" s="130"/>
      <c r="J11" s="130"/>
      <c r="K11" s="130"/>
      <c r="L11" s="130"/>
      <c r="M11" s="802">
        <v>0</v>
      </c>
      <c r="N11" s="337">
        <f t="shared" si="2"/>
        <v>0</v>
      </c>
      <c r="O11" s="835">
        <f t="shared" si="1"/>
        <v>0</v>
      </c>
      <c r="P11" s="837">
        <f t="shared" si="0"/>
        <v>0</v>
      </c>
    </row>
    <row r="12" spans="1:16" s="42" customFormat="1">
      <c r="A12" s="738" t="s">
        <v>22</v>
      </c>
      <c r="B12" s="696"/>
      <c r="C12" s="786"/>
      <c r="D12" s="774"/>
      <c r="E12" s="130"/>
      <c r="F12" s="130"/>
      <c r="G12" s="130"/>
      <c r="H12" s="130"/>
      <c r="I12" s="130"/>
      <c r="J12" s="130"/>
      <c r="K12" s="130"/>
      <c r="L12" s="130"/>
      <c r="M12" s="802">
        <v>1</v>
      </c>
      <c r="N12" s="337">
        <f t="shared" si="2"/>
        <v>1</v>
      </c>
      <c r="O12" s="835">
        <f t="shared" si="1"/>
        <v>1</v>
      </c>
      <c r="P12" s="837">
        <f t="shared" si="0"/>
        <v>2.3490721165139769E-2</v>
      </c>
    </row>
    <row r="13" spans="1:16">
      <c r="A13" s="710" t="s">
        <v>374</v>
      </c>
      <c r="B13" s="704"/>
      <c r="C13" s="786"/>
      <c r="D13" s="775"/>
      <c r="E13" s="131"/>
      <c r="F13" s="131"/>
      <c r="G13" s="130"/>
      <c r="H13" s="130"/>
      <c r="I13" s="130"/>
      <c r="J13" s="131"/>
      <c r="K13" s="131"/>
      <c r="L13" s="131"/>
      <c r="M13" s="802">
        <v>9</v>
      </c>
      <c r="N13" s="337">
        <f t="shared" si="2"/>
        <v>9</v>
      </c>
      <c r="O13" s="835">
        <f t="shared" si="1"/>
        <v>9</v>
      </c>
      <c r="P13" s="837">
        <f t="shared" si="0"/>
        <v>0.21141649048625794</v>
      </c>
    </row>
    <row r="14" spans="1:16">
      <c r="A14" s="739" t="s">
        <v>23</v>
      </c>
      <c r="B14" s="704"/>
      <c r="C14" s="786"/>
      <c r="D14" s="775"/>
      <c r="E14" s="131"/>
      <c r="F14" s="131"/>
      <c r="G14" s="130"/>
      <c r="H14" s="130"/>
      <c r="I14" s="130"/>
      <c r="J14" s="131"/>
      <c r="K14" s="131"/>
      <c r="L14" s="131"/>
      <c r="M14" s="802">
        <v>15</v>
      </c>
      <c r="N14" s="337">
        <f t="shared" si="2"/>
        <v>15</v>
      </c>
      <c r="O14" s="835">
        <f t="shared" si="1"/>
        <v>15</v>
      </c>
      <c r="P14" s="837">
        <f t="shared" si="0"/>
        <v>0.35236081747709658</v>
      </c>
    </row>
    <row r="15" spans="1:16">
      <c r="A15" s="739" t="s">
        <v>24</v>
      </c>
      <c r="B15" s="704"/>
      <c r="C15" s="786"/>
      <c r="D15" s="775"/>
      <c r="E15" s="131"/>
      <c r="F15" s="131"/>
      <c r="G15" s="130"/>
      <c r="H15" s="130"/>
      <c r="I15" s="130"/>
      <c r="J15" s="131"/>
      <c r="K15" s="131"/>
      <c r="L15" s="131"/>
      <c r="M15" s="802">
        <v>0</v>
      </c>
      <c r="N15" s="337">
        <f t="shared" si="2"/>
        <v>0</v>
      </c>
      <c r="O15" s="835">
        <f t="shared" si="1"/>
        <v>0</v>
      </c>
      <c r="P15" s="837">
        <f t="shared" si="0"/>
        <v>0</v>
      </c>
    </row>
    <row r="16" spans="1:16">
      <c r="A16" s="739" t="s">
        <v>25</v>
      </c>
      <c r="B16" s="704"/>
      <c r="C16" s="786"/>
      <c r="D16" s="775"/>
      <c r="E16" s="131"/>
      <c r="F16" s="131"/>
      <c r="G16" s="130"/>
      <c r="H16" s="130"/>
      <c r="I16" s="130"/>
      <c r="J16" s="131"/>
      <c r="K16" s="131"/>
      <c r="L16" s="131"/>
      <c r="M16" s="802">
        <v>4</v>
      </c>
      <c r="N16" s="337">
        <f t="shared" si="2"/>
        <v>4</v>
      </c>
      <c r="O16" s="835">
        <f t="shared" si="1"/>
        <v>4</v>
      </c>
      <c r="P16" s="837">
        <f t="shared" si="0"/>
        <v>9.3962884660559076E-2</v>
      </c>
    </row>
    <row r="17" spans="1:16">
      <c r="A17" s="739" t="s">
        <v>26</v>
      </c>
      <c r="B17" s="704"/>
      <c r="C17" s="786"/>
      <c r="D17" s="775"/>
      <c r="E17" s="131"/>
      <c r="F17" s="131"/>
      <c r="G17" s="130"/>
      <c r="H17" s="130"/>
      <c r="I17" s="130"/>
      <c r="J17" s="131"/>
      <c r="K17" s="131"/>
      <c r="L17" s="131"/>
      <c r="M17" s="802">
        <v>3</v>
      </c>
      <c r="N17" s="337">
        <f t="shared" si="2"/>
        <v>3</v>
      </c>
      <c r="O17" s="835">
        <f t="shared" si="1"/>
        <v>3</v>
      </c>
      <c r="P17" s="837">
        <f t="shared" si="0"/>
        <v>7.0472163495419307E-2</v>
      </c>
    </row>
    <row r="18" spans="1:16">
      <c r="A18" s="739" t="s">
        <v>27</v>
      </c>
      <c r="B18" s="704"/>
      <c r="C18" s="786"/>
      <c r="D18" s="775"/>
      <c r="E18" s="131"/>
      <c r="F18" s="131"/>
      <c r="G18" s="130"/>
      <c r="H18" s="130"/>
      <c r="I18" s="130"/>
      <c r="J18" s="131"/>
      <c r="K18" s="131"/>
      <c r="L18" s="131"/>
      <c r="M18" s="802">
        <v>0</v>
      </c>
      <c r="N18" s="337">
        <f t="shared" si="2"/>
        <v>0</v>
      </c>
      <c r="O18" s="835">
        <f t="shared" si="1"/>
        <v>0</v>
      </c>
      <c r="P18" s="837">
        <f t="shared" si="0"/>
        <v>0</v>
      </c>
    </row>
    <row r="19" spans="1:16">
      <c r="A19" s="739" t="s">
        <v>28</v>
      </c>
      <c r="B19" s="704"/>
      <c r="C19" s="786"/>
      <c r="D19" s="775"/>
      <c r="E19" s="131"/>
      <c r="F19" s="131"/>
      <c r="G19" s="130"/>
      <c r="H19" s="130"/>
      <c r="I19" s="130"/>
      <c r="J19" s="131"/>
      <c r="K19" s="131"/>
      <c r="L19" s="131"/>
      <c r="M19" s="802">
        <v>0</v>
      </c>
      <c r="N19" s="337">
        <f t="shared" si="2"/>
        <v>0</v>
      </c>
      <c r="O19" s="835">
        <f t="shared" si="1"/>
        <v>0</v>
      </c>
      <c r="P19" s="837">
        <f t="shared" si="0"/>
        <v>0</v>
      </c>
    </row>
    <row r="20" spans="1:16">
      <c r="A20" s="739" t="s">
        <v>29</v>
      </c>
      <c r="B20" s="704"/>
      <c r="C20" s="786"/>
      <c r="D20" s="775"/>
      <c r="E20" s="131"/>
      <c r="F20" s="131"/>
      <c r="G20" s="130"/>
      <c r="H20" s="130"/>
      <c r="I20" s="130"/>
      <c r="J20" s="131"/>
      <c r="K20" s="131"/>
      <c r="L20" s="131"/>
      <c r="M20" s="802">
        <v>0</v>
      </c>
      <c r="N20" s="337">
        <f t="shared" si="2"/>
        <v>0</v>
      </c>
      <c r="O20" s="835">
        <f t="shared" si="1"/>
        <v>0</v>
      </c>
      <c r="P20" s="837">
        <f t="shared" si="0"/>
        <v>0</v>
      </c>
    </row>
    <row r="21" spans="1:16">
      <c r="A21" s="739" t="s">
        <v>30</v>
      </c>
      <c r="B21" s="704"/>
      <c r="C21" s="786"/>
      <c r="D21" s="775"/>
      <c r="E21" s="131"/>
      <c r="F21" s="131"/>
      <c r="G21" s="130"/>
      <c r="H21" s="130"/>
      <c r="I21" s="130"/>
      <c r="J21" s="131"/>
      <c r="K21" s="131"/>
      <c r="L21" s="131"/>
      <c r="M21" s="802">
        <v>11</v>
      </c>
      <c r="N21" s="337">
        <f t="shared" si="2"/>
        <v>11</v>
      </c>
      <c r="O21" s="835">
        <f t="shared" si="1"/>
        <v>11</v>
      </c>
      <c r="P21" s="837">
        <f t="shared" si="0"/>
        <v>0.2583979328165375</v>
      </c>
    </row>
    <row r="22" spans="1:16">
      <c r="A22" s="739" t="s">
        <v>31</v>
      </c>
      <c r="B22" s="704"/>
      <c r="C22" s="786"/>
      <c r="D22" s="775"/>
      <c r="E22" s="131"/>
      <c r="F22" s="131"/>
      <c r="G22" s="130"/>
      <c r="H22" s="130"/>
      <c r="I22" s="130"/>
      <c r="J22" s="131"/>
      <c r="K22" s="131"/>
      <c r="L22" s="131"/>
      <c r="M22" s="974">
        <v>301</v>
      </c>
      <c r="N22" s="337">
        <f t="shared" si="2"/>
        <v>301</v>
      </c>
      <c r="O22" s="835">
        <f t="shared" si="1"/>
        <v>301</v>
      </c>
      <c r="P22" s="837">
        <f t="shared" si="0"/>
        <v>7.0707070707070701</v>
      </c>
    </row>
    <row r="23" spans="1:16">
      <c r="A23" s="739" t="s">
        <v>32</v>
      </c>
      <c r="B23" s="704"/>
      <c r="C23" s="786"/>
      <c r="D23" s="775"/>
      <c r="E23" s="131"/>
      <c r="F23" s="131"/>
      <c r="G23" s="130"/>
      <c r="H23" s="130"/>
      <c r="I23" s="130"/>
      <c r="J23" s="131"/>
      <c r="K23" s="131"/>
      <c r="L23" s="131"/>
      <c r="M23" s="974">
        <v>0</v>
      </c>
      <c r="N23" s="337">
        <f t="shared" si="2"/>
        <v>0</v>
      </c>
      <c r="O23" s="835">
        <f t="shared" si="1"/>
        <v>0</v>
      </c>
      <c r="P23" s="837">
        <f t="shared" si="0"/>
        <v>0</v>
      </c>
    </row>
    <row r="24" spans="1:16">
      <c r="A24" s="739" t="s">
        <v>33</v>
      </c>
      <c r="B24" s="704"/>
      <c r="C24" s="786"/>
      <c r="D24" s="775"/>
      <c r="E24" s="131"/>
      <c r="F24" s="131"/>
      <c r="G24" s="130"/>
      <c r="H24" s="130"/>
      <c r="I24" s="130"/>
      <c r="J24" s="131"/>
      <c r="K24" s="131"/>
      <c r="L24" s="131"/>
      <c r="M24" s="974">
        <v>0</v>
      </c>
      <c r="N24" s="337">
        <f t="shared" si="2"/>
        <v>0</v>
      </c>
      <c r="O24" s="835">
        <f t="shared" si="1"/>
        <v>0</v>
      </c>
      <c r="P24" s="837">
        <f t="shared" si="0"/>
        <v>0</v>
      </c>
    </row>
    <row r="25" spans="1:16">
      <c r="A25" s="739" t="s">
        <v>34</v>
      </c>
      <c r="B25" s="704"/>
      <c r="C25" s="786"/>
      <c r="D25" s="775"/>
      <c r="E25" s="131"/>
      <c r="F25" s="131"/>
      <c r="G25" s="130"/>
      <c r="H25" s="130"/>
      <c r="I25" s="130"/>
      <c r="J25" s="131"/>
      <c r="K25" s="131"/>
      <c r="L25" s="131"/>
      <c r="M25" s="974">
        <v>2</v>
      </c>
      <c r="N25" s="337">
        <f t="shared" si="2"/>
        <v>2</v>
      </c>
      <c r="O25" s="835">
        <f t="shared" si="1"/>
        <v>2</v>
      </c>
      <c r="P25" s="837">
        <f t="shared" si="0"/>
        <v>4.6981442330279538E-2</v>
      </c>
    </row>
    <row r="26" spans="1:16">
      <c r="A26" s="710" t="s">
        <v>375</v>
      </c>
      <c r="B26" s="704"/>
      <c r="C26" s="786"/>
      <c r="D26" s="775"/>
      <c r="E26" s="131"/>
      <c r="F26" s="131"/>
      <c r="G26" s="130"/>
      <c r="H26" s="130"/>
      <c r="I26" s="130"/>
      <c r="J26" s="131"/>
      <c r="K26" s="131"/>
      <c r="L26" s="131"/>
      <c r="M26" s="974">
        <v>11</v>
      </c>
      <c r="N26" s="337">
        <f t="shared" si="2"/>
        <v>11</v>
      </c>
      <c r="O26" s="835">
        <f t="shared" si="1"/>
        <v>11</v>
      </c>
      <c r="P26" s="837">
        <f t="shared" si="0"/>
        <v>0.2583979328165375</v>
      </c>
    </row>
    <row r="27" spans="1:16">
      <c r="A27" s="710" t="s">
        <v>376</v>
      </c>
      <c r="B27" s="704"/>
      <c r="C27" s="786"/>
      <c r="D27" s="775"/>
      <c r="E27" s="131"/>
      <c r="F27" s="131"/>
      <c r="G27" s="130"/>
      <c r="H27" s="130"/>
      <c r="I27" s="130"/>
      <c r="J27" s="131"/>
      <c r="K27" s="131"/>
      <c r="L27" s="131"/>
      <c r="M27" s="974">
        <v>4</v>
      </c>
      <c r="N27" s="337">
        <f t="shared" si="2"/>
        <v>4</v>
      </c>
      <c r="O27" s="835">
        <f t="shared" si="1"/>
        <v>4</v>
      </c>
      <c r="P27" s="837">
        <f t="shared" si="0"/>
        <v>9.3962884660559076E-2</v>
      </c>
    </row>
    <row r="28" spans="1:16">
      <c r="A28" s="739" t="s">
        <v>35</v>
      </c>
      <c r="B28" s="704"/>
      <c r="C28" s="786"/>
      <c r="D28" s="775"/>
      <c r="E28" s="131"/>
      <c r="F28" s="131"/>
      <c r="G28" s="130"/>
      <c r="H28" s="130"/>
      <c r="I28" s="130"/>
      <c r="J28" s="131"/>
      <c r="K28" s="131"/>
      <c r="L28" s="131"/>
      <c r="M28" s="974">
        <v>0</v>
      </c>
      <c r="N28" s="337">
        <f t="shared" si="2"/>
        <v>0</v>
      </c>
      <c r="O28" s="835">
        <f t="shared" si="1"/>
        <v>0</v>
      </c>
      <c r="P28" s="837">
        <f t="shared" si="0"/>
        <v>0</v>
      </c>
    </row>
    <row r="29" spans="1:16" s="702" customFormat="1">
      <c r="A29" s="739" t="s">
        <v>358</v>
      </c>
      <c r="B29" s="704"/>
      <c r="C29" s="786"/>
      <c r="D29" s="775"/>
      <c r="E29" s="131"/>
      <c r="F29" s="131"/>
      <c r="G29" s="130"/>
      <c r="H29" s="130"/>
      <c r="I29" s="130"/>
      <c r="J29" s="131"/>
      <c r="K29" s="131"/>
      <c r="L29" s="131"/>
      <c r="M29" s="974">
        <v>4</v>
      </c>
      <c r="N29" s="337">
        <f t="shared" si="2"/>
        <v>4</v>
      </c>
      <c r="O29" s="835">
        <f t="shared" si="1"/>
        <v>4</v>
      </c>
      <c r="P29" s="837">
        <f t="shared" si="0"/>
        <v>9.3962884660559076E-2</v>
      </c>
    </row>
    <row r="30" spans="1:16">
      <c r="A30" s="710" t="s">
        <v>388</v>
      </c>
      <c r="B30" s="704"/>
      <c r="C30" s="786"/>
      <c r="D30" s="775"/>
      <c r="E30" s="131"/>
      <c r="F30" s="131"/>
      <c r="G30" s="130"/>
      <c r="H30" s="130"/>
      <c r="I30" s="130"/>
      <c r="J30" s="131"/>
      <c r="K30" s="131"/>
      <c r="L30" s="131"/>
      <c r="M30" s="974">
        <v>1</v>
      </c>
      <c r="N30" s="337">
        <f t="shared" si="2"/>
        <v>1</v>
      </c>
      <c r="O30" s="835">
        <f t="shared" si="1"/>
        <v>1</v>
      </c>
      <c r="P30" s="837">
        <f t="shared" si="0"/>
        <v>2.3490721165139769E-2</v>
      </c>
    </row>
    <row r="31" spans="1:16">
      <c r="A31" s="739" t="s">
        <v>36</v>
      </c>
      <c r="B31" s="704"/>
      <c r="C31" s="786"/>
      <c r="D31" s="775"/>
      <c r="E31" s="131"/>
      <c r="F31" s="131"/>
      <c r="G31" s="130"/>
      <c r="H31" s="130"/>
      <c r="I31" s="130"/>
      <c r="J31" s="131"/>
      <c r="K31" s="131"/>
      <c r="L31" s="131"/>
      <c r="M31" s="974">
        <v>0</v>
      </c>
      <c r="N31" s="337">
        <f t="shared" si="2"/>
        <v>0</v>
      </c>
      <c r="O31" s="835">
        <f t="shared" si="1"/>
        <v>0</v>
      </c>
      <c r="P31" s="837">
        <f t="shared" si="0"/>
        <v>0</v>
      </c>
    </row>
    <row r="32" spans="1:16">
      <c r="A32" s="739" t="s">
        <v>37</v>
      </c>
      <c r="B32" s="704"/>
      <c r="C32" s="786"/>
      <c r="D32" s="775"/>
      <c r="E32" s="131"/>
      <c r="F32" s="131"/>
      <c r="G32" s="130"/>
      <c r="H32" s="130"/>
      <c r="I32" s="130"/>
      <c r="J32" s="131"/>
      <c r="K32" s="131"/>
      <c r="L32" s="131"/>
      <c r="M32" s="974">
        <v>56</v>
      </c>
      <c r="N32" s="337">
        <f t="shared" si="2"/>
        <v>56</v>
      </c>
      <c r="O32" s="835">
        <f t="shared" si="1"/>
        <v>56</v>
      </c>
      <c r="P32" s="837">
        <f t="shared" si="0"/>
        <v>1.3154803852478272</v>
      </c>
    </row>
    <row r="33" spans="1:16">
      <c r="A33" s="739" t="s">
        <v>38</v>
      </c>
      <c r="B33" s="704"/>
      <c r="C33" s="786"/>
      <c r="D33" s="775"/>
      <c r="E33" s="131"/>
      <c r="F33" s="131"/>
      <c r="G33" s="130"/>
      <c r="H33" s="130"/>
      <c r="I33" s="130"/>
      <c r="J33" s="131"/>
      <c r="K33" s="131"/>
      <c r="L33" s="131"/>
      <c r="M33" s="974">
        <v>0</v>
      </c>
      <c r="N33" s="337">
        <f t="shared" si="2"/>
        <v>0</v>
      </c>
      <c r="O33" s="835">
        <f t="shared" si="1"/>
        <v>0</v>
      </c>
      <c r="P33" s="837">
        <f t="shared" si="0"/>
        <v>0</v>
      </c>
    </row>
    <row r="34" spans="1:16">
      <c r="A34" s="739" t="s">
        <v>39</v>
      </c>
      <c r="B34" s="704"/>
      <c r="C34" s="786"/>
      <c r="D34" s="775"/>
      <c r="E34" s="131"/>
      <c r="F34" s="131"/>
      <c r="G34" s="130"/>
      <c r="H34" s="130"/>
      <c r="I34" s="130"/>
      <c r="J34" s="131"/>
      <c r="K34" s="131"/>
      <c r="L34" s="131"/>
      <c r="M34" s="974">
        <v>0</v>
      </c>
      <c r="N34" s="337">
        <f t="shared" si="2"/>
        <v>0</v>
      </c>
      <c r="O34" s="835">
        <f t="shared" si="1"/>
        <v>0</v>
      </c>
      <c r="P34" s="837">
        <f t="shared" si="0"/>
        <v>0</v>
      </c>
    </row>
    <row r="35" spans="1:16">
      <c r="A35" s="739" t="s">
        <v>40</v>
      </c>
      <c r="B35" s="704"/>
      <c r="C35" s="786"/>
      <c r="D35" s="775"/>
      <c r="E35" s="131"/>
      <c r="F35" s="131"/>
      <c r="G35" s="130"/>
      <c r="H35" s="130"/>
      <c r="I35" s="130"/>
      <c r="J35" s="131"/>
      <c r="K35" s="131"/>
      <c r="L35" s="131"/>
      <c r="M35" s="974">
        <v>263</v>
      </c>
      <c r="N35" s="337">
        <f t="shared" si="2"/>
        <v>263</v>
      </c>
      <c r="O35" s="835">
        <f t="shared" si="1"/>
        <v>263</v>
      </c>
      <c r="P35" s="837">
        <f t="shared" si="0"/>
        <v>6.1780596664317597</v>
      </c>
    </row>
    <row r="36" spans="1:16">
      <c r="A36" s="739" t="s">
        <v>41</v>
      </c>
      <c r="B36" s="704"/>
      <c r="C36" s="786"/>
      <c r="D36" s="775"/>
      <c r="E36" s="131"/>
      <c r="F36" s="131"/>
      <c r="G36" s="130"/>
      <c r="H36" s="130"/>
      <c r="I36" s="130"/>
      <c r="J36" s="131"/>
      <c r="K36" s="131"/>
      <c r="L36" s="131"/>
      <c r="M36" s="974">
        <v>0</v>
      </c>
      <c r="N36" s="337">
        <f t="shared" si="2"/>
        <v>0</v>
      </c>
      <c r="O36" s="835">
        <f t="shared" si="1"/>
        <v>0</v>
      </c>
      <c r="P36" s="837">
        <f t="shared" si="0"/>
        <v>0</v>
      </c>
    </row>
    <row r="37" spans="1:16">
      <c r="A37" s="739" t="s">
        <v>42</v>
      </c>
      <c r="B37" s="704"/>
      <c r="C37" s="786"/>
      <c r="D37" s="775"/>
      <c r="E37" s="131"/>
      <c r="F37" s="131"/>
      <c r="G37" s="130"/>
      <c r="H37" s="130"/>
      <c r="I37" s="130"/>
      <c r="J37" s="131"/>
      <c r="K37" s="131"/>
      <c r="L37" s="131"/>
      <c r="M37" s="974">
        <v>501</v>
      </c>
      <c r="N37" s="337">
        <f t="shared" si="2"/>
        <v>501</v>
      </c>
      <c r="O37" s="835">
        <f t="shared" si="1"/>
        <v>501</v>
      </c>
      <c r="P37" s="837">
        <f t="shared" ref="P37:P68" si="3">(N37/$N$187)*100</f>
        <v>11.768851303735024</v>
      </c>
    </row>
    <row r="38" spans="1:16">
      <c r="A38" s="739" t="s">
        <v>43</v>
      </c>
      <c r="B38" s="704"/>
      <c r="C38" s="786"/>
      <c r="D38" s="775"/>
      <c r="E38" s="131"/>
      <c r="F38" s="131"/>
      <c r="G38" s="130"/>
      <c r="H38" s="130"/>
      <c r="I38" s="130"/>
      <c r="J38" s="131"/>
      <c r="K38" s="131"/>
      <c r="L38" s="131"/>
      <c r="M38" s="974">
        <v>1</v>
      </c>
      <c r="N38" s="337">
        <f t="shared" si="2"/>
        <v>1</v>
      </c>
      <c r="O38" s="835">
        <f t="shared" si="1"/>
        <v>1</v>
      </c>
      <c r="P38" s="837">
        <f t="shared" si="3"/>
        <v>2.3490721165139769E-2</v>
      </c>
    </row>
    <row r="39" spans="1:16">
      <c r="A39" s="739" t="s">
        <v>44</v>
      </c>
      <c r="B39" s="704"/>
      <c r="C39" s="786"/>
      <c r="D39" s="775"/>
      <c r="E39" s="131"/>
      <c r="F39" s="131"/>
      <c r="G39" s="130"/>
      <c r="H39" s="130"/>
      <c r="I39" s="130"/>
      <c r="J39" s="131"/>
      <c r="K39" s="131"/>
      <c r="L39" s="131"/>
      <c r="M39" s="974">
        <v>91</v>
      </c>
      <c r="N39" s="337">
        <f t="shared" si="2"/>
        <v>91</v>
      </c>
      <c r="O39" s="835">
        <f t="shared" si="1"/>
        <v>91</v>
      </c>
      <c r="P39" s="837">
        <f t="shared" si="3"/>
        <v>2.1376556260277191</v>
      </c>
    </row>
    <row r="40" spans="1:16">
      <c r="A40" s="739" t="s">
        <v>45</v>
      </c>
      <c r="B40" s="704"/>
      <c r="C40" s="786"/>
      <c r="D40" s="775"/>
      <c r="E40" s="131"/>
      <c r="F40" s="131"/>
      <c r="G40" s="130"/>
      <c r="H40" s="130"/>
      <c r="I40" s="130"/>
      <c r="J40" s="131"/>
      <c r="K40" s="131"/>
      <c r="L40" s="131"/>
      <c r="M40" s="974">
        <v>81</v>
      </c>
      <c r="N40" s="337">
        <f t="shared" si="2"/>
        <v>81</v>
      </c>
      <c r="O40" s="835">
        <f t="shared" si="1"/>
        <v>81</v>
      </c>
      <c r="P40" s="837">
        <f t="shared" si="3"/>
        <v>1.9027484143763214</v>
      </c>
    </row>
    <row r="41" spans="1:16">
      <c r="A41" s="739" t="s">
        <v>46</v>
      </c>
      <c r="B41" s="704"/>
      <c r="C41" s="786"/>
      <c r="D41" s="775"/>
      <c r="E41" s="131"/>
      <c r="F41" s="131"/>
      <c r="G41" s="130"/>
      <c r="H41" s="130"/>
      <c r="I41" s="130"/>
      <c r="J41" s="131"/>
      <c r="K41" s="131"/>
      <c r="L41" s="131"/>
      <c r="M41" s="974">
        <v>0</v>
      </c>
      <c r="N41" s="337">
        <f t="shared" si="2"/>
        <v>0</v>
      </c>
      <c r="O41" s="835">
        <f t="shared" si="1"/>
        <v>0</v>
      </c>
      <c r="P41" s="837">
        <f t="shared" si="3"/>
        <v>0</v>
      </c>
    </row>
    <row r="42" spans="1:16">
      <c r="A42" s="739" t="s">
        <v>47</v>
      </c>
      <c r="B42" s="704"/>
      <c r="C42" s="786"/>
      <c r="D42" s="775"/>
      <c r="E42" s="131"/>
      <c r="F42" s="131"/>
      <c r="G42" s="130"/>
      <c r="H42" s="130"/>
      <c r="I42" s="130"/>
      <c r="J42" s="131"/>
      <c r="K42" s="131"/>
      <c r="L42" s="131"/>
      <c r="M42" s="974">
        <v>5</v>
      </c>
      <c r="N42" s="337">
        <f t="shared" si="2"/>
        <v>5</v>
      </c>
      <c r="O42" s="835">
        <f t="shared" si="1"/>
        <v>5</v>
      </c>
      <c r="P42" s="837">
        <f t="shared" si="3"/>
        <v>0.11745360582569886</v>
      </c>
    </row>
    <row r="43" spans="1:16" s="702" customFormat="1">
      <c r="A43" s="710" t="s">
        <v>377</v>
      </c>
      <c r="B43" s="704"/>
      <c r="C43" s="786"/>
      <c r="D43" s="775"/>
      <c r="E43" s="131"/>
      <c r="F43" s="131"/>
      <c r="G43" s="130"/>
      <c r="H43" s="130"/>
      <c r="I43" s="130"/>
      <c r="J43" s="131"/>
      <c r="K43" s="131"/>
      <c r="L43" s="131"/>
      <c r="M43" s="974">
        <v>0</v>
      </c>
      <c r="N43" s="337">
        <f t="shared" si="2"/>
        <v>0</v>
      </c>
      <c r="O43" s="835">
        <f t="shared" si="1"/>
        <v>0</v>
      </c>
      <c r="P43" s="837">
        <f t="shared" si="3"/>
        <v>0</v>
      </c>
    </row>
    <row r="44" spans="1:16">
      <c r="A44" s="739" t="s">
        <v>48</v>
      </c>
      <c r="B44" s="704"/>
      <c r="C44" s="786"/>
      <c r="D44" s="775"/>
      <c r="E44" s="131"/>
      <c r="F44" s="131"/>
      <c r="G44" s="130"/>
      <c r="H44" s="130"/>
      <c r="I44" s="130"/>
      <c r="J44" s="131"/>
      <c r="K44" s="131"/>
      <c r="L44" s="131"/>
      <c r="M44" s="974">
        <v>28</v>
      </c>
      <c r="N44" s="337">
        <f t="shared" si="2"/>
        <v>28</v>
      </c>
      <c r="O44" s="835">
        <f t="shared" si="1"/>
        <v>28</v>
      </c>
      <c r="P44" s="837">
        <f t="shared" si="3"/>
        <v>0.65774019262391359</v>
      </c>
    </row>
    <row r="45" spans="1:16">
      <c r="A45" s="739" t="s">
        <v>49</v>
      </c>
      <c r="B45" s="704"/>
      <c r="C45" s="786"/>
      <c r="D45" s="775"/>
      <c r="E45" s="131"/>
      <c r="F45" s="131"/>
      <c r="G45" s="130"/>
      <c r="H45" s="130"/>
      <c r="I45" s="130"/>
      <c r="J45" s="131"/>
      <c r="K45" s="131"/>
      <c r="L45" s="131"/>
      <c r="M45" s="974">
        <v>4</v>
      </c>
      <c r="N45" s="337">
        <f t="shared" si="2"/>
        <v>4</v>
      </c>
      <c r="O45" s="835">
        <f t="shared" si="1"/>
        <v>4</v>
      </c>
      <c r="P45" s="837">
        <f t="shared" si="3"/>
        <v>9.3962884660559076E-2</v>
      </c>
    </row>
    <row r="46" spans="1:16">
      <c r="A46" s="739" t="s">
        <v>50</v>
      </c>
      <c r="B46" s="704"/>
      <c r="C46" s="786"/>
      <c r="D46" s="775"/>
      <c r="E46" s="131"/>
      <c r="F46" s="131"/>
      <c r="G46" s="130"/>
      <c r="H46" s="130"/>
      <c r="I46" s="130"/>
      <c r="J46" s="131"/>
      <c r="K46" s="131"/>
      <c r="L46" s="131"/>
      <c r="M46" s="974">
        <v>4</v>
      </c>
      <c r="N46" s="337">
        <f t="shared" si="2"/>
        <v>4</v>
      </c>
      <c r="O46" s="835">
        <f t="shared" si="1"/>
        <v>4</v>
      </c>
      <c r="P46" s="837">
        <f t="shared" si="3"/>
        <v>9.3962884660559076E-2</v>
      </c>
    </row>
    <row r="47" spans="1:16">
      <c r="A47" s="739" t="s">
        <v>51</v>
      </c>
      <c r="B47" s="704"/>
      <c r="C47" s="786"/>
      <c r="D47" s="775"/>
      <c r="E47" s="131"/>
      <c r="F47" s="131"/>
      <c r="G47" s="130"/>
      <c r="H47" s="130"/>
      <c r="I47" s="130"/>
      <c r="J47" s="131"/>
      <c r="K47" s="131"/>
      <c r="L47" s="131"/>
      <c r="M47" s="974">
        <v>3</v>
      </c>
      <c r="N47" s="337">
        <f t="shared" si="2"/>
        <v>3</v>
      </c>
      <c r="O47" s="835">
        <f t="shared" si="1"/>
        <v>3</v>
      </c>
      <c r="P47" s="837">
        <f t="shared" si="3"/>
        <v>7.0472163495419307E-2</v>
      </c>
    </row>
    <row r="48" spans="1:16">
      <c r="A48" s="739" t="s">
        <v>52</v>
      </c>
      <c r="B48" s="704"/>
      <c r="C48" s="786"/>
      <c r="D48" s="775"/>
      <c r="E48" s="131"/>
      <c r="F48" s="131"/>
      <c r="G48" s="130"/>
      <c r="H48" s="130"/>
      <c r="I48" s="130"/>
      <c r="J48" s="131"/>
      <c r="K48" s="131"/>
      <c r="L48" s="131"/>
      <c r="M48" s="974">
        <v>26</v>
      </c>
      <c r="N48" s="337">
        <f t="shared" si="2"/>
        <v>26</v>
      </c>
      <c r="O48" s="835">
        <f t="shared" si="1"/>
        <v>26</v>
      </c>
      <c r="P48" s="837">
        <f t="shared" si="3"/>
        <v>0.61075875029363402</v>
      </c>
    </row>
    <row r="49" spans="1:16">
      <c r="A49" s="739" t="s">
        <v>53</v>
      </c>
      <c r="B49" s="704"/>
      <c r="C49" s="786"/>
      <c r="D49" s="775"/>
      <c r="E49" s="131"/>
      <c r="F49" s="131"/>
      <c r="G49" s="130"/>
      <c r="H49" s="130"/>
      <c r="I49" s="130"/>
      <c r="J49" s="131"/>
      <c r="K49" s="131"/>
      <c r="L49" s="131"/>
      <c r="M49" s="974">
        <v>13</v>
      </c>
      <c r="N49" s="337">
        <f t="shared" si="2"/>
        <v>13</v>
      </c>
      <c r="O49" s="835">
        <f t="shared" si="1"/>
        <v>13</v>
      </c>
      <c r="P49" s="837">
        <f t="shared" si="3"/>
        <v>0.30537937514681701</v>
      </c>
    </row>
    <row r="50" spans="1:16">
      <c r="A50" s="739" t="s">
        <v>54</v>
      </c>
      <c r="B50" s="704"/>
      <c r="C50" s="786"/>
      <c r="D50" s="775"/>
      <c r="E50" s="131"/>
      <c r="F50" s="131"/>
      <c r="G50" s="130"/>
      <c r="H50" s="130"/>
      <c r="I50" s="130"/>
      <c r="J50" s="131"/>
      <c r="K50" s="131"/>
      <c r="L50" s="131"/>
      <c r="M50" s="974">
        <v>0</v>
      </c>
      <c r="N50" s="337">
        <f t="shared" si="2"/>
        <v>0</v>
      </c>
      <c r="O50" s="835">
        <f t="shared" si="1"/>
        <v>0</v>
      </c>
      <c r="P50" s="837">
        <f t="shared" si="3"/>
        <v>0</v>
      </c>
    </row>
    <row r="51" spans="1:16">
      <c r="A51" s="739" t="s">
        <v>55</v>
      </c>
      <c r="B51" s="704"/>
      <c r="C51" s="786"/>
      <c r="D51" s="775"/>
      <c r="E51" s="131"/>
      <c r="F51" s="131"/>
      <c r="G51" s="130"/>
      <c r="H51" s="130"/>
      <c r="I51" s="130"/>
      <c r="J51" s="131"/>
      <c r="K51" s="131"/>
      <c r="L51" s="131"/>
      <c r="M51" s="974">
        <v>7</v>
      </c>
      <c r="N51" s="337">
        <f t="shared" si="2"/>
        <v>7</v>
      </c>
      <c r="O51" s="835">
        <f t="shared" si="1"/>
        <v>7</v>
      </c>
      <c r="P51" s="837">
        <f t="shared" si="3"/>
        <v>0.1644350481559784</v>
      </c>
    </row>
    <row r="52" spans="1:16">
      <c r="A52" s="739" t="s">
        <v>56</v>
      </c>
      <c r="B52" s="704"/>
      <c r="C52" s="786"/>
      <c r="D52" s="775"/>
      <c r="E52" s="131"/>
      <c r="F52" s="131"/>
      <c r="G52" s="130"/>
      <c r="H52" s="130"/>
      <c r="I52" s="130"/>
      <c r="J52" s="131"/>
      <c r="K52" s="131"/>
      <c r="L52" s="131"/>
      <c r="M52" s="974">
        <v>1</v>
      </c>
      <c r="N52" s="337">
        <f t="shared" si="2"/>
        <v>1</v>
      </c>
      <c r="O52" s="835">
        <f t="shared" si="1"/>
        <v>1</v>
      </c>
      <c r="P52" s="837">
        <f t="shared" si="3"/>
        <v>2.3490721165139769E-2</v>
      </c>
    </row>
    <row r="53" spans="1:16">
      <c r="A53" s="739" t="s">
        <v>57</v>
      </c>
      <c r="B53" s="704"/>
      <c r="C53" s="786"/>
      <c r="D53" s="775"/>
      <c r="E53" s="131"/>
      <c r="F53" s="131"/>
      <c r="G53" s="130"/>
      <c r="H53" s="130"/>
      <c r="I53" s="130"/>
      <c r="J53" s="131"/>
      <c r="K53" s="131"/>
      <c r="L53" s="131"/>
      <c r="M53" s="974">
        <v>20</v>
      </c>
      <c r="N53" s="337">
        <f t="shared" si="2"/>
        <v>20</v>
      </c>
      <c r="O53" s="835">
        <f t="shared" si="1"/>
        <v>20</v>
      </c>
      <c r="P53" s="837">
        <f t="shared" si="3"/>
        <v>0.46981442330279544</v>
      </c>
    </row>
    <row r="54" spans="1:16">
      <c r="A54" s="739" t="s">
        <v>58</v>
      </c>
      <c r="B54" s="704"/>
      <c r="C54" s="786"/>
      <c r="D54" s="775"/>
      <c r="E54" s="131"/>
      <c r="F54" s="131"/>
      <c r="G54" s="130"/>
      <c r="H54" s="130"/>
      <c r="I54" s="130"/>
      <c r="J54" s="131"/>
      <c r="K54" s="131"/>
      <c r="L54" s="131"/>
      <c r="M54" s="974">
        <v>9</v>
      </c>
      <c r="N54" s="337">
        <f t="shared" si="2"/>
        <v>9</v>
      </c>
      <c r="O54" s="835">
        <f t="shared" si="1"/>
        <v>9</v>
      </c>
      <c r="P54" s="837">
        <f t="shared" si="3"/>
        <v>0.21141649048625794</v>
      </c>
    </row>
    <row r="55" spans="1:16">
      <c r="A55" s="739" t="s">
        <v>59</v>
      </c>
      <c r="B55" s="704"/>
      <c r="C55" s="786"/>
      <c r="D55" s="775"/>
      <c r="E55" s="131"/>
      <c r="F55" s="131"/>
      <c r="G55" s="130"/>
      <c r="H55" s="130"/>
      <c r="I55" s="130"/>
      <c r="J55" s="131"/>
      <c r="K55" s="131"/>
      <c r="L55" s="131"/>
      <c r="M55" s="974">
        <v>3</v>
      </c>
      <c r="N55" s="337">
        <f t="shared" si="2"/>
        <v>3</v>
      </c>
      <c r="O55" s="835">
        <f t="shared" si="1"/>
        <v>3</v>
      </c>
      <c r="P55" s="837">
        <f t="shared" si="3"/>
        <v>7.0472163495419307E-2</v>
      </c>
    </row>
    <row r="56" spans="1:16">
      <c r="A56" s="739" t="s">
        <v>60</v>
      </c>
      <c r="B56" s="704"/>
      <c r="C56" s="786"/>
      <c r="D56" s="775"/>
      <c r="E56" s="131"/>
      <c r="F56" s="131"/>
      <c r="G56" s="130"/>
      <c r="H56" s="130"/>
      <c r="I56" s="130"/>
      <c r="J56" s="131"/>
      <c r="K56" s="131"/>
      <c r="L56" s="131"/>
      <c r="M56" s="974">
        <v>2</v>
      </c>
      <c r="N56" s="337">
        <f t="shared" si="2"/>
        <v>2</v>
      </c>
      <c r="O56" s="835">
        <f t="shared" si="1"/>
        <v>2</v>
      </c>
      <c r="P56" s="837">
        <f t="shared" si="3"/>
        <v>4.6981442330279538E-2</v>
      </c>
    </row>
    <row r="57" spans="1:16">
      <c r="A57" s="739" t="s">
        <v>61</v>
      </c>
      <c r="B57" s="704"/>
      <c r="C57" s="786"/>
      <c r="D57" s="775"/>
      <c r="E57" s="131"/>
      <c r="F57" s="131"/>
      <c r="G57" s="130"/>
      <c r="H57" s="130"/>
      <c r="I57" s="130"/>
      <c r="J57" s="131"/>
      <c r="K57" s="131"/>
      <c r="L57" s="131"/>
      <c r="M57" s="974">
        <v>0</v>
      </c>
      <c r="N57" s="337">
        <f t="shared" si="2"/>
        <v>0</v>
      </c>
      <c r="O57" s="835">
        <f t="shared" si="1"/>
        <v>0</v>
      </c>
      <c r="P57" s="837">
        <f t="shared" si="3"/>
        <v>0</v>
      </c>
    </row>
    <row r="58" spans="1:16">
      <c r="A58" s="739" t="s">
        <v>62</v>
      </c>
      <c r="B58" s="704"/>
      <c r="C58" s="786"/>
      <c r="D58" s="775"/>
      <c r="E58" s="131"/>
      <c r="F58" s="131"/>
      <c r="G58" s="130"/>
      <c r="H58" s="130"/>
      <c r="I58" s="130"/>
      <c r="J58" s="131"/>
      <c r="K58" s="131"/>
      <c r="L58" s="131"/>
      <c r="M58" s="974">
        <v>0</v>
      </c>
      <c r="N58" s="337">
        <f t="shared" si="2"/>
        <v>0</v>
      </c>
      <c r="O58" s="835">
        <f t="shared" si="1"/>
        <v>0</v>
      </c>
      <c r="P58" s="837">
        <f t="shared" si="3"/>
        <v>0</v>
      </c>
    </row>
    <row r="59" spans="1:16">
      <c r="A59" s="739" t="s">
        <v>63</v>
      </c>
      <c r="B59" s="704"/>
      <c r="C59" s="786"/>
      <c r="D59" s="775"/>
      <c r="E59" s="131"/>
      <c r="F59" s="131"/>
      <c r="G59" s="130"/>
      <c r="H59" s="130"/>
      <c r="I59" s="130"/>
      <c r="J59" s="131"/>
      <c r="K59" s="131"/>
      <c r="L59" s="131"/>
      <c r="M59" s="974">
        <v>0</v>
      </c>
      <c r="N59" s="337">
        <f t="shared" si="2"/>
        <v>0</v>
      </c>
      <c r="O59" s="835">
        <f t="shared" si="1"/>
        <v>0</v>
      </c>
      <c r="P59" s="837">
        <f t="shared" si="3"/>
        <v>0</v>
      </c>
    </row>
    <row r="60" spans="1:16">
      <c r="A60" s="739" t="s">
        <v>64</v>
      </c>
      <c r="B60" s="704"/>
      <c r="C60" s="786"/>
      <c r="D60" s="775"/>
      <c r="E60" s="131"/>
      <c r="F60" s="131"/>
      <c r="G60" s="130"/>
      <c r="H60" s="130"/>
      <c r="I60" s="130"/>
      <c r="J60" s="131"/>
      <c r="K60" s="131"/>
      <c r="L60" s="131"/>
      <c r="M60" s="974">
        <v>7</v>
      </c>
      <c r="N60" s="337">
        <f t="shared" si="2"/>
        <v>7</v>
      </c>
      <c r="O60" s="835">
        <f t="shared" si="1"/>
        <v>7</v>
      </c>
      <c r="P60" s="837">
        <f t="shared" si="3"/>
        <v>0.1644350481559784</v>
      </c>
    </row>
    <row r="61" spans="1:16">
      <c r="A61" s="739" t="s">
        <v>65</v>
      </c>
      <c r="B61" s="704"/>
      <c r="C61" s="786"/>
      <c r="D61" s="775"/>
      <c r="E61" s="131"/>
      <c r="F61" s="131"/>
      <c r="G61" s="130"/>
      <c r="H61" s="130"/>
      <c r="I61" s="130"/>
      <c r="J61" s="131"/>
      <c r="K61" s="131"/>
      <c r="L61" s="131"/>
      <c r="M61" s="974">
        <v>2</v>
      </c>
      <c r="N61" s="337">
        <f t="shared" si="2"/>
        <v>2</v>
      </c>
      <c r="O61" s="835">
        <f t="shared" si="1"/>
        <v>2</v>
      </c>
      <c r="P61" s="837">
        <f t="shared" si="3"/>
        <v>4.6981442330279538E-2</v>
      </c>
    </row>
    <row r="62" spans="1:16">
      <c r="A62" s="739" t="s">
        <v>66</v>
      </c>
      <c r="B62" s="704"/>
      <c r="C62" s="786"/>
      <c r="D62" s="775"/>
      <c r="E62" s="131"/>
      <c r="F62" s="131"/>
      <c r="G62" s="130"/>
      <c r="H62" s="130"/>
      <c r="I62" s="130"/>
      <c r="J62" s="131"/>
      <c r="K62" s="131"/>
      <c r="L62" s="131"/>
      <c r="M62" s="974">
        <v>30</v>
      </c>
      <c r="N62" s="337">
        <f t="shared" si="2"/>
        <v>30</v>
      </c>
      <c r="O62" s="835">
        <f t="shared" si="1"/>
        <v>30</v>
      </c>
      <c r="P62" s="837">
        <f t="shared" si="3"/>
        <v>0.70472163495419315</v>
      </c>
    </row>
    <row r="63" spans="1:16">
      <c r="A63" s="739" t="s">
        <v>67</v>
      </c>
      <c r="B63" s="704"/>
      <c r="C63" s="786"/>
      <c r="D63" s="775"/>
      <c r="E63" s="131"/>
      <c r="F63" s="131"/>
      <c r="G63" s="130"/>
      <c r="H63" s="130"/>
      <c r="I63" s="130"/>
      <c r="J63" s="131"/>
      <c r="K63" s="131"/>
      <c r="L63" s="131"/>
      <c r="M63" s="974">
        <v>0</v>
      </c>
      <c r="N63" s="337">
        <f t="shared" si="2"/>
        <v>0</v>
      </c>
      <c r="O63" s="835">
        <f t="shared" si="1"/>
        <v>0</v>
      </c>
      <c r="P63" s="837">
        <f t="shared" si="3"/>
        <v>0</v>
      </c>
    </row>
    <row r="64" spans="1:16" s="213" customFormat="1">
      <c r="A64" s="739" t="s">
        <v>255</v>
      </c>
      <c r="B64" s="704"/>
      <c r="C64" s="786"/>
      <c r="D64" s="775"/>
      <c r="E64" s="131"/>
      <c r="F64" s="131"/>
      <c r="G64" s="130"/>
      <c r="H64" s="130"/>
      <c r="I64" s="130"/>
      <c r="J64" s="131"/>
      <c r="K64" s="131"/>
      <c r="L64" s="131"/>
      <c r="M64" s="974">
        <v>0</v>
      </c>
      <c r="N64" s="337">
        <f t="shared" si="2"/>
        <v>0</v>
      </c>
      <c r="O64" s="835">
        <f t="shared" si="1"/>
        <v>0</v>
      </c>
      <c r="P64" s="837">
        <f t="shared" si="3"/>
        <v>0</v>
      </c>
    </row>
    <row r="65" spans="1:16">
      <c r="A65" s="739" t="s">
        <v>68</v>
      </c>
      <c r="B65" s="704"/>
      <c r="C65" s="786"/>
      <c r="D65" s="775"/>
      <c r="E65" s="131"/>
      <c r="F65" s="131"/>
      <c r="G65" s="130"/>
      <c r="H65" s="130"/>
      <c r="I65" s="130"/>
      <c r="J65" s="131"/>
      <c r="K65" s="131"/>
      <c r="L65" s="131"/>
      <c r="M65" s="974">
        <v>8</v>
      </c>
      <c r="N65" s="337">
        <f t="shared" si="2"/>
        <v>8</v>
      </c>
      <c r="O65" s="835">
        <f t="shared" ref="O65:O121" si="4">AVERAGE(B65:M65)</f>
        <v>8</v>
      </c>
      <c r="P65" s="837">
        <f t="shared" si="3"/>
        <v>0.18792576932111815</v>
      </c>
    </row>
    <row r="66" spans="1:16">
      <c r="A66" s="739" t="s">
        <v>69</v>
      </c>
      <c r="B66" s="704"/>
      <c r="C66" s="786"/>
      <c r="D66" s="775"/>
      <c r="E66" s="131"/>
      <c r="F66" s="131"/>
      <c r="G66" s="130"/>
      <c r="H66" s="130"/>
      <c r="I66" s="130"/>
      <c r="J66" s="131"/>
      <c r="K66" s="131"/>
      <c r="L66" s="131"/>
      <c r="M66" s="974">
        <v>0</v>
      </c>
      <c r="N66" s="337">
        <f t="shared" ref="N66:N122" si="5">SUM(B66:M66)</f>
        <v>0</v>
      </c>
      <c r="O66" s="835">
        <f t="shared" si="4"/>
        <v>0</v>
      </c>
      <c r="P66" s="837">
        <f t="shared" si="3"/>
        <v>0</v>
      </c>
    </row>
    <row r="67" spans="1:16">
      <c r="A67" s="739" t="s">
        <v>70</v>
      </c>
      <c r="B67" s="704"/>
      <c r="C67" s="786"/>
      <c r="D67" s="775"/>
      <c r="E67" s="131"/>
      <c r="F67" s="131"/>
      <c r="G67" s="130"/>
      <c r="H67" s="130"/>
      <c r="I67" s="130"/>
      <c r="J67" s="131"/>
      <c r="K67" s="131"/>
      <c r="L67" s="131"/>
      <c r="M67" s="974">
        <v>27</v>
      </c>
      <c r="N67" s="337">
        <f t="shared" si="5"/>
        <v>27</v>
      </c>
      <c r="O67" s="835">
        <f t="shared" si="4"/>
        <v>27</v>
      </c>
      <c r="P67" s="837">
        <f t="shared" si="3"/>
        <v>0.63424947145877375</v>
      </c>
    </row>
    <row r="68" spans="1:16">
      <c r="A68" s="739" t="s">
        <v>71</v>
      </c>
      <c r="B68" s="704"/>
      <c r="C68" s="786"/>
      <c r="D68" s="775"/>
      <c r="E68" s="131"/>
      <c r="F68" s="131"/>
      <c r="G68" s="130"/>
      <c r="H68" s="130"/>
      <c r="I68" s="130"/>
      <c r="J68" s="131"/>
      <c r="K68" s="131"/>
      <c r="L68" s="131"/>
      <c r="M68" s="974">
        <v>3</v>
      </c>
      <c r="N68" s="337">
        <f t="shared" si="5"/>
        <v>3</v>
      </c>
      <c r="O68" s="835">
        <f t="shared" si="4"/>
        <v>3</v>
      </c>
      <c r="P68" s="837">
        <f t="shared" si="3"/>
        <v>7.0472163495419307E-2</v>
      </c>
    </row>
    <row r="69" spans="1:16">
      <c r="A69" s="710" t="s">
        <v>359</v>
      </c>
      <c r="B69" s="704"/>
      <c r="C69" s="786"/>
      <c r="D69" s="775"/>
      <c r="E69" s="131"/>
      <c r="F69" s="131"/>
      <c r="G69" s="130"/>
      <c r="H69" s="130"/>
      <c r="I69" s="130"/>
      <c r="J69" s="131"/>
      <c r="K69" s="131"/>
      <c r="L69" s="131"/>
      <c r="M69" s="974">
        <v>30</v>
      </c>
      <c r="N69" s="337">
        <f t="shared" si="5"/>
        <v>30</v>
      </c>
      <c r="O69" s="835">
        <f t="shared" si="4"/>
        <v>30</v>
      </c>
      <c r="P69" s="837">
        <f t="shared" ref="P69:P100" si="6">(N69/$N$187)*100</f>
        <v>0.70472163495419315</v>
      </c>
    </row>
    <row r="70" spans="1:16">
      <c r="A70" s="739" t="s">
        <v>72</v>
      </c>
      <c r="B70" s="704"/>
      <c r="C70" s="786"/>
      <c r="D70" s="775"/>
      <c r="E70" s="131"/>
      <c r="F70" s="131"/>
      <c r="G70" s="130"/>
      <c r="H70" s="130"/>
      <c r="I70" s="130"/>
      <c r="J70" s="131"/>
      <c r="K70" s="131"/>
      <c r="L70" s="131"/>
      <c r="M70" s="974">
        <v>19</v>
      </c>
      <c r="N70" s="337">
        <f t="shared" si="5"/>
        <v>19</v>
      </c>
      <c r="O70" s="835">
        <f t="shared" si="4"/>
        <v>19</v>
      </c>
      <c r="P70" s="837">
        <f t="shared" si="6"/>
        <v>0.4463237021376556</v>
      </c>
    </row>
    <row r="71" spans="1:16">
      <c r="A71" s="739" t="s">
        <v>73</v>
      </c>
      <c r="B71" s="704"/>
      <c r="C71" s="786"/>
      <c r="D71" s="775"/>
      <c r="E71" s="131"/>
      <c r="F71" s="131"/>
      <c r="G71" s="130"/>
      <c r="H71" s="130"/>
      <c r="I71" s="130"/>
      <c r="J71" s="131"/>
      <c r="K71" s="131"/>
      <c r="L71" s="131"/>
      <c r="M71" s="974">
        <v>7</v>
      </c>
      <c r="N71" s="337">
        <f t="shared" si="5"/>
        <v>7</v>
      </c>
      <c r="O71" s="835">
        <f t="shared" si="4"/>
        <v>7</v>
      </c>
      <c r="P71" s="837">
        <f t="shared" si="6"/>
        <v>0.1644350481559784</v>
      </c>
    </row>
    <row r="72" spans="1:16" s="213" customFormat="1">
      <c r="A72" s="710" t="s">
        <v>378</v>
      </c>
      <c r="B72" s="704"/>
      <c r="C72" s="786"/>
      <c r="D72" s="775"/>
      <c r="E72" s="131"/>
      <c r="F72" s="131"/>
      <c r="G72" s="130"/>
      <c r="H72" s="130"/>
      <c r="I72" s="130"/>
      <c r="J72" s="131"/>
      <c r="K72" s="131"/>
      <c r="L72" s="131"/>
      <c r="M72" s="974">
        <v>5</v>
      </c>
      <c r="N72" s="337">
        <f>SUM(B72:M72)</f>
        <v>5</v>
      </c>
      <c r="O72" s="835">
        <f>AVERAGE(B72:M72)</f>
        <v>5</v>
      </c>
      <c r="P72" s="837">
        <f t="shared" si="6"/>
        <v>0.11745360582569886</v>
      </c>
    </row>
    <row r="73" spans="1:16">
      <c r="A73" s="710" t="s">
        <v>360</v>
      </c>
      <c r="B73" s="704"/>
      <c r="C73" s="786"/>
      <c r="D73" s="775"/>
      <c r="E73" s="131"/>
      <c r="F73" s="131"/>
      <c r="G73" s="130"/>
      <c r="H73" s="130"/>
      <c r="I73" s="130"/>
      <c r="J73" s="131"/>
      <c r="K73" s="131"/>
      <c r="L73" s="131"/>
      <c r="M73" s="974">
        <v>21</v>
      </c>
      <c r="N73" s="337">
        <f t="shared" si="5"/>
        <v>21</v>
      </c>
      <c r="O73" s="835">
        <f t="shared" si="4"/>
        <v>21</v>
      </c>
      <c r="P73" s="837">
        <f t="shared" si="6"/>
        <v>0.49330514446793516</v>
      </c>
    </row>
    <row r="74" spans="1:16">
      <c r="A74" s="739" t="s">
        <v>74</v>
      </c>
      <c r="B74" s="704"/>
      <c r="C74" s="786"/>
      <c r="D74" s="775"/>
      <c r="E74" s="131"/>
      <c r="F74" s="131"/>
      <c r="G74" s="130"/>
      <c r="H74" s="130"/>
      <c r="I74" s="130"/>
      <c r="J74" s="131"/>
      <c r="K74" s="131"/>
      <c r="L74" s="131"/>
      <c r="M74" s="974">
        <v>118</v>
      </c>
      <c r="N74" s="337">
        <f t="shared" si="5"/>
        <v>118</v>
      </c>
      <c r="O74" s="835">
        <f t="shared" si="4"/>
        <v>118</v>
      </c>
      <c r="P74" s="837">
        <f t="shared" si="6"/>
        <v>2.7719050974864925</v>
      </c>
    </row>
    <row r="75" spans="1:16">
      <c r="A75" s="739" t="s">
        <v>75</v>
      </c>
      <c r="B75" s="704"/>
      <c r="C75" s="786"/>
      <c r="D75" s="775"/>
      <c r="E75" s="131"/>
      <c r="F75" s="131"/>
      <c r="G75" s="130"/>
      <c r="H75" s="130"/>
      <c r="I75" s="130"/>
      <c r="J75" s="131"/>
      <c r="K75" s="131"/>
      <c r="L75" s="131"/>
      <c r="M75" s="974">
        <v>1</v>
      </c>
      <c r="N75" s="337">
        <f t="shared" si="5"/>
        <v>1</v>
      </c>
      <c r="O75" s="835">
        <f t="shared" si="4"/>
        <v>1</v>
      </c>
      <c r="P75" s="837">
        <f t="shared" si="6"/>
        <v>2.3490721165139769E-2</v>
      </c>
    </row>
    <row r="76" spans="1:16">
      <c r="A76" s="739" t="s">
        <v>76</v>
      </c>
      <c r="B76" s="704"/>
      <c r="C76" s="786"/>
      <c r="D76" s="775"/>
      <c r="E76" s="131"/>
      <c r="F76" s="131"/>
      <c r="G76" s="130"/>
      <c r="H76" s="130"/>
      <c r="I76" s="130"/>
      <c r="J76" s="131"/>
      <c r="K76" s="131"/>
      <c r="L76" s="131"/>
      <c r="M76" s="974">
        <v>0</v>
      </c>
      <c r="N76" s="337">
        <f t="shared" si="5"/>
        <v>0</v>
      </c>
      <c r="O76" s="835">
        <f t="shared" si="4"/>
        <v>0</v>
      </c>
      <c r="P76" s="837">
        <f t="shared" si="6"/>
        <v>0</v>
      </c>
    </row>
    <row r="77" spans="1:16" s="452" customFormat="1">
      <c r="A77" s="739" t="s">
        <v>12</v>
      </c>
      <c r="B77" s="704"/>
      <c r="C77" s="794"/>
      <c r="D77" s="775"/>
      <c r="E77" s="131"/>
      <c r="F77" s="131"/>
      <c r="G77" s="130"/>
      <c r="H77" s="130"/>
      <c r="I77" s="130"/>
      <c r="J77" s="131"/>
      <c r="K77" s="131"/>
      <c r="L77" s="131"/>
      <c r="M77" s="974">
        <v>67</v>
      </c>
      <c r="N77" s="337">
        <f>SUM(B77:M77)</f>
        <v>67</v>
      </c>
      <c r="O77" s="835">
        <f>AVERAGE(B77:M77)</f>
        <v>67</v>
      </c>
      <c r="P77" s="837">
        <f t="shared" si="6"/>
        <v>1.5738783180643645</v>
      </c>
    </row>
    <row r="78" spans="1:16">
      <c r="A78" s="739" t="s">
        <v>77</v>
      </c>
      <c r="B78" s="704"/>
      <c r="C78" s="794"/>
      <c r="D78" s="775"/>
      <c r="E78" s="131"/>
      <c r="F78" s="131"/>
      <c r="G78" s="130"/>
      <c r="H78" s="130"/>
      <c r="I78" s="130"/>
      <c r="J78" s="131"/>
      <c r="K78" s="131"/>
      <c r="L78" s="131"/>
      <c r="M78" s="974">
        <v>2</v>
      </c>
      <c r="N78" s="337">
        <f t="shared" si="5"/>
        <v>2</v>
      </c>
      <c r="O78" s="835">
        <f t="shared" si="4"/>
        <v>2</v>
      </c>
      <c r="P78" s="837">
        <f t="shared" si="6"/>
        <v>4.6981442330279538E-2</v>
      </c>
    </row>
    <row r="79" spans="1:16">
      <c r="A79" s="739" t="s">
        <v>78</v>
      </c>
      <c r="B79" s="704"/>
      <c r="C79" s="786"/>
      <c r="D79" s="775"/>
      <c r="E79" s="131"/>
      <c r="F79" s="131"/>
      <c r="G79" s="130"/>
      <c r="H79" s="130"/>
      <c r="I79" s="130"/>
      <c r="J79" s="131"/>
      <c r="K79" s="131"/>
      <c r="L79" s="131"/>
      <c r="M79" s="974">
        <v>0</v>
      </c>
      <c r="N79" s="337">
        <f t="shared" si="5"/>
        <v>0</v>
      </c>
      <c r="O79" s="835">
        <f t="shared" si="4"/>
        <v>0</v>
      </c>
      <c r="P79" s="837">
        <f t="shared" si="6"/>
        <v>0</v>
      </c>
    </row>
    <row r="80" spans="1:16">
      <c r="A80" s="739" t="s">
        <v>79</v>
      </c>
      <c r="B80" s="704"/>
      <c r="C80" s="786"/>
      <c r="D80" s="775"/>
      <c r="E80" s="131"/>
      <c r="F80" s="131"/>
      <c r="G80" s="130"/>
      <c r="H80" s="130"/>
      <c r="I80" s="130"/>
      <c r="J80" s="131"/>
      <c r="K80" s="131"/>
      <c r="L80" s="131"/>
      <c r="M80" s="974">
        <v>113</v>
      </c>
      <c r="N80" s="337">
        <f t="shared" si="5"/>
        <v>113</v>
      </c>
      <c r="O80" s="835">
        <f t="shared" si="4"/>
        <v>113</v>
      </c>
      <c r="P80" s="837">
        <f t="shared" si="6"/>
        <v>2.6544514916607942</v>
      </c>
    </row>
    <row r="81" spans="1:16">
      <c r="A81" s="739" t="s">
        <v>276</v>
      </c>
      <c r="B81" s="704"/>
      <c r="C81" s="786"/>
      <c r="D81" s="775"/>
      <c r="E81" s="131"/>
      <c r="F81" s="131"/>
      <c r="G81" s="130"/>
      <c r="H81" s="130"/>
      <c r="I81" s="130"/>
      <c r="J81" s="131"/>
      <c r="K81" s="131"/>
      <c r="L81" s="131"/>
      <c r="M81" s="974">
        <v>103</v>
      </c>
      <c r="N81" s="337">
        <f t="shared" si="5"/>
        <v>103</v>
      </c>
      <c r="O81" s="835">
        <f t="shared" si="4"/>
        <v>103</v>
      </c>
      <c r="P81" s="837">
        <f t="shared" si="6"/>
        <v>2.4195442800093963</v>
      </c>
    </row>
    <row r="82" spans="1:16" s="213" customFormat="1">
      <c r="A82" s="739" t="s">
        <v>222</v>
      </c>
      <c r="B82" s="704"/>
      <c r="C82" s="786"/>
      <c r="D82" s="775"/>
      <c r="E82" s="131"/>
      <c r="F82" s="131"/>
      <c r="G82" s="130"/>
      <c r="H82" s="130"/>
      <c r="I82" s="130"/>
      <c r="J82" s="131"/>
      <c r="K82" s="131"/>
      <c r="L82" s="131"/>
      <c r="M82" s="974">
        <v>0</v>
      </c>
      <c r="N82" s="337">
        <f t="shared" si="5"/>
        <v>0</v>
      </c>
      <c r="O82" s="835">
        <f t="shared" si="4"/>
        <v>0</v>
      </c>
      <c r="P82" s="837">
        <f t="shared" si="6"/>
        <v>0</v>
      </c>
    </row>
    <row r="83" spans="1:16">
      <c r="A83" s="739" t="s">
        <v>80</v>
      </c>
      <c r="B83" s="704"/>
      <c r="C83" s="786"/>
      <c r="D83" s="775"/>
      <c r="E83" s="131"/>
      <c r="F83" s="131"/>
      <c r="G83" s="130"/>
      <c r="H83" s="130"/>
      <c r="I83" s="130"/>
      <c r="J83" s="131"/>
      <c r="K83" s="131"/>
      <c r="L83" s="131"/>
      <c r="M83" s="974">
        <v>1</v>
      </c>
      <c r="N83" s="337">
        <f t="shared" si="5"/>
        <v>1</v>
      </c>
      <c r="O83" s="835">
        <f t="shared" si="4"/>
        <v>1</v>
      </c>
      <c r="P83" s="837">
        <f t="shared" si="6"/>
        <v>2.3490721165139769E-2</v>
      </c>
    </row>
    <row r="84" spans="1:16">
      <c r="A84" s="739" t="s">
        <v>81</v>
      </c>
      <c r="B84" s="704"/>
      <c r="C84" s="786"/>
      <c r="D84" s="775"/>
      <c r="E84" s="131"/>
      <c r="F84" s="131"/>
      <c r="G84" s="130"/>
      <c r="H84" s="130"/>
      <c r="I84" s="130"/>
      <c r="J84" s="131"/>
      <c r="K84" s="131"/>
      <c r="L84" s="131"/>
      <c r="M84" s="974">
        <v>6</v>
      </c>
      <c r="N84" s="337">
        <f t="shared" si="5"/>
        <v>6</v>
      </c>
      <c r="O84" s="835">
        <f t="shared" si="4"/>
        <v>6</v>
      </c>
      <c r="P84" s="837">
        <f t="shared" si="6"/>
        <v>0.14094432699083861</v>
      </c>
    </row>
    <row r="85" spans="1:16">
      <c r="A85" s="739" t="s">
        <v>277</v>
      </c>
      <c r="B85" s="704"/>
      <c r="C85" s="786"/>
      <c r="D85" s="775"/>
      <c r="E85" s="131"/>
      <c r="F85" s="131"/>
      <c r="G85" s="130"/>
      <c r="H85" s="130"/>
      <c r="I85" s="130"/>
      <c r="J85" s="131"/>
      <c r="K85" s="131"/>
      <c r="L85" s="131"/>
      <c r="M85" s="974">
        <v>12</v>
      </c>
      <c r="N85" s="337">
        <f>SUM(B85:M85)</f>
        <v>12</v>
      </c>
      <c r="O85" s="835">
        <f>AVERAGE(B85:M85)</f>
        <v>12</v>
      </c>
      <c r="P85" s="837">
        <f t="shared" si="6"/>
        <v>0.28188865398167723</v>
      </c>
    </row>
    <row r="86" spans="1:16">
      <c r="A86" s="739" t="s">
        <v>82</v>
      </c>
      <c r="B86" s="704"/>
      <c r="C86" s="786"/>
      <c r="D86" s="775"/>
      <c r="E86" s="131"/>
      <c r="F86" s="131"/>
      <c r="G86" s="130"/>
      <c r="H86" s="130"/>
      <c r="I86" s="130"/>
      <c r="J86" s="131"/>
      <c r="K86" s="131"/>
      <c r="L86" s="131"/>
      <c r="M86" s="974">
        <v>0</v>
      </c>
      <c r="N86" s="337">
        <f t="shared" si="5"/>
        <v>0</v>
      </c>
      <c r="O86" s="835">
        <f t="shared" si="4"/>
        <v>0</v>
      </c>
      <c r="P86" s="837">
        <f t="shared" si="6"/>
        <v>0</v>
      </c>
    </row>
    <row r="87" spans="1:16">
      <c r="A87" s="739" t="s">
        <v>83</v>
      </c>
      <c r="B87" s="704"/>
      <c r="C87" s="786"/>
      <c r="D87" s="775"/>
      <c r="E87" s="131"/>
      <c r="F87" s="131"/>
      <c r="G87" s="130"/>
      <c r="H87" s="130"/>
      <c r="I87" s="130"/>
      <c r="J87" s="131"/>
      <c r="K87" s="131"/>
      <c r="L87" s="131"/>
      <c r="M87" s="974">
        <v>11</v>
      </c>
      <c r="N87" s="337">
        <f t="shared" si="5"/>
        <v>11</v>
      </c>
      <c r="O87" s="835">
        <f t="shared" si="4"/>
        <v>11</v>
      </c>
      <c r="P87" s="837">
        <f t="shared" si="6"/>
        <v>0.2583979328165375</v>
      </c>
    </row>
    <row r="88" spans="1:16">
      <c r="A88" s="739" t="s">
        <v>84</v>
      </c>
      <c r="B88" s="704"/>
      <c r="C88" s="786"/>
      <c r="D88" s="775"/>
      <c r="E88" s="131"/>
      <c r="F88" s="131"/>
      <c r="G88" s="130"/>
      <c r="H88" s="130"/>
      <c r="I88" s="130"/>
      <c r="J88" s="131"/>
      <c r="K88" s="131"/>
      <c r="L88" s="131"/>
      <c r="M88" s="974">
        <v>0</v>
      </c>
      <c r="N88" s="337">
        <f t="shared" si="5"/>
        <v>0</v>
      </c>
      <c r="O88" s="835">
        <f t="shared" si="4"/>
        <v>0</v>
      </c>
      <c r="P88" s="837">
        <f t="shared" si="6"/>
        <v>0</v>
      </c>
    </row>
    <row r="89" spans="1:16">
      <c r="A89" s="739" t="s">
        <v>85</v>
      </c>
      <c r="B89" s="704"/>
      <c r="C89" s="786"/>
      <c r="D89" s="775"/>
      <c r="E89" s="131"/>
      <c r="F89" s="131"/>
      <c r="G89" s="130"/>
      <c r="H89" s="130"/>
      <c r="I89" s="130"/>
      <c r="J89" s="131"/>
      <c r="K89" s="131"/>
      <c r="L89" s="131"/>
      <c r="M89" s="974">
        <v>88</v>
      </c>
      <c r="N89" s="337">
        <f t="shared" si="5"/>
        <v>88</v>
      </c>
      <c r="O89" s="835">
        <f t="shared" si="4"/>
        <v>88</v>
      </c>
      <c r="P89" s="837">
        <f t="shared" si="6"/>
        <v>2.0671834625323</v>
      </c>
    </row>
    <row r="90" spans="1:16">
      <c r="A90" s="739" t="s">
        <v>86</v>
      </c>
      <c r="B90" s="704"/>
      <c r="C90" s="786"/>
      <c r="D90" s="775"/>
      <c r="E90" s="131"/>
      <c r="F90" s="131"/>
      <c r="G90" s="130"/>
      <c r="H90" s="130"/>
      <c r="I90" s="130"/>
      <c r="J90" s="131"/>
      <c r="K90" s="131"/>
      <c r="L90" s="131"/>
      <c r="M90" s="974">
        <v>1</v>
      </c>
      <c r="N90" s="337">
        <f t="shared" si="5"/>
        <v>1</v>
      </c>
      <c r="O90" s="835">
        <f t="shared" si="4"/>
        <v>1</v>
      </c>
      <c r="P90" s="837">
        <f t="shared" si="6"/>
        <v>2.3490721165139769E-2</v>
      </c>
    </row>
    <row r="91" spans="1:16">
      <c r="A91" s="710" t="s">
        <v>361</v>
      </c>
      <c r="B91" s="704"/>
      <c r="C91" s="786"/>
      <c r="D91" s="775"/>
      <c r="E91" s="131"/>
      <c r="F91" s="131"/>
      <c r="G91" s="130"/>
      <c r="H91" s="130"/>
      <c r="I91" s="130"/>
      <c r="J91" s="131"/>
      <c r="K91" s="131"/>
      <c r="L91" s="131"/>
      <c r="M91" s="974">
        <v>13</v>
      </c>
      <c r="N91" s="337">
        <f t="shared" si="5"/>
        <v>13</v>
      </c>
      <c r="O91" s="835">
        <f t="shared" si="4"/>
        <v>13</v>
      </c>
      <c r="P91" s="837">
        <f t="shared" si="6"/>
        <v>0.30537937514681701</v>
      </c>
    </row>
    <row r="92" spans="1:16">
      <c r="A92" s="739" t="s">
        <v>87</v>
      </c>
      <c r="B92" s="704"/>
      <c r="C92" s="786"/>
      <c r="D92" s="775"/>
      <c r="E92" s="131"/>
      <c r="F92" s="131"/>
      <c r="G92" s="130"/>
      <c r="H92" s="130"/>
      <c r="I92" s="130"/>
      <c r="J92" s="131"/>
      <c r="K92" s="131"/>
      <c r="L92" s="131"/>
      <c r="M92" s="974">
        <v>2</v>
      </c>
      <c r="N92" s="337">
        <f t="shared" si="5"/>
        <v>2</v>
      </c>
      <c r="O92" s="835">
        <f t="shared" si="4"/>
        <v>2</v>
      </c>
      <c r="P92" s="837">
        <f t="shared" si="6"/>
        <v>4.6981442330279538E-2</v>
      </c>
    </row>
    <row r="93" spans="1:16">
      <c r="A93" s="739" t="s">
        <v>88</v>
      </c>
      <c r="B93" s="704"/>
      <c r="C93" s="786"/>
      <c r="D93" s="775"/>
      <c r="E93" s="131"/>
      <c r="F93" s="131"/>
      <c r="G93" s="130"/>
      <c r="H93" s="130"/>
      <c r="I93" s="130"/>
      <c r="J93" s="131"/>
      <c r="K93" s="131"/>
      <c r="L93" s="131"/>
      <c r="M93" s="974">
        <v>0</v>
      </c>
      <c r="N93" s="337">
        <f t="shared" si="5"/>
        <v>0</v>
      </c>
      <c r="O93" s="835">
        <f t="shared" si="4"/>
        <v>0</v>
      </c>
      <c r="P93" s="837">
        <f t="shared" si="6"/>
        <v>0</v>
      </c>
    </row>
    <row r="94" spans="1:16" s="213" customFormat="1">
      <c r="A94" s="739" t="s">
        <v>223</v>
      </c>
      <c r="B94" s="704"/>
      <c r="C94" s="786"/>
      <c r="D94" s="775"/>
      <c r="E94" s="131"/>
      <c r="F94" s="131"/>
      <c r="G94" s="130"/>
      <c r="H94" s="130"/>
      <c r="I94" s="130"/>
      <c r="J94" s="131"/>
      <c r="K94" s="131"/>
      <c r="L94" s="131"/>
      <c r="M94" s="974">
        <v>0</v>
      </c>
      <c r="N94" s="337">
        <f t="shared" si="5"/>
        <v>0</v>
      </c>
      <c r="O94" s="835">
        <f t="shared" si="4"/>
        <v>0</v>
      </c>
      <c r="P94" s="837">
        <f t="shared" si="6"/>
        <v>0</v>
      </c>
    </row>
    <row r="95" spans="1:16">
      <c r="A95" s="739" t="s">
        <v>89</v>
      </c>
      <c r="B95" s="704"/>
      <c r="C95" s="786"/>
      <c r="D95" s="775"/>
      <c r="E95" s="131"/>
      <c r="F95" s="131"/>
      <c r="G95" s="130"/>
      <c r="H95" s="130"/>
      <c r="I95" s="130"/>
      <c r="J95" s="131"/>
      <c r="K95" s="131"/>
      <c r="L95" s="131"/>
      <c r="M95" s="974">
        <v>0</v>
      </c>
      <c r="N95" s="337">
        <f t="shared" si="5"/>
        <v>0</v>
      </c>
      <c r="O95" s="835">
        <f t="shared" si="4"/>
        <v>0</v>
      </c>
      <c r="P95" s="837">
        <f t="shared" si="6"/>
        <v>0</v>
      </c>
    </row>
    <row r="96" spans="1:16">
      <c r="A96" s="739" t="s">
        <v>90</v>
      </c>
      <c r="B96" s="704"/>
      <c r="C96" s="786"/>
      <c r="D96" s="775"/>
      <c r="E96" s="131"/>
      <c r="F96" s="131"/>
      <c r="G96" s="130"/>
      <c r="H96" s="130"/>
      <c r="I96" s="130"/>
      <c r="J96" s="131"/>
      <c r="K96" s="131"/>
      <c r="L96" s="131"/>
      <c r="M96" s="974">
        <v>1</v>
      </c>
      <c r="N96" s="337">
        <f t="shared" si="5"/>
        <v>1</v>
      </c>
      <c r="O96" s="835">
        <f t="shared" si="4"/>
        <v>1</v>
      </c>
      <c r="P96" s="837">
        <f t="shared" si="6"/>
        <v>2.3490721165139769E-2</v>
      </c>
    </row>
    <row r="97" spans="1:16">
      <c r="A97" s="710" t="s">
        <v>362</v>
      </c>
      <c r="B97" s="704"/>
      <c r="C97" s="786"/>
      <c r="D97" s="775"/>
      <c r="E97" s="131"/>
      <c r="F97" s="131"/>
      <c r="G97" s="130"/>
      <c r="H97" s="130"/>
      <c r="I97" s="130"/>
      <c r="J97" s="131"/>
      <c r="K97" s="131"/>
      <c r="L97" s="131"/>
      <c r="M97" s="974">
        <v>54</v>
      </c>
      <c r="N97" s="337">
        <f t="shared" si="5"/>
        <v>54</v>
      </c>
      <c r="O97" s="835">
        <f t="shared" si="4"/>
        <v>54</v>
      </c>
      <c r="P97" s="837">
        <f t="shared" si="6"/>
        <v>1.2684989429175475</v>
      </c>
    </row>
    <row r="98" spans="1:16" s="725" customFormat="1">
      <c r="A98" s="710" t="s">
        <v>379</v>
      </c>
      <c r="B98" s="704"/>
      <c r="C98" s="786"/>
      <c r="D98" s="775"/>
      <c r="E98" s="131"/>
      <c r="F98" s="131"/>
      <c r="G98" s="130"/>
      <c r="H98" s="130"/>
      <c r="I98" s="130"/>
      <c r="J98" s="131"/>
      <c r="K98" s="131"/>
      <c r="L98" s="131"/>
      <c r="M98" s="974">
        <v>0</v>
      </c>
      <c r="N98" s="337">
        <f>SUM(B98:M98)</f>
        <v>0</v>
      </c>
      <c r="O98" s="835">
        <f>AVERAGE(B98:M98)</f>
        <v>0</v>
      </c>
      <c r="P98" s="837">
        <f t="shared" si="6"/>
        <v>0</v>
      </c>
    </row>
    <row r="99" spans="1:16">
      <c r="A99" s="710" t="s">
        <v>363</v>
      </c>
      <c r="B99" s="704"/>
      <c r="C99" s="786"/>
      <c r="D99" s="775"/>
      <c r="E99" s="131"/>
      <c r="F99" s="131"/>
      <c r="G99" s="130"/>
      <c r="H99" s="130"/>
      <c r="I99" s="130"/>
      <c r="J99" s="131"/>
      <c r="K99" s="131"/>
      <c r="L99" s="131"/>
      <c r="M99" s="974">
        <v>1</v>
      </c>
      <c r="N99" s="337">
        <f t="shared" si="5"/>
        <v>1</v>
      </c>
      <c r="O99" s="835">
        <f t="shared" si="4"/>
        <v>1</v>
      </c>
      <c r="P99" s="837">
        <f t="shared" si="6"/>
        <v>2.3490721165139769E-2</v>
      </c>
    </row>
    <row r="100" spans="1:16" s="639" customFormat="1">
      <c r="A100" s="739" t="s">
        <v>336</v>
      </c>
      <c r="B100" s="704"/>
      <c r="C100" s="786"/>
      <c r="D100" s="775"/>
      <c r="E100" s="131"/>
      <c r="F100" s="131"/>
      <c r="G100" s="130"/>
      <c r="H100" s="130"/>
      <c r="I100" s="130"/>
      <c r="J100" s="131"/>
      <c r="K100" s="131"/>
      <c r="L100" s="131"/>
      <c r="M100" s="974">
        <v>0</v>
      </c>
      <c r="N100" s="337">
        <f>SUM(B100:M100)</f>
        <v>0</v>
      </c>
      <c r="O100" s="835">
        <f>AVERAGE(B100:M100)</f>
        <v>0</v>
      </c>
      <c r="P100" s="837">
        <f t="shared" si="6"/>
        <v>0</v>
      </c>
    </row>
    <row r="101" spans="1:16">
      <c r="A101" s="739" t="s">
        <v>91</v>
      </c>
      <c r="B101" s="704"/>
      <c r="C101" s="786"/>
      <c r="D101" s="775"/>
      <c r="E101" s="131"/>
      <c r="F101" s="131"/>
      <c r="G101" s="130"/>
      <c r="H101" s="130"/>
      <c r="I101" s="130"/>
      <c r="J101" s="131"/>
      <c r="K101" s="131"/>
      <c r="L101" s="131"/>
      <c r="M101" s="974">
        <v>92</v>
      </c>
      <c r="N101" s="337">
        <f t="shared" si="5"/>
        <v>92</v>
      </c>
      <c r="O101" s="835">
        <f t="shared" si="4"/>
        <v>92</v>
      </c>
      <c r="P101" s="837">
        <f t="shared" ref="P101:P132" si="7">(N101/$N$187)*100</f>
        <v>2.1611463471928589</v>
      </c>
    </row>
    <row r="102" spans="1:16">
      <c r="A102" s="710" t="s">
        <v>364</v>
      </c>
      <c r="B102" s="704"/>
      <c r="C102" s="786"/>
      <c r="D102" s="775"/>
      <c r="E102" s="131"/>
      <c r="F102" s="131"/>
      <c r="G102" s="130"/>
      <c r="H102" s="130"/>
      <c r="I102" s="130"/>
      <c r="J102" s="131"/>
      <c r="K102" s="131"/>
      <c r="L102" s="131"/>
      <c r="M102" s="974">
        <v>8</v>
      </c>
      <c r="N102" s="337">
        <f t="shared" si="5"/>
        <v>8</v>
      </c>
      <c r="O102" s="835">
        <f t="shared" si="4"/>
        <v>8</v>
      </c>
      <c r="P102" s="837">
        <f t="shared" si="7"/>
        <v>0.18792576932111815</v>
      </c>
    </row>
    <row r="103" spans="1:16">
      <c r="A103" s="710" t="s">
        <v>365</v>
      </c>
      <c r="B103" s="704"/>
      <c r="C103" s="786"/>
      <c r="D103" s="775"/>
      <c r="E103" s="131"/>
      <c r="F103" s="131"/>
      <c r="G103" s="130"/>
      <c r="H103" s="130"/>
      <c r="I103" s="130"/>
      <c r="J103" s="131"/>
      <c r="K103" s="131"/>
      <c r="L103" s="131"/>
      <c r="M103" s="974">
        <v>11</v>
      </c>
      <c r="N103" s="337">
        <f t="shared" si="5"/>
        <v>11</v>
      </c>
      <c r="O103" s="835">
        <f t="shared" si="4"/>
        <v>11</v>
      </c>
      <c r="P103" s="837">
        <f t="shared" si="7"/>
        <v>0.2583979328165375</v>
      </c>
    </row>
    <row r="104" spans="1:16" s="162" customFormat="1">
      <c r="A104" s="739" t="s">
        <v>207</v>
      </c>
      <c r="B104" s="704"/>
      <c r="C104" s="786"/>
      <c r="D104" s="775"/>
      <c r="E104" s="131"/>
      <c r="F104" s="131"/>
      <c r="G104" s="130"/>
      <c r="H104" s="130"/>
      <c r="I104" s="130"/>
      <c r="J104" s="131"/>
      <c r="K104" s="131"/>
      <c r="L104" s="131"/>
      <c r="M104" s="974">
        <v>0</v>
      </c>
      <c r="N104" s="337">
        <f t="shared" si="5"/>
        <v>0</v>
      </c>
      <c r="O104" s="835">
        <f t="shared" si="4"/>
        <v>0</v>
      </c>
      <c r="P104" s="837">
        <f t="shared" si="7"/>
        <v>0</v>
      </c>
    </row>
    <row r="105" spans="1:16">
      <c r="A105" s="739" t="s">
        <v>92</v>
      </c>
      <c r="B105" s="704"/>
      <c r="C105" s="786"/>
      <c r="D105" s="775"/>
      <c r="E105" s="131"/>
      <c r="F105" s="131"/>
      <c r="G105" s="130"/>
      <c r="H105" s="130"/>
      <c r="I105" s="130"/>
      <c r="J105" s="131"/>
      <c r="K105" s="131"/>
      <c r="L105" s="131"/>
      <c r="M105" s="974">
        <v>21</v>
      </c>
      <c r="N105" s="337">
        <f t="shared" si="5"/>
        <v>21</v>
      </c>
      <c r="O105" s="835">
        <f t="shared" si="4"/>
        <v>21</v>
      </c>
      <c r="P105" s="837">
        <f t="shared" si="7"/>
        <v>0.49330514446793516</v>
      </c>
    </row>
    <row r="106" spans="1:16">
      <c r="A106" s="739" t="s">
        <v>93</v>
      </c>
      <c r="B106" s="704"/>
      <c r="C106" s="786"/>
      <c r="D106" s="775"/>
      <c r="E106" s="131"/>
      <c r="F106" s="131"/>
      <c r="G106" s="130"/>
      <c r="H106" s="130"/>
      <c r="I106" s="130"/>
      <c r="J106" s="131"/>
      <c r="K106" s="131"/>
      <c r="L106" s="131"/>
      <c r="M106" s="974">
        <v>1</v>
      </c>
      <c r="N106" s="337">
        <f t="shared" si="5"/>
        <v>1</v>
      </c>
      <c r="O106" s="835">
        <f t="shared" si="4"/>
        <v>1</v>
      </c>
      <c r="P106" s="837">
        <f t="shared" si="7"/>
        <v>2.3490721165139769E-2</v>
      </c>
    </row>
    <row r="107" spans="1:16">
      <c r="A107" s="739" t="s">
        <v>94</v>
      </c>
      <c r="B107" s="704"/>
      <c r="C107" s="786"/>
      <c r="D107" s="775"/>
      <c r="E107" s="131"/>
      <c r="F107" s="131"/>
      <c r="G107" s="130"/>
      <c r="H107" s="130"/>
      <c r="I107" s="130"/>
      <c r="J107" s="131"/>
      <c r="K107" s="131"/>
      <c r="L107" s="131"/>
      <c r="M107" s="974">
        <v>20</v>
      </c>
      <c r="N107" s="337">
        <f t="shared" si="5"/>
        <v>20</v>
      </c>
      <c r="O107" s="835">
        <f t="shared" si="4"/>
        <v>20</v>
      </c>
      <c r="P107" s="837">
        <f t="shared" si="7"/>
        <v>0.46981442330279544</v>
      </c>
    </row>
    <row r="108" spans="1:16">
      <c r="A108" s="739" t="s">
        <v>95</v>
      </c>
      <c r="B108" s="704"/>
      <c r="C108" s="786"/>
      <c r="D108" s="775"/>
      <c r="E108" s="131"/>
      <c r="F108" s="131"/>
      <c r="G108" s="130"/>
      <c r="H108" s="130"/>
      <c r="I108" s="130"/>
      <c r="J108" s="131"/>
      <c r="K108" s="131"/>
      <c r="L108" s="131"/>
      <c r="M108" s="975">
        <v>0</v>
      </c>
      <c r="N108" s="337">
        <f t="shared" si="5"/>
        <v>0</v>
      </c>
      <c r="O108" s="835">
        <f t="shared" si="4"/>
        <v>0</v>
      </c>
      <c r="P108" s="837">
        <f t="shared" si="7"/>
        <v>0</v>
      </c>
    </row>
    <row r="109" spans="1:16">
      <c r="A109" s="739" t="s">
        <v>96</v>
      </c>
      <c r="B109" s="704"/>
      <c r="C109" s="786"/>
      <c r="D109" s="775"/>
      <c r="E109" s="131"/>
      <c r="F109" s="131"/>
      <c r="G109" s="130"/>
      <c r="H109" s="130"/>
      <c r="I109" s="130"/>
      <c r="J109" s="131"/>
      <c r="K109" s="131"/>
      <c r="L109" s="131"/>
      <c r="M109" s="974">
        <v>6</v>
      </c>
      <c r="N109" s="337">
        <f t="shared" si="5"/>
        <v>6</v>
      </c>
      <c r="O109" s="835">
        <f t="shared" si="4"/>
        <v>6</v>
      </c>
      <c r="P109" s="837">
        <f t="shared" si="7"/>
        <v>0.14094432699083861</v>
      </c>
    </row>
    <row r="110" spans="1:16">
      <c r="A110" s="739" t="s">
        <v>97</v>
      </c>
      <c r="B110" s="704"/>
      <c r="C110" s="786"/>
      <c r="D110" s="775"/>
      <c r="E110" s="131"/>
      <c r="F110" s="131"/>
      <c r="G110" s="130"/>
      <c r="H110" s="130"/>
      <c r="I110" s="130"/>
      <c r="J110" s="131"/>
      <c r="K110" s="131"/>
      <c r="L110" s="131"/>
      <c r="M110" s="974">
        <v>42</v>
      </c>
      <c r="N110" s="337">
        <f t="shared" si="5"/>
        <v>42</v>
      </c>
      <c r="O110" s="835">
        <f t="shared" si="4"/>
        <v>42</v>
      </c>
      <c r="P110" s="837">
        <f t="shared" si="7"/>
        <v>0.98661028893587033</v>
      </c>
    </row>
    <row r="111" spans="1:16">
      <c r="A111" s="739" t="s">
        <v>98</v>
      </c>
      <c r="B111" s="704"/>
      <c r="C111" s="786"/>
      <c r="D111" s="775"/>
      <c r="E111" s="131"/>
      <c r="F111" s="131"/>
      <c r="G111" s="130"/>
      <c r="H111" s="130"/>
      <c r="I111" s="130"/>
      <c r="J111" s="131"/>
      <c r="K111" s="131"/>
      <c r="L111" s="131"/>
      <c r="M111" s="974">
        <v>0</v>
      </c>
      <c r="N111" s="337">
        <f t="shared" si="5"/>
        <v>0</v>
      </c>
      <c r="O111" s="835">
        <f t="shared" si="4"/>
        <v>0</v>
      </c>
      <c r="P111" s="837">
        <f t="shared" si="7"/>
        <v>0</v>
      </c>
    </row>
    <row r="112" spans="1:16">
      <c r="A112" s="739" t="s">
        <v>99</v>
      </c>
      <c r="B112" s="704"/>
      <c r="C112" s="786"/>
      <c r="D112" s="775"/>
      <c r="E112" s="131"/>
      <c r="F112" s="131"/>
      <c r="G112" s="130"/>
      <c r="H112" s="130"/>
      <c r="I112" s="130"/>
      <c r="J112" s="131"/>
      <c r="K112" s="131"/>
      <c r="L112" s="131"/>
      <c r="M112" s="974">
        <v>4</v>
      </c>
      <c r="N112" s="337">
        <f t="shared" si="5"/>
        <v>4</v>
      </c>
      <c r="O112" s="835">
        <f t="shared" si="4"/>
        <v>4</v>
      </c>
      <c r="P112" s="837">
        <f t="shared" si="7"/>
        <v>9.3962884660559076E-2</v>
      </c>
    </row>
    <row r="113" spans="1:16">
      <c r="A113" s="739" t="s">
        <v>100</v>
      </c>
      <c r="B113" s="704"/>
      <c r="C113" s="786"/>
      <c r="D113" s="775"/>
      <c r="E113" s="131"/>
      <c r="F113" s="131"/>
      <c r="G113" s="130"/>
      <c r="H113" s="130"/>
      <c r="I113" s="130"/>
      <c r="J113" s="131"/>
      <c r="K113" s="131"/>
      <c r="L113" s="131"/>
      <c r="M113" s="974">
        <v>0</v>
      </c>
      <c r="N113" s="337">
        <f t="shared" si="5"/>
        <v>0</v>
      </c>
      <c r="O113" s="835">
        <f t="shared" si="4"/>
        <v>0</v>
      </c>
      <c r="P113" s="837">
        <f t="shared" si="7"/>
        <v>0</v>
      </c>
    </row>
    <row r="114" spans="1:16">
      <c r="A114" s="739" t="s">
        <v>101</v>
      </c>
      <c r="B114" s="704"/>
      <c r="C114" s="786"/>
      <c r="D114" s="775"/>
      <c r="E114" s="131"/>
      <c r="F114" s="131"/>
      <c r="G114" s="130"/>
      <c r="H114" s="130"/>
      <c r="I114" s="130"/>
      <c r="J114" s="131"/>
      <c r="K114" s="131"/>
      <c r="L114" s="131"/>
      <c r="M114" s="974">
        <v>0</v>
      </c>
      <c r="N114" s="337">
        <f t="shared" si="5"/>
        <v>0</v>
      </c>
      <c r="O114" s="835">
        <f t="shared" si="4"/>
        <v>0</v>
      </c>
      <c r="P114" s="837">
        <f t="shared" si="7"/>
        <v>0</v>
      </c>
    </row>
    <row r="115" spans="1:16">
      <c r="A115" s="710" t="s">
        <v>380</v>
      </c>
      <c r="B115" s="704"/>
      <c r="C115" s="786"/>
      <c r="D115" s="775"/>
      <c r="E115" s="131"/>
      <c r="F115" s="131"/>
      <c r="G115" s="130"/>
      <c r="H115" s="130"/>
      <c r="I115" s="130"/>
      <c r="J115" s="131"/>
      <c r="K115" s="131"/>
      <c r="L115" s="131"/>
      <c r="M115" s="974">
        <v>0</v>
      </c>
      <c r="N115" s="337">
        <f t="shared" si="5"/>
        <v>0</v>
      </c>
      <c r="O115" s="835">
        <f t="shared" si="4"/>
        <v>0</v>
      </c>
      <c r="P115" s="837">
        <f t="shared" si="7"/>
        <v>0</v>
      </c>
    </row>
    <row r="116" spans="1:16">
      <c r="A116" s="739" t="s">
        <v>102</v>
      </c>
      <c r="B116" s="704"/>
      <c r="C116" s="786"/>
      <c r="D116" s="775"/>
      <c r="E116" s="131"/>
      <c r="F116" s="131"/>
      <c r="G116" s="130"/>
      <c r="H116" s="130"/>
      <c r="I116" s="130"/>
      <c r="J116" s="131"/>
      <c r="K116" s="131"/>
      <c r="L116" s="131"/>
      <c r="M116" s="974">
        <v>0</v>
      </c>
      <c r="N116" s="337">
        <f t="shared" si="5"/>
        <v>0</v>
      </c>
      <c r="O116" s="835">
        <f t="shared" si="4"/>
        <v>0</v>
      </c>
      <c r="P116" s="837">
        <f t="shared" si="7"/>
        <v>0</v>
      </c>
    </row>
    <row r="117" spans="1:16">
      <c r="A117" s="739" t="s">
        <v>103</v>
      </c>
      <c r="B117" s="704"/>
      <c r="C117" s="786"/>
      <c r="D117" s="775"/>
      <c r="E117" s="131"/>
      <c r="F117" s="131"/>
      <c r="G117" s="130"/>
      <c r="H117" s="130"/>
      <c r="I117" s="130"/>
      <c r="J117" s="131"/>
      <c r="K117" s="131"/>
      <c r="L117" s="131"/>
      <c r="M117" s="974">
        <v>151</v>
      </c>
      <c r="N117" s="337">
        <f t="shared" si="5"/>
        <v>151</v>
      </c>
      <c r="O117" s="835">
        <f t="shared" si="4"/>
        <v>151</v>
      </c>
      <c r="P117" s="837">
        <f t="shared" si="7"/>
        <v>3.5470988959361049</v>
      </c>
    </row>
    <row r="118" spans="1:16">
      <c r="A118" s="739" t="s">
        <v>104</v>
      </c>
      <c r="B118" s="704"/>
      <c r="C118" s="786"/>
      <c r="D118" s="775"/>
      <c r="E118" s="131"/>
      <c r="F118" s="131"/>
      <c r="G118" s="130"/>
      <c r="H118" s="130"/>
      <c r="I118" s="130"/>
      <c r="J118" s="131"/>
      <c r="K118" s="131"/>
      <c r="L118" s="131"/>
      <c r="M118" s="974">
        <v>0</v>
      </c>
      <c r="N118" s="337">
        <f t="shared" si="5"/>
        <v>0</v>
      </c>
      <c r="O118" s="835">
        <f t="shared" si="4"/>
        <v>0</v>
      </c>
      <c r="P118" s="837">
        <f t="shared" si="7"/>
        <v>0</v>
      </c>
    </row>
    <row r="119" spans="1:16">
      <c r="A119" s="739" t="s">
        <v>224</v>
      </c>
      <c r="B119" s="704"/>
      <c r="C119" s="786"/>
      <c r="D119" s="775"/>
      <c r="E119" s="131"/>
      <c r="F119" s="131"/>
      <c r="G119" s="130"/>
      <c r="H119" s="130"/>
      <c r="I119" s="130"/>
      <c r="J119" s="131"/>
      <c r="K119" s="131"/>
      <c r="L119" s="131"/>
      <c r="M119" s="974">
        <v>183</v>
      </c>
      <c r="N119" s="337">
        <f t="shared" si="5"/>
        <v>183</v>
      </c>
      <c r="O119" s="835">
        <f t="shared" si="4"/>
        <v>183</v>
      </c>
      <c r="P119" s="837">
        <f t="shared" si="7"/>
        <v>4.298801973220578</v>
      </c>
    </row>
    <row r="120" spans="1:16">
      <c r="A120" s="710" t="s">
        <v>366</v>
      </c>
      <c r="B120" s="704"/>
      <c r="C120" s="786"/>
      <c r="D120" s="775"/>
      <c r="E120" s="131"/>
      <c r="F120" s="131"/>
      <c r="G120" s="130"/>
      <c r="H120" s="130"/>
      <c r="I120" s="130"/>
      <c r="J120" s="131"/>
      <c r="K120" s="131"/>
      <c r="L120" s="131"/>
      <c r="M120" s="974">
        <v>11</v>
      </c>
      <c r="N120" s="337">
        <f t="shared" si="5"/>
        <v>11</v>
      </c>
      <c r="O120" s="835">
        <f t="shared" si="4"/>
        <v>11</v>
      </c>
      <c r="P120" s="837">
        <f t="shared" si="7"/>
        <v>0.2583979328165375</v>
      </c>
    </row>
    <row r="121" spans="1:16">
      <c r="A121" s="739" t="s">
        <v>105</v>
      </c>
      <c r="B121" s="704"/>
      <c r="C121" s="786"/>
      <c r="D121" s="775"/>
      <c r="E121" s="131"/>
      <c r="F121" s="131"/>
      <c r="G121" s="130"/>
      <c r="H121" s="130"/>
      <c r="I121" s="130"/>
      <c r="J121" s="131"/>
      <c r="K121" s="131"/>
      <c r="L121" s="131"/>
      <c r="M121" s="974">
        <v>0</v>
      </c>
      <c r="N121" s="337">
        <f t="shared" si="5"/>
        <v>0</v>
      </c>
      <c r="O121" s="835">
        <f t="shared" si="4"/>
        <v>0</v>
      </c>
      <c r="P121" s="837">
        <f t="shared" si="7"/>
        <v>0</v>
      </c>
    </row>
    <row r="122" spans="1:16">
      <c r="A122" s="739" t="s">
        <v>106</v>
      </c>
      <c r="B122" s="704"/>
      <c r="C122" s="786"/>
      <c r="D122" s="775"/>
      <c r="E122" s="131"/>
      <c r="F122" s="131"/>
      <c r="G122" s="130"/>
      <c r="H122" s="130"/>
      <c r="I122" s="130"/>
      <c r="J122" s="131"/>
      <c r="K122" s="131"/>
      <c r="L122" s="131"/>
      <c r="M122" s="974">
        <v>0</v>
      </c>
      <c r="N122" s="337">
        <f t="shared" si="5"/>
        <v>0</v>
      </c>
      <c r="O122" s="835">
        <f t="shared" ref="O122:O165" si="8">AVERAGE(B122:M122)</f>
        <v>0</v>
      </c>
      <c r="P122" s="837">
        <f t="shared" si="7"/>
        <v>0</v>
      </c>
    </row>
    <row r="123" spans="1:16">
      <c r="A123" s="739" t="s">
        <v>107</v>
      </c>
      <c r="B123" s="704"/>
      <c r="C123" s="786"/>
      <c r="D123" s="775"/>
      <c r="E123" s="131"/>
      <c r="F123" s="131"/>
      <c r="G123" s="130"/>
      <c r="H123" s="130"/>
      <c r="I123" s="130"/>
      <c r="J123" s="131"/>
      <c r="K123" s="131"/>
      <c r="L123" s="131"/>
      <c r="M123" s="974">
        <v>1</v>
      </c>
      <c r="N123" s="337">
        <f t="shared" ref="N123:N165" si="9">SUM(B123:M123)</f>
        <v>1</v>
      </c>
      <c r="O123" s="835">
        <f t="shared" si="8"/>
        <v>1</v>
      </c>
      <c r="P123" s="837">
        <f t="shared" si="7"/>
        <v>2.3490721165139769E-2</v>
      </c>
    </row>
    <row r="124" spans="1:16">
      <c r="A124" s="739" t="s">
        <v>225</v>
      </c>
      <c r="B124" s="704"/>
      <c r="C124" s="786"/>
      <c r="D124" s="775"/>
      <c r="E124" s="131"/>
      <c r="F124" s="131"/>
      <c r="G124" s="130"/>
      <c r="H124" s="130"/>
      <c r="I124" s="130"/>
      <c r="J124" s="131"/>
      <c r="K124" s="131"/>
      <c r="L124" s="131"/>
      <c r="M124" s="974">
        <v>61</v>
      </c>
      <c r="N124" s="337">
        <f t="shared" si="9"/>
        <v>61</v>
      </c>
      <c r="O124" s="835">
        <f t="shared" si="8"/>
        <v>61</v>
      </c>
      <c r="P124" s="837">
        <f t="shared" si="7"/>
        <v>1.4329339910735259</v>
      </c>
    </row>
    <row r="125" spans="1:16" s="341" customFormat="1">
      <c r="A125" s="739" t="s">
        <v>250</v>
      </c>
      <c r="B125" s="704"/>
      <c r="C125" s="786"/>
      <c r="D125" s="775"/>
      <c r="E125" s="131"/>
      <c r="F125" s="131"/>
      <c r="G125" s="130"/>
      <c r="H125" s="130"/>
      <c r="I125" s="130"/>
      <c r="J125" s="131"/>
      <c r="K125" s="131"/>
      <c r="L125" s="131"/>
      <c r="M125" s="974">
        <v>2</v>
      </c>
      <c r="N125" s="337">
        <f t="shared" si="9"/>
        <v>2</v>
      </c>
      <c r="O125" s="835">
        <f t="shared" si="8"/>
        <v>2</v>
      </c>
      <c r="P125" s="837">
        <f t="shared" si="7"/>
        <v>4.6981442330279538E-2</v>
      </c>
    </row>
    <row r="126" spans="1:16" s="310" customFormat="1">
      <c r="A126" s="739" t="s">
        <v>389</v>
      </c>
      <c r="B126" s="704"/>
      <c r="C126" s="786"/>
      <c r="D126" s="775"/>
      <c r="E126" s="131"/>
      <c r="F126" s="131"/>
      <c r="G126" s="130"/>
      <c r="H126" s="130"/>
      <c r="I126" s="130"/>
      <c r="J126" s="131"/>
      <c r="K126" s="131"/>
      <c r="L126" s="131"/>
      <c r="M126" s="974">
        <v>0</v>
      </c>
      <c r="N126" s="337">
        <f t="shared" si="9"/>
        <v>0</v>
      </c>
      <c r="O126" s="835">
        <f t="shared" si="8"/>
        <v>0</v>
      </c>
      <c r="P126" s="837">
        <f t="shared" si="7"/>
        <v>0</v>
      </c>
    </row>
    <row r="127" spans="1:16" s="1" customFormat="1">
      <c r="A127" s="710" t="s">
        <v>201</v>
      </c>
      <c r="B127" s="704"/>
      <c r="C127" s="786"/>
      <c r="D127" s="775"/>
      <c r="E127" s="131"/>
      <c r="F127" s="131"/>
      <c r="G127" s="130"/>
      <c r="H127" s="130"/>
      <c r="I127" s="130"/>
      <c r="J127" s="131"/>
      <c r="K127" s="131"/>
      <c r="L127" s="131"/>
      <c r="M127" s="974">
        <v>85</v>
      </c>
      <c r="N127" s="337">
        <f t="shared" si="9"/>
        <v>85</v>
      </c>
      <c r="O127" s="835">
        <f t="shared" si="8"/>
        <v>85</v>
      </c>
      <c r="P127" s="837">
        <f t="shared" si="7"/>
        <v>1.9967112990368803</v>
      </c>
    </row>
    <row r="128" spans="1:16" s="1" customFormat="1">
      <c r="A128" s="710" t="s">
        <v>267</v>
      </c>
      <c r="B128" s="704"/>
      <c r="C128" s="786"/>
      <c r="D128" s="775"/>
      <c r="E128" s="131"/>
      <c r="F128" s="131"/>
      <c r="G128" s="130"/>
      <c r="H128" s="130"/>
      <c r="I128" s="130"/>
      <c r="J128" s="131"/>
      <c r="K128" s="131"/>
      <c r="L128" s="131"/>
      <c r="M128" s="974">
        <v>0</v>
      </c>
      <c r="N128" s="337">
        <f t="shared" si="9"/>
        <v>0</v>
      </c>
      <c r="O128" s="835">
        <f t="shared" si="8"/>
        <v>0</v>
      </c>
      <c r="P128" s="837">
        <f t="shared" si="7"/>
        <v>0</v>
      </c>
    </row>
    <row r="129" spans="1:16">
      <c r="A129" s="739" t="s">
        <v>390</v>
      </c>
      <c r="B129" s="704"/>
      <c r="C129" s="786"/>
      <c r="D129" s="775"/>
      <c r="E129" s="131"/>
      <c r="F129" s="131"/>
      <c r="G129" s="130"/>
      <c r="H129" s="130"/>
      <c r="I129" s="130"/>
      <c r="J129" s="131"/>
      <c r="K129" s="131"/>
      <c r="L129" s="131"/>
      <c r="M129" s="974">
        <v>4</v>
      </c>
      <c r="N129" s="337">
        <f t="shared" si="9"/>
        <v>4</v>
      </c>
      <c r="O129" s="835">
        <f t="shared" si="8"/>
        <v>4</v>
      </c>
      <c r="P129" s="837">
        <f t="shared" si="7"/>
        <v>9.3962884660559076E-2</v>
      </c>
    </row>
    <row r="130" spans="1:16">
      <c r="A130" s="739" t="s">
        <v>108</v>
      </c>
      <c r="B130" s="704"/>
      <c r="C130" s="786"/>
      <c r="D130" s="775"/>
      <c r="E130" s="131"/>
      <c r="F130" s="131"/>
      <c r="G130" s="130"/>
      <c r="H130" s="130"/>
      <c r="I130" s="130"/>
      <c r="J130" s="131"/>
      <c r="K130" s="131"/>
      <c r="L130" s="131"/>
      <c r="M130" s="974">
        <v>9</v>
      </c>
      <c r="N130" s="337">
        <f t="shared" si="9"/>
        <v>9</v>
      </c>
      <c r="O130" s="835">
        <f t="shared" si="8"/>
        <v>9</v>
      </c>
      <c r="P130" s="837">
        <f t="shared" si="7"/>
        <v>0.21141649048625794</v>
      </c>
    </row>
    <row r="131" spans="1:16" s="213" customFormat="1">
      <c r="A131" s="739" t="s">
        <v>226</v>
      </c>
      <c r="B131" s="704"/>
      <c r="C131" s="786"/>
      <c r="D131" s="775"/>
      <c r="E131" s="131"/>
      <c r="F131" s="131"/>
      <c r="G131" s="130"/>
      <c r="H131" s="130"/>
      <c r="I131" s="130"/>
      <c r="J131" s="131"/>
      <c r="K131" s="131"/>
      <c r="L131" s="131"/>
      <c r="M131" s="974">
        <v>0</v>
      </c>
      <c r="N131" s="337">
        <f t="shared" si="9"/>
        <v>0</v>
      </c>
      <c r="O131" s="835">
        <f t="shared" si="8"/>
        <v>0</v>
      </c>
      <c r="P131" s="837">
        <f t="shared" si="7"/>
        <v>0</v>
      </c>
    </row>
    <row r="132" spans="1:16" s="42" customFormat="1">
      <c r="A132" s="710" t="s">
        <v>381</v>
      </c>
      <c r="B132" s="696"/>
      <c r="C132" s="786"/>
      <c r="D132" s="774"/>
      <c r="E132" s="130"/>
      <c r="F132" s="130"/>
      <c r="G132" s="130"/>
      <c r="H132" s="130"/>
      <c r="I132" s="130"/>
      <c r="J132" s="130"/>
      <c r="K132" s="130"/>
      <c r="L132" s="130"/>
      <c r="M132" s="974">
        <v>3</v>
      </c>
      <c r="N132" s="337">
        <f>SUM(B132:M132)</f>
        <v>3</v>
      </c>
      <c r="O132" s="835">
        <f>AVERAGE(B132:M132)</f>
        <v>3</v>
      </c>
      <c r="P132" s="837">
        <f t="shared" si="7"/>
        <v>7.0472163495419307E-2</v>
      </c>
    </row>
    <row r="133" spans="1:16">
      <c r="A133" s="739" t="s">
        <v>109</v>
      </c>
      <c r="B133" s="704"/>
      <c r="C133" s="786"/>
      <c r="D133" s="775"/>
      <c r="E133" s="131"/>
      <c r="F133" s="131"/>
      <c r="G133" s="130"/>
      <c r="H133" s="130"/>
      <c r="I133" s="130"/>
      <c r="J133" s="131"/>
      <c r="K133" s="131"/>
      <c r="L133" s="131"/>
      <c r="M133" s="974">
        <v>1</v>
      </c>
      <c r="N133" s="337">
        <f t="shared" si="9"/>
        <v>1</v>
      </c>
      <c r="O133" s="835">
        <f t="shared" si="8"/>
        <v>1</v>
      </c>
      <c r="P133" s="837">
        <f t="shared" ref="P133:P164" si="10">(N133/$N$187)*100</f>
        <v>2.3490721165139769E-2</v>
      </c>
    </row>
    <row r="134" spans="1:16">
      <c r="A134" s="739" t="s">
        <v>110</v>
      </c>
      <c r="B134" s="704"/>
      <c r="C134" s="786"/>
      <c r="D134" s="775"/>
      <c r="E134" s="131"/>
      <c r="F134" s="131"/>
      <c r="G134" s="130"/>
      <c r="H134" s="130"/>
      <c r="I134" s="130"/>
      <c r="J134" s="131"/>
      <c r="K134" s="131"/>
      <c r="L134" s="131"/>
      <c r="M134" s="974">
        <v>0</v>
      </c>
      <c r="N134" s="337">
        <f t="shared" si="9"/>
        <v>0</v>
      </c>
      <c r="O134" s="835">
        <f t="shared" si="8"/>
        <v>0</v>
      </c>
      <c r="P134" s="837">
        <f t="shared" si="10"/>
        <v>0</v>
      </c>
    </row>
    <row r="135" spans="1:16">
      <c r="A135" s="739" t="s">
        <v>111</v>
      </c>
      <c r="B135" s="704"/>
      <c r="C135" s="786"/>
      <c r="D135" s="775"/>
      <c r="E135" s="131"/>
      <c r="F135" s="131"/>
      <c r="G135" s="130"/>
      <c r="H135" s="130"/>
      <c r="I135" s="130"/>
      <c r="J135" s="131"/>
      <c r="K135" s="131"/>
      <c r="L135" s="131"/>
      <c r="M135" s="974">
        <v>0</v>
      </c>
      <c r="N135" s="337">
        <f t="shared" si="9"/>
        <v>0</v>
      </c>
      <c r="O135" s="835">
        <f t="shared" si="8"/>
        <v>0</v>
      </c>
      <c r="P135" s="837">
        <f t="shared" si="10"/>
        <v>0</v>
      </c>
    </row>
    <row r="136" spans="1:16">
      <c r="A136" s="739" t="s">
        <v>112</v>
      </c>
      <c r="B136" s="704"/>
      <c r="C136" s="786"/>
      <c r="D136" s="775"/>
      <c r="E136" s="131"/>
      <c r="F136" s="131"/>
      <c r="G136" s="130"/>
      <c r="H136" s="130"/>
      <c r="I136" s="130"/>
      <c r="J136" s="131"/>
      <c r="K136" s="131"/>
      <c r="L136" s="131"/>
      <c r="M136" s="974">
        <v>6</v>
      </c>
      <c r="N136" s="337">
        <f t="shared" si="9"/>
        <v>6</v>
      </c>
      <c r="O136" s="835">
        <f t="shared" si="8"/>
        <v>6</v>
      </c>
      <c r="P136" s="837">
        <f t="shared" si="10"/>
        <v>0.14094432699083861</v>
      </c>
    </row>
    <row r="137" spans="1:16">
      <c r="A137" s="739" t="s">
        <v>113</v>
      </c>
      <c r="B137" s="704"/>
      <c r="C137" s="786"/>
      <c r="D137" s="775"/>
      <c r="E137" s="131"/>
      <c r="F137" s="131"/>
      <c r="G137" s="130"/>
      <c r="H137" s="130"/>
      <c r="I137" s="130"/>
      <c r="J137" s="131"/>
      <c r="K137" s="131"/>
      <c r="L137" s="131"/>
      <c r="M137" s="974">
        <v>239</v>
      </c>
      <c r="N137" s="337">
        <f t="shared" si="9"/>
        <v>239</v>
      </c>
      <c r="O137" s="835">
        <f t="shared" si="8"/>
        <v>239</v>
      </c>
      <c r="P137" s="837">
        <f t="shared" si="10"/>
        <v>5.6142823584684054</v>
      </c>
    </row>
    <row r="138" spans="1:16" s="213" customFormat="1">
      <c r="A138" s="739" t="s">
        <v>227</v>
      </c>
      <c r="B138" s="704"/>
      <c r="C138" s="786"/>
      <c r="D138" s="775"/>
      <c r="E138" s="131"/>
      <c r="F138" s="131"/>
      <c r="G138" s="130"/>
      <c r="H138" s="130"/>
      <c r="I138" s="130"/>
      <c r="J138" s="131"/>
      <c r="K138" s="131"/>
      <c r="L138" s="131"/>
      <c r="M138" s="974">
        <v>15</v>
      </c>
      <c r="N138" s="337">
        <f>SUM(B138:M138)</f>
        <v>15</v>
      </c>
      <c r="O138" s="835">
        <f>AVERAGE(B138:M138)</f>
        <v>15</v>
      </c>
      <c r="P138" s="837">
        <f t="shared" si="10"/>
        <v>0.35236081747709658</v>
      </c>
    </row>
    <row r="139" spans="1:16">
      <c r="A139" s="739" t="s">
        <v>114</v>
      </c>
      <c r="B139" s="704"/>
      <c r="C139" s="786"/>
      <c r="D139" s="775"/>
      <c r="E139" s="131"/>
      <c r="F139" s="131"/>
      <c r="G139" s="130"/>
      <c r="H139" s="130"/>
      <c r="I139" s="130"/>
      <c r="J139" s="131"/>
      <c r="K139" s="131"/>
      <c r="L139" s="131"/>
      <c r="M139" s="974">
        <v>67</v>
      </c>
      <c r="N139" s="337">
        <f t="shared" si="9"/>
        <v>67</v>
      </c>
      <c r="O139" s="835">
        <f t="shared" si="8"/>
        <v>67</v>
      </c>
      <c r="P139" s="837">
        <f t="shared" si="10"/>
        <v>1.5738783180643645</v>
      </c>
    </row>
    <row r="140" spans="1:16">
      <c r="A140" s="710" t="s">
        <v>383</v>
      </c>
      <c r="B140" s="704"/>
      <c r="C140" s="786"/>
      <c r="D140" s="775"/>
      <c r="E140" s="131"/>
      <c r="F140" s="131"/>
      <c r="G140" s="130"/>
      <c r="H140" s="130"/>
      <c r="I140" s="130"/>
      <c r="J140" s="131"/>
      <c r="K140" s="131"/>
      <c r="L140" s="131"/>
      <c r="M140" s="974">
        <v>25</v>
      </c>
      <c r="N140" s="337">
        <f t="shared" si="9"/>
        <v>25</v>
      </c>
      <c r="O140" s="835">
        <f t="shared" si="8"/>
        <v>25</v>
      </c>
      <c r="P140" s="837">
        <f t="shared" si="10"/>
        <v>0.58726802912849418</v>
      </c>
    </row>
    <row r="141" spans="1:16">
      <c r="A141" s="739" t="s">
        <v>115</v>
      </c>
      <c r="B141" s="704"/>
      <c r="C141" s="786"/>
      <c r="D141" s="775"/>
      <c r="E141" s="131"/>
      <c r="F141" s="131"/>
      <c r="G141" s="130"/>
      <c r="H141" s="130"/>
      <c r="I141" s="130"/>
      <c r="J141" s="131"/>
      <c r="K141" s="131"/>
      <c r="L141" s="131"/>
      <c r="M141" s="974">
        <v>11</v>
      </c>
      <c r="N141" s="337">
        <f t="shared" si="9"/>
        <v>11</v>
      </c>
      <c r="O141" s="835">
        <f t="shared" si="8"/>
        <v>11</v>
      </c>
      <c r="P141" s="837">
        <f t="shared" si="10"/>
        <v>0.2583979328165375</v>
      </c>
    </row>
    <row r="142" spans="1:16">
      <c r="A142" s="739" t="s">
        <v>116</v>
      </c>
      <c r="B142" s="704"/>
      <c r="C142" s="786"/>
      <c r="D142" s="775"/>
      <c r="E142" s="131"/>
      <c r="F142" s="131"/>
      <c r="G142" s="130"/>
      <c r="H142" s="130"/>
      <c r="I142" s="130"/>
      <c r="J142" s="131"/>
      <c r="K142" s="131"/>
      <c r="L142" s="131"/>
      <c r="M142" s="974">
        <v>11</v>
      </c>
      <c r="N142" s="337">
        <f t="shared" si="9"/>
        <v>11</v>
      </c>
      <c r="O142" s="835">
        <f t="shared" si="8"/>
        <v>11</v>
      </c>
      <c r="P142" s="837">
        <f t="shared" si="10"/>
        <v>0.2583979328165375</v>
      </c>
    </row>
    <row r="143" spans="1:16">
      <c r="A143" s="739" t="s">
        <v>117</v>
      </c>
      <c r="B143" s="704"/>
      <c r="C143" s="786"/>
      <c r="D143" s="775"/>
      <c r="E143" s="131"/>
      <c r="F143" s="131"/>
      <c r="G143" s="130"/>
      <c r="H143" s="130"/>
      <c r="I143" s="130"/>
      <c r="J143" s="131"/>
      <c r="K143" s="131"/>
      <c r="L143" s="131"/>
      <c r="M143" s="974">
        <v>2</v>
      </c>
      <c r="N143" s="337">
        <f t="shared" si="9"/>
        <v>2</v>
      </c>
      <c r="O143" s="835">
        <f t="shared" si="8"/>
        <v>2</v>
      </c>
      <c r="P143" s="837">
        <f t="shared" si="10"/>
        <v>4.6981442330279538E-2</v>
      </c>
    </row>
    <row r="144" spans="1:16">
      <c r="A144" s="710" t="s">
        <v>367</v>
      </c>
      <c r="B144" s="704"/>
      <c r="C144" s="786"/>
      <c r="D144" s="775"/>
      <c r="E144" s="131"/>
      <c r="F144" s="131"/>
      <c r="G144" s="130"/>
      <c r="H144" s="130"/>
      <c r="I144" s="130"/>
      <c r="J144" s="131"/>
      <c r="K144" s="131"/>
      <c r="L144" s="131"/>
      <c r="M144" s="974">
        <v>138</v>
      </c>
      <c r="N144" s="337">
        <f t="shared" si="9"/>
        <v>138</v>
      </c>
      <c r="O144" s="835">
        <f t="shared" si="8"/>
        <v>138</v>
      </c>
      <c r="P144" s="837">
        <f t="shared" si="10"/>
        <v>3.2417195207892879</v>
      </c>
    </row>
    <row r="145" spans="1:16" s="663" customFormat="1">
      <c r="A145" s="739" t="s">
        <v>348</v>
      </c>
      <c r="B145" s="704"/>
      <c r="C145" s="786"/>
      <c r="D145" s="775"/>
      <c r="E145" s="131"/>
      <c r="F145" s="131"/>
      <c r="G145" s="130"/>
      <c r="H145" s="130"/>
      <c r="I145" s="130"/>
      <c r="J145" s="131"/>
      <c r="K145" s="131"/>
      <c r="L145" s="131"/>
      <c r="M145" s="974">
        <v>1</v>
      </c>
      <c r="N145" s="337">
        <f t="shared" si="9"/>
        <v>1</v>
      </c>
      <c r="O145" s="835">
        <f t="shared" si="8"/>
        <v>1</v>
      </c>
      <c r="P145" s="837">
        <f t="shared" si="10"/>
        <v>2.3490721165139769E-2</v>
      </c>
    </row>
    <row r="146" spans="1:16" s="432" customFormat="1">
      <c r="A146" s="739" t="s">
        <v>275</v>
      </c>
      <c r="B146" s="704"/>
      <c r="C146" s="786"/>
      <c r="D146" s="775"/>
      <c r="E146" s="131"/>
      <c r="F146" s="131"/>
      <c r="G146" s="130"/>
      <c r="H146" s="130"/>
      <c r="I146" s="130"/>
      <c r="J146" s="131"/>
      <c r="K146" s="131"/>
      <c r="L146" s="131"/>
      <c r="M146" s="974">
        <v>0</v>
      </c>
      <c r="N146" s="337">
        <f t="shared" si="9"/>
        <v>0</v>
      </c>
      <c r="O146" s="835">
        <f t="shared" si="8"/>
        <v>0</v>
      </c>
      <c r="P146" s="837">
        <f t="shared" si="10"/>
        <v>0</v>
      </c>
    </row>
    <row r="147" spans="1:16">
      <c r="A147" s="710" t="s">
        <v>118</v>
      </c>
      <c r="B147" s="704"/>
      <c r="C147" s="786"/>
      <c r="D147" s="775"/>
      <c r="E147" s="131"/>
      <c r="F147" s="131"/>
      <c r="G147" s="130"/>
      <c r="H147" s="130"/>
      <c r="I147" s="130"/>
      <c r="J147" s="131"/>
      <c r="K147" s="131"/>
      <c r="L147" s="131"/>
      <c r="M147" s="974">
        <v>0</v>
      </c>
      <c r="N147" s="337">
        <f t="shared" si="9"/>
        <v>0</v>
      </c>
      <c r="O147" s="835">
        <f t="shared" si="8"/>
        <v>0</v>
      </c>
      <c r="P147" s="837">
        <f t="shared" si="10"/>
        <v>0</v>
      </c>
    </row>
    <row r="148" spans="1:16" s="760" customFormat="1">
      <c r="A148" s="710" t="s">
        <v>391</v>
      </c>
      <c r="B148" s="704"/>
      <c r="C148" s="786"/>
      <c r="D148" s="775"/>
      <c r="E148" s="131"/>
      <c r="F148" s="131"/>
      <c r="G148" s="130"/>
      <c r="H148" s="130"/>
      <c r="I148" s="130"/>
      <c r="J148" s="131"/>
      <c r="K148" s="131"/>
      <c r="L148" s="131"/>
      <c r="M148" s="974">
        <v>0</v>
      </c>
      <c r="N148" s="337">
        <f t="shared" si="9"/>
        <v>0</v>
      </c>
      <c r="O148" s="835">
        <f t="shared" si="8"/>
        <v>0</v>
      </c>
      <c r="P148" s="837">
        <f t="shared" si="10"/>
        <v>0</v>
      </c>
    </row>
    <row r="149" spans="1:16" s="361" customFormat="1">
      <c r="A149" s="710" t="s">
        <v>256</v>
      </c>
      <c r="B149" s="704"/>
      <c r="C149" s="786"/>
      <c r="D149" s="775"/>
      <c r="E149" s="131"/>
      <c r="F149" s="131"/>
      <c r="G149" s="130"/>
      <c r="H149" s="130"/>
      <c r="I149" s="130"/>
      <c r="J149" s="131"/>
      <c r="K149" s="131"/>
      <c r="L149" s="131"/>
      <c r="M149" s="974">
        <v>0</v>
      </c>
      <c r="N149" s="337">
        <f t="shared" si="9"/>
        <v>0</v>
      </c>
      <c r="O149" s="835">
        <f t="shared" si="8"/>
        <v>0</v>
      </c>
      <c r="P149" s="837">
        <f t="shared" si="10"/>
        <v>0</v>
      </c>
    </row>
    <row r="150" spans="1:16" s="310" customFormat="1" ht="14.25" customHeight="1">
      <c r="A150" s="739" t="s">
        <v>249</v>
      </c>
      <c r="B150" s="704"/>
      <c r="C150" s="786"/>
      <c r="D150" s="775"/>
      <c r="E150" s="131"/>
      <c r="F150" s="131"/>
      <c r="G150" s="130"/>
      <c r="H150" s="130"/>
      <c r="I150" s="130"/>
      <c r="J150" s="131"/>
      <c r="K150" s="131"/>
      <c r="L150" s="131"/>
      <c r="M150" s="974">
        <v>3</v>
      </c>
      <c r="N150" s="337">
        <f t="shared" si="9"/>
        <v>3</v>
      </c>
      <c r="O150" s="835">
        <f t="shared" si="8"/>
        <v>3</v>
      </c>
      <c r="P150" s="837">
        <f t="shared" si="10"/>
        <v>7.0472163495419307E-2</v>
      </c>
    </row>
    <row r="151" spans="1:16" s="341" customFormat="1">
      <c r="A151" s="739" t="s">
        <v>251</v>
      </c>
      <c r="B151" s="704"/>
      <c r="C151" s="786"/>
      <c r="D151" s="775"/>
      <c r="E151" s="131"/>
      <c r="F151" s="131"/>
      <c r="G151" s="130"/>
      <c r="H151" s="130"/>
      <c r="I151" s="130"/>
      <c r="J151" s="131"/>
      <c r="K151" s="131"/>
      <c r="L151" s="131"/>
      <c r="M151" s="974">
        <v>0</v>
      </c>
      <c r="N151" s="337">
        <f t="shared" si="9"/>
        <v>0</v>
      </c>
      <c r="O151" s="835">
        <f t="shared" si="8"/>
        <v>0</v>
      </c>
      <c r="P151" s="837">
        <f t="shared" si="10"/>
        <v>0</v>
      </c>
    </row>
    <row r="152" spans="1:16">
      <c r="A152" s="739" t="s">
        <v>119</v>
      </c>
      <c r="B152" s="704"/>
      <c r="C152" s="786"/>
      <c r="D152" s="775"/>
      <c r="E152" s="131"/>
      <c r="F152" s="131"/>
      <c r="G152" s="130"/>
      <c r="H152" s="130"/>
      <c r="I152" s="130"/>
      <c r="J152" s="131"/>
      <c r="K152" s="131"/>
      <c r="L152" s="131"/>
      <c r="M152" s="974">
        <v>0</v>
      </c>
      <c r="N152" s="337">
        <f t="shared" si="9"/>
        <v>0</v>
      </c>
      <c r="O152" s="835">
        <f t="shared" si="8"/>
        <v>0</v>
      </c>
      <c r="P152" s="837">
        <f t="shared" si="10"/>
        <v>0</v>
      </c>
    </row>
    <row r="153" spans="1:16">
      <c r="A153" s="739" t="s">
        <v>120</v>
      </c>
      <c r="B153" s="704"/>
      <c r="C153" s="786"/>
      <c r="D153" s="775"/>
      <c r="E153" s="131"/>
      <c r="F153" s="131"/>
      <c r="G153" s="130"/>
      <c r="H153" s="130"/>
      <c r="I153" s="130"/>
      <c r="J153" s="131"/>
      <c r="K153" s="131"/>
      <c r="L153" s="131"/>
      <c r="M153" s="974">
        <v>2</v>
      </c>
      <c r="N153" s="337">
        <f t="shared" si="9"/>
        <v>2</v>
      </c>
      <c r="O153" s="835">
        <f t="shared" si="8"/>
        <v>2</v>
      </c>
      <c r="P153" s="837">
        <f t="shared" si="10"/>
        <v>4.6981442330279538E-2</v>
      </c>
    </row>
    <row r="154" spans="1:16">
      <c r="A154" s="710" t="s">
        <v>368</v>
      </c>
      <c r="B154" s="704"/>
      <c r="C154" s="786"/>
      <c r="D154" s="775"/>
      <c r="E154" s="131"/>
      <c r="F154" s="131"/>
      <c r="G154" s="130"/>
      <c r="H154" s="130"/>
      <c r="I154" s="130"/>
      <c r="J154" s="131"/>
      <c r="K154" s="131"/>
      <c r="L154" s="131"/>
      <c r="M154" s="974">
        <v>337</v>
      </c>
      <c r="N154" s="337">
        <f t="shared" si="9"/>
        <v>337</v>
      </c>
      <c r="O154" s="835">
        <f t="shared" si="8"/>
        <v>337</v>
      </c>
      <c r="P154" s="837">
        <f t="shared" si="10"/>
        <v>7.9163730326521016</v>
      </c>
    </row>
    <row r="155" spans="1:16" s="162" customFormat="1">
      <c r="A155" s="739" t="s">
        <v>208</v>
      </c>
      <c r="B155" s="704"/>
      <c r="C155" s="786"/>
      <c r="D155" s="775"/>
      <c r="E155" s="131"/>
      <c r="F155" s="131"/>
      <c r="G155" s="130"/>
      <c r="H155" s="130"/>
      <c r="I155" s="130"/>
      <c r="J155" s="131"/>
      <c r="K155" s="131"/>
      <c r="L155" s="131"/>
      <c r="M155" s="974">
        <v>1</v>
      </c>
      <c r="N155" s="337">
        <f t="shared" si="9"/>
        <v>1</v>
      </c>
      <c r="O155" s="835">
        <f t="shared" si="8"/>
        <v>1</v>
      </c>
      <c r="P155" s="837">
        <f t="shared" si="10"/>
        <v>2.3490721165139769E-2</v>
      </c>
    </row>
    <row r="156" spans="1:16">
      <c r="A156" s="739" t="s">
        <v>121</v>
      </c>
      <c r="B156" s="704"/>
      <c r="C156" s="786"/>
      <c r="D156" s="775"/>
      <c r="E156" s="131"/>
      <c r="F156" s="131"/>
      <c r="G156" s="130"/>
      <c r="H156" s="130"/>
      <c r="I156" s="130"/>
      <c r="J156" s="131"/>
      <c r="K156" s="131"/>
      <c r="L156" s="131"/>
      <c r="M156" s="974">
        <v>0</v>
      </c>
      <c r="N156" s="337">
        <f t="shared" si="9"/>
        <v>0</v>
      </c>
      <c r="O156" s="835">
        <f t="shared" si="8"/>
        <v>0</v>
      </c>
      <c r="P156" s="837">
        <f t="shared" si="10"/>
        <v>0</v>
      </c>
    </row>
    <row r="157" spans="1:16">
      <c r="A157" s="710" t="s">
        <v>369</v>
      </c>
      <c r="B157" s="704"/>
      <c r="C157" s="786"/>
      <c r="D157" s="775"/>
      <c r="E157" s="131"/>
      <c r="F157" s="131"/>
      <c r="G157" s="130"/>
      <c r="H157" s="130"/>
      <c r="I157" s="130"/>
      <c r="J157" s="131"/>
      <c r="K157" s="131"/>
      <c r="L157" s="131"/>
      <c r="M157" s="974">
        <v>0</v>
      </c>
      <c r="N157" s="337">
        <f t="shared" si="9"/>
        <v>0</v>
      </c>
      <c r="O157" s="835">
        <f t="shared" si="8"/>
        <v>0</v>
      </c>
      <c r="P157" s="837">
        <f t="shared" si="10"/>
        <v>0</v>
      </c>
    </row>
    <row r="158" spans="1:16">
      <c r="A158" s="739" t="s">
        <v>122</v>
      </c>
      <c r="B158" s="704"/>
      <c r="C158" s="786"/>
      <c r="D158" s="775"/>
      <c r="E158" s="131"/>
      <c r="F158" s="131"/>
      <c r="G158" s="130"/>
      <c r="H158" s="130"/>
      <c r="I158" s="130"/>
      <c r="J158" s="131"/>
      <c r="K158" s="131"/>
      <c r="L158" s="131"/>
      <c r="M158" s="974">
        <v>7</v>
      </c>
      <c r="N158" s="337">
        <f t="shared" si="9"/>
        <v>7</v>
      </c>
      <c r="O158" s="835">
        <f t="shared" si="8"/>
        <v>7</v>
      </c>
      <c r="P158" s="837">
        <f t="shared" si="10"/>
        <v>0.1644350481559784</v>
      </c>
    </row>
    <row r="159" spans="1:16" s="162" customFormat="1">
      <c r="A159" s="710" t="s">
        <v>382</v>
      </c>
      <c r="B159" s="704"/>
      <c r="C159" s="786"/>
      <c r="D159" s="775"/>
      <c r="E159" s="131"/>
      <c r="F159" s="131"/>
      <c r="G159" s="130"/>
      <c r="H159" s="130"/>
      <c r="I159" s="130"/>
      <c r="J159" s="131"/>
      <c r="K159" s="131"/>
      <c r="L159" s="131"/>
      <c r="M159" s="974">
        <v>0</v>
      </c>
      <c r="N159" s="337">
        <f t="shared" si="9"/>
        <v>0</v>
      </c>
      <c r="O159" s="835">
        <f t="shared" si="8"/>
        <v>0</v>
      </c>
      <c r="P159" s="837">
        <f t="shared" si="10"/>
        <v>0</v>
      </c>
    </row>
    <row r="160" spans="1:16">
      <c r="A160" s="739" t="s">
        <v>123</v>
      </c>
      <c r="B160" s="704"/>
      <c r="C160" s="786"/>
      <c r="D160" s="775"/>
      <c r="E160" s="131"/>
      <c r="F160" s="131"/>
      <c r="G160" s="130"/>
      <c r="H160" s="130"/>
      <c r="I160" s="130"/>
      <c r="J160" s="131"/>
      <c r="K160" s="131"/>
      <c r="L160" s="131"/>
      <c r="M160" s="974">
        <v>7</v>
      </c>
      <c r="N160" s="337">
        <f t="shared" si="9"/>
        <v>7</v>
      </c>
      <c r="O160" s="835">
        <f t="shared" si="8"/>
        <v>7</v>
      </c>
      <c r="P160" s="837">
        <f t="shared" si="10"/>
        <v>0.1644350481559784</v>
      </c>
    </row>
    <row r="161" spans="1:16" s="162" customFormat="1">
      <c r="A161" s="739" t="s">
        <v>209</v>
      </c>
      <c r="B161" s="704"/>
      <c r="C161" s="786"/>
      <c r="D161" s="775"/>
      <c r="E161" s="131"/>
      <c r="F161" s="131"/>
      <c r="G161" s="130"/>
      <c r="H161" s="130"/>
      <c r="I161" s="130"/>
      <c r="J161" s="131"/>
      <c r="K161" s="131"/>
      <c r="L161" s="131"/>
      <c r="M161" s="974">
        <v>3</v>
      </c>
      <c r="N161" s="337">
        <f t="shared" si="9"/>
        <v>3</v>
      </c>
      <c r="O161" s="835">
        <f t="shared" si="8"/>
        <v>3</v>
      </c>
      <c r="P161" s="837">
        <f t="shared" si="10"/>
        <v>7.0472163495419307E-2</v>
      </c>
    </row>
    <row r="162" spans="1:16">
      <c r="A162" s="739" t="s">
        <v>124</v>
      </c>
      <c r="B162" s="704"/>
      <c r="C162" s="786"/>
      <c r="D162" s="775"/>
      <c r="E162" s="131"/>
      <c r="F162" s="131"/>
      <c r="G162" s="130"/>
      <c r="H162" s="130"/>
      <c r="I162" s="130"/>
      <c r="J162" s="131"/>
      <c r="K162" s="131"/>
      <c r="L162" s="131"/>
      <c r="M162" s="974">
        <v>0</v>
      </c>
      <c r="N162" s="337">
        <f t="shared" si="9"/>
        <v>0</v>
      </c>
      <c r="O162" s="835">
        <f t="shared" si="8"/>
        <v>0</v>
      </c>
      <c r="P162" s="837">
        <f t="shared" si="10"/>
        <v>0</v>
      </c>
    </row>
    <row r="163" spans="1:16">
      <c r="A163" s="739" t="s">
        <v>125</v>
      </c>
      <c r="B163" s="704"/>
      <c r="C163" s="786"/>
      <c r="D163" s="775"/>
      <c r="E163" s="131"/>
      <c r="F163" s="131"/>
      <c r="G163" s="130"/>
      <c r="H163" s="130"/>
      <c r="I163" s="130"/>
      <c r="J163" s="131"/>
      <c r="K163" s="131"/>
      <c r="L163" s="131"/>
      <c r="M163" s="974">
        <v>9</v>
      </c>
      <c r="N163" s="337">
        <f t="shared" si="9"/>
        <v>9</v>
      </c>
      <c r="O163" s="835">
        <f t="shared" si="8"/>
        <v>9</v>
      </c>
      <c r="P163" s="837">
        <f t="shared" si="10"/>
        <v>0.21141649048625794</v>
      </c>
    </row>
    <row r="164" spans="1:16">
      <c r="A164" s="739" t="s">
        <v>126</v>
      </c>
      <c r="B164" s="704"/>
      <c r="C164" s="786"/>
      <c r="D164" s="775"/>
      <c r="E164" s="131"/>
      <c r="F164" s="131"/>
      <c r="G164" s="130"/>
      <c r="H164" s="130"/>
      <c r="I164" s="130"/>
      <c r="J164" s="131"/>
      <c r="K164" s="131"/>
      <c r="L164" s="131"/>
      <c r="M164" s="974">
        <v>5</v>
      </c>
      <c r="N164" s="337">
        <f t="shared" si="9"/>
        <v>5</v>
      </c>
      <c r="O164" s="835">
        <f t="shared" si="8"/>
        <v>5</v>
      </c>
      <c r="P164" s="837">
        <f t="shared" si="10"/>
        <v>0.11745360582569886</v>
      </c>
    </row>
    <row r="165" spans="1:16">
      <c r="A165" s="710" t="s">
        <v>370</v>
      </c>
      <c r="B165" s="704"/>
      <c r="C165" s="786"/>
      <c r="D165" s="775"/>
      <c r="E165" s="131"/>
      <c r="F165" s="131"/>
      <c r="G165" s="130"/>
      <c r="H165" s="130"/>
      <c r="I165" s="130"/>
      <c r="J165" s="131"/>
      <c r="K165" s="131"/>
      <c r="L165" s="131"/>
      <c r="M165" s="974">
        <v>2</v>
      </c>
      <c r="N165" s="337">
        <f t="shared" si="9"/>
        <v>2</v>
      </c>
      <c r="O165" s="835">
        <f t="shared" si="8"/>
        <v>2</v>
      </c>
      <c r="P165" s="837">
        <f t="shared" ref="P165:P187" si="11">(N165/$N$187)*100</f>
        <v>4.6981442330279538E-2</v>
      </c>
    </row>
    <row r="166" spans="1:16">
      <c r="A166" s="739" t="s">
        <v>127</v>
      </c>
      <c r="B166" s="704"/>
      <c r="C166" s="786"/>
      <c r="D166" s="775"/>
      <c r="E166" s="131"/>
      <c r="F166" s="131"/>
      <c r="G166" s="130"/>
      <c r="H166" s="130"/>
      <c r="I166" s="130"/>
      <c r="J166" s="131"/>
      <c r="K166" s="131"/>
      <c r="L166" s="131"/>
      <c r="M166" s="974">
        <v>1</v>
      </c>
      <c r="N166" s="337">
        <f t="shared" ref="N166:N186" si="12">SUM(B166:M166)</f>
        <v>1</v>
      </c>
      <c r="O166" s="835">
        <f t="shared" ref="O166:O186" si="13">AVERAGE(B166:M166)</f>
        <v>1</v>
      </c>
      <c r="P166" s="837">
        <f t="shared" si="11"/>
        <v>2.3490721165139769E-2</v>
      </c>
    </row>
    <row r="167" spans="1:16">
      <c r="A167" s="739" t="s">
        <v>128</v>
      </c>
      <c r="B167" s="704"/>
      <c r="C167" s="786"/>
      <c r="D167" s="775"/>
      <c r="E167" s="131"/>
      <c r="F167" s="131"/>
      <c r="G167" s="130"/>
      <c r="H167" s="130"/>
      <c r="I167" s="130"/>
      <c r="J167" s="131"/>
      <c r="K167" s="131"/>
      <c r="L167" s="131"/>
      <c r="M167" s="974">
        <v>0</v>
      </c>
      <c r="N167" s="337">
        <f t="shared" si="12"/>
        <v>0</v>
      </c>
      <c r="O167" s="835">
        <f t="shared" si="13"/>
        <v>0</v>
      </c>
      <c r="P167" s="837">
        <f t="shared" si="11"/>
        <v>0</v>
      </c>
    </row>
    <row r="168" spans="1:16">
      <c r="A168" s="739" t="s">
        <v>129</v>
      </c>
      <c r="B168" s="704"/>
      <c r="C168" s="786"/>
      <c r="D168" s="775"/>
      <c r="E168" s="131"/>
      <c r="F168" s="131"/>
      <c r="G168" s="130"/>
      <c r="H168" s="130"/>
      <c r="I168" s="130"/>
      <c r="J168" s="131"/>
      <c r="K168" s="131"/>
      <c r="L168" s="131"/>
      <c r="M168" s="974">
        <v>3</v>
      </c>
      <c r="N168" s="337">
        <f t="shared" si="12"/>
        <v>3</v>
      </c>
      <c r="O168" s="835">
        <f t="shared" si="13"/>
        <v>3</v>
      </c>
      <c r="P168" s="837">
        <f t="shared" si="11"/>
        <v>7.0472163495419307E-2</v>
      </c>
    </row>
    <row r="169" spans="1:16">
      <c r="A169" s="739" t="s">
        <v>130</v>
      </c>
      <c r="B169" s="704"/>
      <c r="C169" s="786"/>
      <c r="D169" s="775"/>
      <c r="E169" s="131"/>
      <c r="F169" s="131"/>
      <c r="G169" s="130"/>
      <c r="H169" s="130"/>
      <c r="I169" s="130"/>
      <c r="J169" s="131"/>
      <c r="K169" s="131"/>
      <c r="L169" s="131"/>
      <c r="M169" s="974">
        <v>6</v>
      </c>
      <c r="N169" s="337">
        <f t="shared" si="12"/>
        <v>6</v>
      </c>
      <c r="O169" s="835">
        <f t="shared" si="13"/>
        <v>6</v>
      </c>
      <c r="P169" s="837">
        <f t="shared" si="11"/>
        <v>0.14094432699083861</v>
      </c>
    </row>
    <row r="170" spans="1:16">
      <c r="A170" s="739" t="s">
        <v>131</v>
      </c>
      <c r="B170" s="704"/>
      <c r="C170" s="786"/>
      <c r="D170" s="775"/>
      <c r="E170" s="131"/>
      <c r="F170" s="131"/>
      <c r="G170" s="130"/>
      <c r="H170" s="130"/>
      <c r="I170" s="130"/>
      <c r="J170" s="131"/>
      <c r="K170" s="131"/>
      <c r="L170" s="131"/>
      <c r="M170" s="974">
        <v>0</v>
      </c>
      <c r="N170" s="337">
        <f t="shared" si="12"/>
        <v>0</v>
      </c>
      <c r="O170" s="835">
        <f t="shared" si="13"/>
        <v>0</v>
      </c>
      <c r="P170" s="837">
        <f t="shared" si="11"/>
        <v>0</v>
      </c>
    </row>
    <row r="171" spans="1:16">
      <c r="A171" s="739" t="s">
        <v>132</v>
      </c>
      <c r="B171" s="704"/>
      <c r="C171" s="786"/>
      <c r="D171" s="775"/>
      <c r="E171" s="131"/>
      <c r="F171" s="131"/>
      <c r="G171" s="130"/>
      <c r="H171" s="130"/>
      <c r="I171" s="130"/>
      <c r="J171" s="131"/>
      <c r="K171" s="131"/>
      <c r="L171" s="131"/>
      <c r="M171" s="974">
        <v>129</v>
      </c>
      <c r="N171" s="337">
        <f t="shared" si="12"/>
        <v>129</v>
      </c>
      <c r="O171" s="835">
        <f t="shared" si="13"/>
        <v>129</v>
      </c>
      <c r="P171" s="837">
        <f t="shared" si="11"/>
        <v>3.0303030303030303</v>
      </c>
    </row>
    <row r="172" spans="1:16">
      <c r="A172" s="739" t="s">
        <v>133</v>
      </c>
      <c r="B172" s="704"/>
      <c r="C172" s="786"/>
      <c r="D172" s="775"/>
      <c r="E172" s="131"/>
      <c r="F172" s="131"/>
      <c r="G172" s="130"/>
      <c r="H172" s="130"/>
      <c r="I172" s="130"/>
      <c r="J172" s="131"/>
      <c r="K172" s="131"/>
      <c r="L172" s="131"/>
      <c r="M172" s="974">
        <v>1</v>
      </c>
      <c r="N172" s="337">
        <f t="shared" si="12"/>
        <v>1</v>
      </c>
      <c r="O172" s="835">
        <f t="shared" si="13"/>
        <v>1</v>
      </c>
      <c r="P172" s="837">
        <f t="shared" si="11"/>
        <v>2.3490721165139769E-2</v>
      </c>
    </row>
    <row r="173" spans="1:16" s="771" customFormat="1">
      <c r="A173" s="739" t="s">
        <v>392</v>
      </c>
      <c r="B173" s="704"/>
      <c r="C173" s="786"/>
      <c r="D173" s="775"/>
      <c r="E173" s="131"/>
      <c r="F173" s="131"/>
      <c r="G173" s="130"/>
      <c r="H173" s="130"/>
      <c r="I173" s="130"/>
      <c r="J173" s="131"/>
      <c r="K173" s="131"/>
      <c r="L173" s="131"/>
      <c r="M173" s="974">
        <v>28</v>
      </c>
      <c r="N173" s="337">
        <f t="shared" si="12"/>
        <v>28</v>
      </c>
      <c r="O173" s="835">
        <f t="shared" si="13"/>
        <v>28</v>
      </c>
      <c r="P173" s="837">
        <f t="shared" si="11"/>
        <v>0.65774019262391359</v>
      </c>
    </row>
    <row r="174" spans="1:16">
      <c r="A174" s="739" t="s">
        <v>134</v>
      </c>
      <c r="B174" s="704"/>
      <c r="C174" s="786"/>
      <c r="D174" s="775"/>
      <c r="E174" s="131"/>
      <c r="F174" s="131"/>
      <c r="G174" s="130"/>
      <c r="H174" s="130"/>
      <c r="I174" s="130"/>
      <c r="J174" s="131"/>
      <c r="K174" s="131"/>
      <c r="L174" s="131"/>
      <c r="M174" s="974">
        <v>10</v>
      </c>
      <c r="N174" s="337">
        <f t="shared" si="12"/>
        <v>10</v>
      </c>
      <c r="O174" s="835">
        <f t="shared" si="13"/>
        <v>10</v>
      </c>
      <c r="P174" s="837">
        <f t="shared" si="11"/>
        <v>0.23490721165139772</v>
      </c>
    </row>
    <row r="175" spans="1:16">
      <c r="A175" s="710" t="s">
        <v>371</v>
      </c>
      <c r="B175" s="704"/>
      <c r="C175" s="786"/>
      <c r="D175" s="775"/>
      <c r="E175" s="131"/>
      <c r="F175" s="131"/>
      <c r="G175" s="130"/>
      <c r="H175" s="130"/>
      <c r="I175" s="130"/>
      <c r="J175" s="131"/>
      <c r="K175" s="131"/>
      <c r="L175" s="131"/>
      <c r="M175" s="974">
        <v>10</v>
      </c>
      <c r="N175" s="337">
        <f t="shared" si="12"/>
        <v>10</v>
      </c>
      <c r="O175" s="835">
        <f t="shared" si="13"/>
        <v>10</v>
      </c>
      <c r="P175" s="837">
        <f t="shared" si="11"/>
        <v>0.23490721165139772</v>
      </c>
    </row>
    <row r="176" spans="1:16" s="451" customFormat="1">
      <c r="A176" s="710" t="s">
        <v>372</v>
      </c>
      <c r="B176" s="704"/>
      <c r="C176" s="786"/>
      <c r="D176" s="775"/>
      <c r="E176" s="131"/>
      <c r="F176" s="131"/>
      <c r="G176" s="130"/>
      <c r="H176" s="130"/>
      <c r="I176" s="130"/>
      <c r="J176" s="131"/>
      <c r="K176" s="131"/>
      <c r="L176" s="131"/>
      <c r="M176" s="974">
        <v>0</v>
      </c>
      <c r="N176" s="337">
        <f t="shared" si="12"/>
        <v>0</v>
      </c>
      <c r="O176" s="835">
        <f t="shared" si="13"/>
        <v>0</v>
      </c>
      <c r="P176" s="837">
        <f t="shared" si="11"/>
        <v>0</v>
      </c>
    </row>
    <row r="177" spans="1:16">
      <c r="A177" s="739" t="s">
        <v>135</v>
      </c>
      <c r="B177" s="704"/>
      <c r="C177" s="786"/>
      <c r="D177" s="775"/>
      <c r="E177" s="131"/>
      <c r="F177" s="131"/>
      <c r="G177" s="130"/>
      <c r="H177" s="130"/>
      <c r="I177" s="130"/>
      <c r="J177" s="131"/>
      <c r="K177" s="131"/>
      <c r="L177" s="131"/>
      <c r="M177" s="974">
        <v>43</v>
      </c>
      <c r="N177" s="337">
        <f t="shared" si="12"/>
        <v>43</v>
      </c>
      <c r="O177" s="835">
        <f t="shared" si="13"/>
        <v>43</v>
      </c>
      <c r="P177" s="837">
        <f t="shared" si="11"/>
        <v>1.0101010101010102</v>
      </c>
    </row>
    <row r="178" spans="1:16">
      <c r="A178" s="739" t="s">
        <v>136</v>
      </c>
      <c r="B178" s="704"/>
      <c r="C178" s="786"/>
      <c r="D178" s="775"/>
      <c r="E178" s="131"/>
      <c r="F178" s="131"/>
      <c r="G178" s="130"/>
      <c r="H178" s="130"/>
      <c r="I178" s="130"/>
      <c r="J178" s="131"/>
      <c r="K178" s="131"/>
      <c r="L178" s="131"/>
      <c r="M178" s="974">
        <v>17</v>
      </c>
      <c r="N178" s="337">
        <f t="shared" si="12"/>
        <v>17</v>
      </c>
      <c r="O178" s="835">
        <f t="shared" si="13"/>
        <v>17</v>
      </c>
      <c r="P178" s="837">
        <f t="shared" si="11"/>
        <v>0.39934225980737603</v>
      </c>
    </row>
    <row r="179" spans="1:16" s="429" customFormat="1">
      <c r="A179" s="739" t="s">
        <v>273</v>
      </c>
      <c r="B179" s="704"/>
      <c r="C179" s="786"/>
      <c r="D179" s="775"/>
      <c r="E179" s="131"/>
      <c r="F179" s="131"/>
      <c r="G179" s="130"/>
      <c r="H179" s="130"/>
      <c r="I179" s="130"/>
      <c r="J179" s="131"/>
      <c r="K179" s="131"/>
      <c r="L179" s="131"/>
      <c r="M179" s="974">
        <v>0</v>
      </c>
      <c r="N179" s="337">
        <f t="shared" si="12"/>
        <v>0</v>
      </c>
      <c r="O179" s="835">
        <f t="shared" si="13"/>
        <v>0</v>
      </c>
      <c r="P179" s="837">
        <f t="shared" si="11"/>
        <v>0</v>
      </c>
    </row>
    <row r="180" spans="1:16">
      <c r="A180" s="739" t="s">
        <v>278</v>
      </c>
      <c r="B180" s="704"/>
      <c r="C180" s="786"/>
      <c r="D180" s="775"/>
      <c r="E180" s="131"/>
      <c r="F180" s="131"/>
      <c r="G180" s="130"/>
      <c r="H180" s="130"/>
      <c r="I180" s="130"/>
      <c r="J180" s="131"/>
      <c r="K180" s="131"/>
      <c r="L180" s="131"/>
      <c r="M180" s="974">
        <v>24</v>
      </c>
      <c r="N180" s="337">
        <f>SUM(B180:M180)</f>
        <v>24</v>
      </c>
      <c r="O180" s="835">
        <f>AVERAGE(B180:M180)</f>
        <v>24</v>
      </c>
      <c r="P180" s="837">
        <f t="shared" si="11"/>
        <v>0.56377730796335446</v>
      </c>
    </row>
    <row r="181" spans="1:16">
      <c r="A181" s="739" t="s">
        <v>137</v>
      </c>
      <c r="B181" s="704"/>
      <c r="C181" s="786"/>
      <c r="D181" s="775"/>
      <c r="E181" s="131"/>
      <c r="F181" s="131"/>
      <c r="G181" s="130"/>
      <c r="H181" s="130"/>
      <c r="I181" s="130"/>
      <c r="J181" s="131"/>
      <c r="K181" s="131"/>
      <c r="L181" s="131"/>
      <c r="M181" s="802">
        <v>0</v>
      </c>
      <c r="N181" s="337">
        <f t="shared" si="12"/>
        <v>0</v>
      </c>
      <c r="O181" s="835">
        <f t="shared" si="13"/>
        <v>0</v>
      </c>
      <c r="P181" s="837">
        <f t="shared" si="11"/>
        <v>0</v>
      </c>
    </row>
    <row r="182" spans="1:16">
      <c r="A182" s="739" t="s">
        <v>138</v>
      </c>
      <c r="B182" s="704"/>
      <c r="C182" s="786"/>
      <c r="D182" s="775"/>
      <c r="E182" s="131"/>
      <c r="F182" s="131"/>
      <c r="G182" s="130"/>
      <c r="H182" s="130"/>
      <c r="I182" s="130"/>
      <c r="J182" s="131"/>
      <c r="K182" s="131"/>
      <c r="L182" s="131"/>
      <c r="M182" s="802">
        <v>0</v>
      </c>
      <c r="N182" s="337">
        <f t="shared" si="12"/>
        <v>0</v>
      </c>
      <c r="O182" s="835">
        <f t="shared" si="13"/>
        <v>0</v>
      </c>
      <c r="P182" s="837">
        <f t="shared" si="11"/>
        <v>0</v>
      </c>
    </row>
    <row r="183" spans="1:16">
      <c r="A183" s="739" t="s">
        <v>139</v>
      </c>
      <c r="B183" s="704"/>
      <c r="C183" s="786"/>
      <c r="D183" s="775"/>
      <c r="E183" s="131"/>
      <c r="F183" s="131"/>
      <c r="G183" s="130"/>
      <c r="H183" s="130"/>
      <c r="I183" s="130"/>
      <c r="J183" s="131"/>
      <c r="K183" s="131"/>
      <c r="L183" s="131"/>
      <c r="M183" s="802">
        <v>22</v>
      </c>
      <c r="N183" s="337">
        <f t="shared" si="12"/>
        <v>22</v>
      </c>
      <c r="O183" s="835">
        <f t="shared" si="13"/>
        <v>22</v>
      </c>
      <c r="P183" s="837">
        <f t="shared" si="11"/>
        <v>0.516795865633075</v>
      </c>
    </row>
    <row r="184" spans="1:16">
      <c r="A184" s="739" t="s">
        <v>140</v>
      </c>
      <c r="B184" s="704"/>
      <c r="C184" s="786"/>
      <c r="D184" s="775"/>
      <c r="E184" s="131"/>
      <c r="F184" s="131"/>
      <c r="G184" s="130"/>
      <c r="H184" s="130"/>
      <c r="I184" s="130"/>
      <c r="J184" s="131"/>
      <c r="K184" s="131"/>
      <c r="L184" s="131"/>
      <c r="M184" s="802">
        <v>107</v>
      </c>
      <c r="N184" s="337">
        <f t="shared" si="12"/>
        <v>107</v>
      </c>
      <c r="O184" s="835">
        <f t="shared" si="13"/>
        <v>107</v>
      </c>
      <c r="P184" s="837">
        <f t="shared" si="11"/>
        <v>2.5135071646699552</v>
      </c>
    </row>
    <row r="185" spans="1:16" s="452" customFormat="1">
      <c r="A185" s="739" t="s">
        <v>279</v>
      </c>
      <c r="B185" s="704"/>
      <c r="C185" s="786"/>
      <c r="D185" s="775"/>
      <c r="E185" s="131"/>
      <c r="F185" s="131"/>
      <c r="G185" s="130"/>
      <c r="H185" s="460"/>
      <c r="I185" s="460"/>
      <c r="J185" s="454"/>
      <c r="K185" s="454"/>
      <c r="L185" s="454"/>
      <c r="M185" s="802">
        <v>4</v>
      </c>
      <c r="N185" s="461">
        <f t="shared" si="12"/>
        <v>4</v>
      </c>
      <c r="O185" s="831">
        <f t="shared" si="13"/>
        <v>4</v>
      </c>
      <c r="P185" s="838">
        <f t="shared" si="11"/>
        <v>9.3962884660559076E-2</v>
      </c>
    </row>
    <row r="186" spans="1:16" s="1" customFormat="1" ht="15.75" thickBot="1">
      <c r="A186" s="740" t="s">
        <v>141</v>
      </c>
      <c r="B186" s="712"/>
      <c r="C186" s="790"/>
      <c r="D186" s="776"/>
      <c r="E186" s="454"/>
      <c r="F186" s="454"/>
      <c r="G186" s="460"/>
      <c r="H186" s="460"/>
      <c r="I186" s="460"/>
      <c r="J186" s="454"/>
      <c r="K186" s="454"/>
      <c r="L186" s="454"/>
      <c r="M186" s="802">
        <v>0</v>
      </c>
      <c r="N186" s="461">
        <f t="shared" si="12"/>
        <v>0</v>
      </c>
      <c r="O186" s="831">
        <f t="shared" si="13"/>
        <v>0</v>
      </c>
      <c r="P186" s="839">
        <f t="shared" si="11"/>
        <v>0</v>
      </c>
    </row>
    <row r="187" spans="1:16" ht="15.75" thickBot="1">
      <c r="A187" s="711" t="s">
        <v>3</v>
      </c>
      <c r="B187" s="795">
        <f t="shared" ref="B187:M187" si="14">SUM(B5:B186)</f>
        <v>0</v>
      </c>
      <c r="C187" s="796">
        <f t="shared" si="14"/>
        <v>0</v>
      </c>
      <c r="D187" s="777">
        <f>SUM(D5:D186)</f>
        <v>0</v>
      </c>
      <c r="E187" s="713">
        <f t="shared" si="14"/>
        <v>0</v>
      </c>
      <c r="F187" s="713">
        <f t="shared" si="14"/>
        <v>0</v>
      </c>
      <c r="G187" s="713">
        <f t="shared" si="14"/>
        <v>0</v>
      </c>
      <c r="H187" s="713">
        <f>SUM(H5:H186)</f>
        <v>0</v>
      </c>
      <c r="I187" s="713">
        <f>SUM(I5:I186)</f>
        <v>0</v>
      </c>
      <c r="J187" s="713">
        <f>SUM(J5:J186)</f>
        <v>0</v>
      </c>
      <c r="K187" s="713">
        <f>SUM(K5:K186)</f>
        <v>0</v>
      </c>
      <c r="L187" s="713">
        <f t="shared" si="14"/>
        <v>0</v>
      </c>
      <c r="M187" s="714">
        <f t="shared" si="14"/>
        <v>4257</v>
      </c>
      <c r="N187" s="188">
        <f>SUM(B187:M187)</f>
        <v>4257</v>
      </c>
      <c r="O187" s="832">
        <f>(B187+C187+D187+E187+F187+G187+H187+I187+J187+K187+L187+M187)/12</f>
        <v>354.75</v>
      </c>
      <c r="P187" s="840">
        <f t="shared" si="11"/>
        <v>100</v>
      </c>
    </row>
    <row r="188" spans="1:16" s="1" customFormat="1" ht="16.5" customHeight="1">
      <c r="A188" s="43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5"/>
      <c r="M188" s="41"/>
      <c r="N188" s="41"/>
      <c r="O188" s="41"/>
      <c r="P188" s="46"/>
    </row>
    <row r="189" spans="1:16" ht="65.25" customHeight="1">
      <c r="A189" s="47" t="s">
        <v>142</v>
      </c>
      <c r="B189" s="48"/>
      <c r="C189" s="48"/>
      <c r="D189" s="48"/>
      <c r="E189" s="48"/>
      <c r="F189" s="48"/>
      <c r="G189" s="48"/>
      <c r="H189" s="48"/>
      <c r="I189" s="48"/>
      <c r="J189" s="48"/>
      <c r="K189" s="48"/>
    </row>
    <row r="190" spans="1:16">
      <c r="A190" s="49"/>
      <c r="B190" s="48"/>
      <c r="C190" s="48"/>
      <c r="D190" s="48"/>
      <c r="E190" s="48"/>
      <c r="F190" s="48"/>
      <c r="G190" s="48"/>
      <c r="H190" s="48"/>
      <c r="I190" s="48"/>
      <c r="J190" s="48"/>
      <c r="K190" s="48"/>
    </row>
    <row r="191" spans="1:16" ht="45">
      <c r="A191" s="29" t="s">
        <v>143</v>
      </c>
      <c r="B191" s="50"/>
      <c r="C191" s="50"/>
      <c r="D191" s="50"/>
      <c r="E191" s="50"/>
      <c r="F191" s="50"/>
      <c r="G191" s="50"/>
      <c r="H191" s="50"/>
      <c r="I191" s="50"/>
      <c r="J191" s="50"/>
      <c r="K191" s="50"/>
    </row>
    <row r="192" spans="1:16">
      <c r="A192" s="29"/>
      <c r="B192" s="50"/>
      <c r="C192" s="50"/>
      <c r="D192" s="50"/>
      <c r="E192" s="50"/>
      <c r="F192" s="50"/>
      <c r="G192" s="50"/>
      <c r="H192" s="50"/>
      <c r="I192" s="50"/>
      <c r="J192" s="50"/>
      <c r="K192" s="50"/>
    </row>
    <row r="193" spans="1:16" ht="31.5" customHeight="1">
      <c r="A193" s="49" t="s">
        <v>144</v>
      </c>
      <c r="B193" s="48"/>
      <c r="C193" s="48"/>
      <c r="D193" s="48"/>
      <c r="E193" s="48"/>
      <c r="F193" s="48"/>
      <c r="G193" s="48"/>
      <c r="H193" s="48"/>
      <c r="I193" s="48"/>
      <c r="J193" s="48"/>
      <c r="K193" s="48"/>
    </row>
    <row r="194" spans="1:16" ht="45">
      <c r="A194" s="29" t="s">
        <v>145</v>
      </c>
    </row>
    <row r="195" spans="1:16" ht="30">
      <c r="A195" s="49" t="s">
        <v>393</v>
      </c>
      <c r="B195" s="50"/>
      <c r="C195" s="50"/>
      <c r="D195" s="50"/>
      <c r="E195" s="50"/>
      <c r="F195" s="50"/>
      <c r="G195" s="39"/>
      <c r="H195" s="39"/>
      <c r="I195" s="39"/>
      <c r="J195" s="39"/>
      <c r="K195" s="39"/>
    </row>
    <row r="197" spans="1:16">
      <c r="A197" s="29"/>
      <c r="B197"/>
      <c r="C197"/>
      <c r="D197"/>
      <c r="E197"/>
      <c r="F197"/>
      <c r="G197"/>
      <c r="H197"/>
      <c r="I197"/>
      <c r="J197"/>
      <c r="K197"/>
      <c r="L197"/>
      <c r="M197" s="113"/>
      <c r="N197"/>
      <c r="O197"/>
      <c r="P197"/>
    </row>
  </sheetData>
  <pageMargins left="0.511811024" right="0.511811024" top="0.78740157500000008" bottom="0.78740157500000008" header="0.31496062000000008" footer="0.31496062000000008"/>
  <pageSetup paperSize="9" orientation="portrait" horizontalDpi="300" verticalDpi="300" r:id="rId1"/>
  <ignoredErrors>
    <ignoredError sqref="H187:M187 F187:G187 B187:C187 D187:E187" formulaRange="1"/>
    <ignoredError sqref="N187" formula="1"/>
    <ignoredError sqref="O5:P186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zoomScale="90" zoomScaleNormal="90" workbookViewId="0"/>
  </sheetViews>
  <sheetFormatPr defaultColWidth="5.5703125" defaultRowHeight="14.25"/>
  <cols>
    <col min="1" max="1" width="41" style="23" customWidth="1"/>
    <col min="2" max="2" width="7.5703125" style="23" bestFit="1" customWidth="1"/>
    <col min="3" max="3" width="7.7109375" style="55" bestFit="1" customWidth="1"/>
    <col min="4" max="4" width="7.140625" style="23" bestFit="1" customWidth="1"/>
    <col min="5" max="5" width="7" style="53" bestFit="1" customWidth="1"/>
    <col min="6" max="6" width="7.5703125" style="23" bestFit="1" customWidth="1"/>
    <col min="7" max="7" width="6.28515625" style="53" bestFit="1" customWidth="1"/>
    <col min="8" max="8" width="7" style="23" bestFit="1" customWidth="1"/>
    <col min="9" max="9" width="7.5703125" style="23" customWidth="1"/>
    <col min="10" max="10" width="7.140625" style="23" bestFit="1" customWidth="1"/>
    <col min="11" max="11" width="7.5703125" style="23" bestFit="1" customWidth="1"/>
    <col min="12" max="12" width="7.140625" style="23" bestFit="1" customWidth="1"/>
    <col min="13" max="13" width="6.85546875" style="23" bestFit="1" customWidth="1"/>
    <col min="14" max="14" width="6.7109375" style="23" bestFit="1" customWidth="1"/>
    <col min="15" max="15" width="7.140625" style="23" bestFit="1" customWidth="1"/>
    <col min="16" max="16" width="14.85546875" style="23" customWidth="1"/>
    <col min="17" max="215" width="9.140625" style="23" customWidth="1"/>
    <col min="216" max="216" width="58.28515625" style="23" customWidth="1"/>
    <col min="217" max="217" width="3.7109375" style="23" bestFit="1" customWidth="1"/>
    <col min="218" max="218" width="5.5703125" style="23" bestFit="1" customWidth="1"/>
    <col min="219" max="16384" width="5.5703125" style="23"/>
  </cols>
  <sheetData>
    <row r="1" spans="1:20" ht="15">
      <c r="A1" s="51" t="s">
        <v>0</v>
      </c>
      <c r="B1" s="51"/>
      <c r="C1" s="52"/>
      <c r="D1" s="51"/>
      <c r="P1" s="140">
        <v>4257</v>
      </c>
    </row>
    <row r="2" spans="1:20" ht="15">
      <c r="A2" s="5" t="s">
        <v>1</v>
      </c>
      <c r="B2" s="5"/>
      <c r="C2" s="54"/>
      <c r="D2" s="5"/>
    </row>
    <row r="3" spans="1:20" ht="15">
      <c r="A3" s="5"/>
      <c r="B3" s="5"/>
      <c r="C3" s="54"/>
      <c r="D3" s="5"/>
    </row>
    <row r="4" spans="1:20" ht="15">
      <c r="A4" s="5" t="s">
        <v>396</v>
      </c>
      <c r="B4" s="5"/>
      <c r="C4" s="54"/>
      <c r="D4" s="5"/>
    </row>
    <row r="5" spans="1:20" ht="15" thickBot="1">
      <c r="E5" s="23"/>
      <c r="F5" s="53"/>
      <c r="G5" s="23"/>
      <c r="H5" s="53"/>
    </row>
    <row r="6" spans="1:20" ht="48.75" thickBot="1">
      <c r="A6" s="888" t="s">
        <v>146</v>
      </c>
      <c r="B6" s="190">
        <v>45261</v>
      </c>
      <c r="C6" s="191">
        <v>45231</v>
      </c>
      <c r="D6" s="191">
        <v>45200</v>
      </c>
      <c r="E6" s="191">
        <v>45170</v>
      </c>
      <c r="F6" s="191">
        <v>45139</v>
      </c>
      <c r="G6" s="191">
        <v>45108</v>
      </c>
      <c r="H6" s="191">
        <v>45078</v>
      </c>
      <c r="I6" s="191">
        <v>45047</v>
      </c>
      <c r="J6" s="191">
        <v>45017</v>
      </c>
      <c r="K6" s="191">
        <v>44986</v>
      </c>
      <c r="L6" s="191">
        <v>44958</v>
      </c>
      <c r="M6" s="192">
        <v>44927</v>
      </c>
      <c r="N6" s="191" t="s">
        <v>3</v>
      </c>
      <c r="O6" s="192" t="s">
        <v>4</v>
      </c>
      <c r="P6" s="430" t="s">
        <v>397</v>
      </c>
    </row>
    <row r="7" spans="1:20" ht="14.25" customHeight="1" thickBot="1">
      <c r="A7" s="841" t="s">
        <v>42</v>
      </c>
      <c r="B7" s="704"/>
      <c r="C7" s="802"/>
      <c r="D7" s="799"/>
      <c r="E7" s="800"/>
      <c r="F7" s="800"/>
      <c r="G7" s="801"/>
      <c r="H7" s="801"/>
      <c r="I7" s="801"/>
      <c r="J7" s="800"/>
      <c r="K7" s="800"/>
      <c r="L7" s="800"/>
      <c r="M7" s="64">
        <v>501</v>
      </c>
      <c r="N7" s="367">
        <f>SUM(B7:M7)</f>
        <v>501</v>
      </c>
      <c r="O7" s="363">
        <f>AVERAGE(B7:M7)</f>
        <v>501</v>
      </c>
      <c r="P7" s="421">
        <f>(M7*100)/$P$1</f>
        <v>11.768851303735024</v>
      </c>
      <c r="S7" s="53"/>
      <c r="T7" s="53"/>
    </row>
    <row r="8" spans="1:20" ht="15" customHeight="1" thickBot="1">
      <c r="A8" s="841" t="s">
        <v>368</v>
      </c>
      <c r="B8" s="704"/>
      <c r="C8" s="802"/>
      <c r="D8" s="799"/>
      <c r="E8" s="800"/>
      <c r="F8" s="800"/>
      <c r="G8" s="801"/>
      <c r="H8" s="801"/>
      <c r="I8" s="801"/>
      <c r="J8" s="800"/>
      <c r="K8" s="800"/>
      <c r="L8" s="800"/>
      <c r="M8" s="134">
        <v>337</v>
      </c>
      <c r="N8" s="891">
        <f t="shared" ref="N8:N16" si="0">SUM(B8:M8)</f>
        <v>337</v>
      </c>
      <c r="O8" s="184">
        <f t="shared" ref="O8:O16" si="1">AVERAGE(B8:M8)</f>
        <v>337</v>
      </c>
      <c r="P8" s="421">
        <f t="shared" ref="P8:P17" si="2">(M8*100)/$P$1</f>
        <v>7.9163730326521025</v>
      </c>
      <c r="S8" s="53"/>
      <c r="T8" s="53"/>
    </row>
    <row r="9" spans="1:20" ht="15.75" thickBot="1">
      <c r="A9" s="841" t="s">
        <v>31</v>
      </c>
      <c r="B9" s="704"/>
      <c r="C9" s="802"/>
      <c r="D9" s="799"/>
      <c r="E9" s="800"/>
      <c r="F9" s="800"/>
      <c r="G9" s="801"/>
      <c r="H9" s="801"/>
      <c r="I9" s="801"/>
      <c r="J9" s="800"/>
      <c r="K9" s="800"/>
      <c r="L9" s="800"/>
      <c r="M9" s="134">
        <v>301</v>
      </c>
      <c r="N9" s="891">
        <f t="shared" si="0"/>
        <v>301</v>
      </c>
      <c r="O9" s="184">
        <f t="shared" si="1"/>
        <v>301</v>
      </c>
      <c r="P9" s="421">
        <f t="shared" si="2"/>
        <v>7.0707070707070709</v>
      </c>
      <c r="S9" s="53"/>
      <c r="T9" s="53"/>
    </row>
    <row r="10" spans="1:20" ht="15.75" thickBot="1">
      <c r="A10" s="841" t="s">
        <v>40</v>
      </c>
      <c r="B10" s="704"/>
      <c r="C10" s="802"/>
      <c r="D10" s="799"/>
      <c r="E10" s="800"/>
      <c r="F10" s="800"/>
      <c r="G10" s="801"/>
      <c r="H10" s="801"/>
      <c r="I10" s="801"/>
      <c r="J10" s="800"/>
      <c r="K10" s="800"/>
      <c r="L10" s="800"/>
      <c r="M10" s="134">
        <v>263</v>
      </c>
      <c r="N10" s="891">
        <f t="shared" si="0"/>
        <v>263</v>
      </c>
      <c r="O10" s="184">
        <f t="shared" si="1"/>
        <v>263</v>
      </c>
      <c r="P10" s="421">
        <f t="shared" si="2"/>
        <v>6.1780596664317597</v>
      </c>
      <c r="S10" s="53"/>
      <c r="T10" s="53"/>
    </row>
    <row r="11" spans="1:20" ht="15.75" thickBot="1">
      <c r="A11" s="841" t="s">
        <v>399</v>
      </c>
      <c r="B11" s="704"/>
      <c r="C11" s="802"/>
      <c r="D11" s="799"/>
      <c r="E11" s="800"/>
      <c r="F11" s="800"/>
      <c r="G11" s="801"/>
      <c r="H11" s="801"/>
      <c r="I11" s="801"/>
      <c r="J11" s="800"/>
      <c r="K11" s="800"/>
      <c r="L11" s="800"/>
      <c r="M11" s="134">
        <v>239</v>
      </c>
      <c r="N11" s="891">
        <f t="shared" si="0"/>
        <v>239</v>
      </c>
      <c r="O11" s="184">
        <f t="shared" si="1"/>
        <v>239</v>
      </c>
      <c r="P11" s="421">
        <f t="shared" si="2"/>
        <v>5.6142823584684054</v>
      </c>
      <c r="S11" s="53"/>
      <c r="T11" s="53"/>
    </row>
    <row r="12" spans="1:20" ht="15" customHeight="1" thickBot="1">
      <c r="A12" s="841" t="s">
        <v>103</v>
      </c>
      <c r="B12" s="704"/>
      <c r="C12" s="802"/>
      <c r="D12" s="799"/>
      <c r="E12" s="800"/>
      <c r="F12" s="800"/>
      <c r="G12" s="801"/>
      <c r="H12" s="801"/>
      <c r="I12" s="801"/>
      <c r="J12" s="800"/>
      <c r="K12" s="800"/>
      <c r="L12" s="800"/>
      <c r="M12" s="134">
        <v>151</v>
      </c>
      <c r="N12" s="891">
        <f t="shared" si="0"/>
        <v>151</v>
      </c>
      <c r="O12" s="184">
        <f t="shared" si="1"/>
        <v>151</v>
      </c>
      <c r="P12" s="421">
        <f t="shared" si="2"/>
        <v>3.5470988959361054</v>
      </c>
      <c r="S12" s="53"/>
      <c r="T12" s="53"/>
    </row>
    <row r="13" spans="1:20" ht="15.75" thickBot="1">
      <c r="A13" s="841" t="s">
        <v>367</v>
      </c>
      <c r="B13" s="704"/>
      <c r="C13" s="802"/>
      <c r="D13" s="799"/>
      <c r="E13" s="800"/>
      <c r="F13" s="800"/>
      <c r="G13" s="801"/>
      <c r="H13" s="801"/>
      <c r="I13" s="801"/>
      <c r="J13" s="800"/>
      <c r="K13" s="800"/>
      <c r="L13" s="800"/>
      <c r="M13" s="134">
        <v>138</v>
      </c>
      <c r="N13" s="891">
        <f t="shared" si="0"/>
        <v>138</v>
      </c>
      <c r="O13" s="184">
        <f t="shared" si="1"/>
        <v>138</v>
      </c>
      <c r="P13" s="421">
        <f t="shared" si="2"/>
        <v>3.2417195207892884</v>
      </c>
      <c r="S13" s="53"/>
      <c r="T13" s="53"/>
    </row>
    <row r="14" spans="1:20" ht="15.75" thickBot="1">
      <c r="A14" s="841" t="s">
        <v>400</v>
      </c>
      <c r="B14" s="704"/>
      <c r="C14" s="802"/>
      <c r="D14" s="799"/>
      <c r="E14" s="800"/>
      <c r="F14" s="800"/>
      <c r="G14" s="801"/>
      <c r="H14" s="801"/>
      <c r="I14" s="801"/>
      <c r="J14" s="800"/>
      <c r="K14" s="800"/>
      <c r="L14" s="800"/>
      <c r="M14" s="134">
        <v>129</v>
      </c>
      <c r="N14" s="891">
        <f t="shared" si="0"/>
        <v>129</v>
      </c>
      <c r="O14" s="184">
        <f t="shared" si="1"/>
        <v>129</v>
      </c>
      <c r="P14" s="421">
        <f t="shared" si="2"/>
        <v>3.0303030303030303</v>
      </c>
      <c r="S14" s="53"/>
      <c r="T14" s="53"/>
    </row>
    <row r="15" spans="1:20" ht="15.75" thickBot="1">
      <c r="A15" s="841" t="s">
        <v>74</v>
      </c>
      <c r="B15" s="704"/>
      <c r="C15" s="802"/>
      <c r="D15" s="799"/>
      <c r="E15" s="800"/>
      <c r="F15" s="800"/>
      <c r="G15" s="801"/>
      <c r="H15" s="801"/>
      <c r="I15" s="801"/>
      <c r="J15" s="800"/>
      <c r="K15" s="800"/>
      <c r="L15" s="800"/>
      <c r="M15" s="134">
        <v>118</v>
      </c>
      <c r="N15" s="891">
        <f t="shared" si="0"/>
        <v>118</v>
      </c>
      <c r="O15" s="184">
        <f t="shared" si="1"/>
        <v>118</v>
      </c>
      <c r="P15" s="421">
        <f t="shared" si="2"/>
        <v>2.7719050974864929</v>
      </c>
      <c r="S15" s="53"/>
      <c r="T15" s="53"/>
    </row>
    <row r="16" spans="1:20" ht="15.75" thickBot="1">
      <c r="A16" s="889" t="s">
        <v>79</v>
      </c>
      <c r="B16" s="890"/>
      <c r="C16" s="802"/>
      <c r="D16" s="799"/>
      <c r="E16" s="800"/>
      <c r="F16" s="800"/>
      <c r="G16" s="801"/>
      <c r="H16" s="801"/>
      <c r="I16" s="801"/>
      <c r="J16" s="800"/>
      <c r="K16" s="800"/>
      <c r="L16" s="800"/>
      <c r="M16" s="892">
        <v>113</v>
      </c>
      <c r="N16" s="368">
        <f t="shared" si="0"/>
        <v>113</v>
      </c>
      <c r="O16" s="364">
        <f t="shared" si="1"/>
        <v>113</v>
      </c>
      <c r="P16" s="421">
        <f t="shared" si="2"/>
        <v>2.6544514916607942</v>
      </c>
      <c r="S16" s="53"/>
      <c r="T16" s="53"/>
    </row>
    <row r="17" spans="1:41" ht="15.75" customHeight="1" thickBot="1">
      <c r="A17" s="194" t="s">
        <v>3</v>
      </c>
      <c r="B17" s="365">
        <f t="shared" ref="B17:I17" si="3">SUM(B7:B16)</f>
        <v>0</v>
      </c>
      <c r="C17" s="153">
        <f t="shared" si="3"/>
        <v>0</v>
      </c>
      <c r="D17" s="366">
        <f t="shared" si="3"/>
        <v>0</v>
      </c>
      <c r="E17" s="366">
        <f>SUM(E7:E16)</f>
        <v>0</v>
      </c>
      <c r="F17" s="366">
        <f>SUM(F7:F16)</f>
        <v>0</v>
      </c>
      <c r="G17" s="366">
        <f>SUM(G7:G16)</f>
        <v>0</v>
      </c>
      <c r="H17" s="366">
        <f>SUM(H7:H16)</f>
        <v>0</v>
      </c>
      <c r="I17" s="366">
        <f t="shared" si="3"/>
        <v>0</v>
      </c>
      <c r="J17" s="366">
        <f>SUM(J7:J16)</f>
        <v>0</v>
      </c>
      <c r="K17" s="366">
        <f>SUM(K7:K16)</f>
        <v>0</v>
      </c>
      <c r="L17" s="366">
        <f>SUM(L7:L16)</f>
        <v>0</v>
      </c>
      <c r="M17" s="366">
        <f>SUM(M7:M16)</f>
        <v>2290</v>
      </c>
      <c r="N17" s="154">
        <f>SUM(N7:N16)</f>
        <v>2290</v>
      </c>
      <c r="O17" s="422">
        <f>(D17+C17+D17+E17+F17+G17+H17+I17+J17+K17+L17+M17)/12</f>
        <v>190.83333333333334</v>
      </c>
      <c r="P17" s="462">
        <f t="shared" si="2"/>
        <v>53.793751468170072</v>
      </c>
      <c r="S17" s="53"/>
      <c r="T17" s="53"/>
    </row>
    <row r="18" spans="1:41" s="140" customFormat="1" ht="23.25" customHeight="1">
      <c r="A18" s="140" t="s">
        <v>147</v>
      </c>
      <c r="C18" s="887"/>
      <c r="O18" s="140" t="s">
        <v>148</v>
      </c>
      <c r="P18" s="155">
        <f>100-P17</f>
        <v>46.206248531829928</v>
      </c>
    </row>
    <row r="19" spans="1:41" s="138" customFormat="1" ht="54.75" customHeight="1">
      <c r="A19" s="879"/>
      <c r="B19" s="879"/>
      <c r="C19" s="880"/>
      <c r="D19" s="981"/>
      <c r="E19" s="982"/>
      <c r="F19" s="982"/>
      <c r="G19" s="982"/>
      <c r="H19" s="982"/>
      <c r="W19" s="881"/>
    </row>
    <row r="20" spans="1:41" s="138" customFormat="1">
      <c r="A20" s="882"/>
      <c r="B20" s="882"/>
      <c r="C20" s="883"/>
      <c r="E20" s="881"/>
      <c r="O20" s="881"/>
      <c r="W20" s="881"/>
      <c r="AC20" s="779"/>
      <c r="AD20" s="139"/>
      <c r="AE20" s="139"/>
      <c r="AF20" s="139"/>
      <c r="AG20" s="139"/>
      <c r="AH20" s="139"/>
      <c r="AI20" s="139"/>
      <c r="AJ20" s="780"/>
      <c r="AK20" s="139"/>
      <c r="AL20" s="139"/>
      <c r="AM20" s="139"/>
      <c r="AN20" s="139"/>
      <c r="AO20" s="174"/>
    </row>
    <row r="21" spans="1:41" s="138" customFormat="1" ht="92.25" customHeight="1">
      <c r="A21" s="879"/>
      <c r="B21" s="879"/>
      <c r="C21" s="880"/>
      <c r="D21" s="981"/>
      <c r="E21" s="982"/>
      <c r="F21" s="982"/>
      <c r="G21" s="982"/>
      <c r="H21" s="982"/>
      <c r="L21" s="884"/>
      <c r="W21" s="881"/>
      <c r="AC21" s="779"/>
      <c r="AD21" s="139"/>
      <c r="AE21" s="139"/>
      <c r="AF21" s="139"/>
      <c r="AG21" s="139"/>
      <c r="AH21" s="139"/>
      <c r="AI21" s="139"/>
      <c r="AJ21" s="780"/>
      <c r="AK21" s="139"/>
      <c r="AL21" s="139"/>
      <c r="AM21" s="139"/>
      <c r="AN21" s="139"/>
      <c r="AO21" s="174"/>
    </row>
    <row r="22" spans="1:41" s="138" customFormat="1">
      <c r="A22" s="879"/>
      <c r="B22" s="879"/>
      <c r="C22" s="880"/>
      <c r="E22" s="881"/>
      <c r="O22" s="881"/>
      <c r="W22" s="885"/>
      <c r="AC22" s="779"/>
      <c r="AD22" s="139"/>
      <c r="AE22" s="139"/>
      <c r="AF22" s="139"/>
      <c r="AG22" s="139"/>
      <c r="AH22" s="139"/>
      <c r="AI22" s="139"/>
      <c r="AJ22" s="780"/>
      <c r="AK22" s="139"/>
      <c r="AL22" s="139"/>
      <c r="AM22" s="139"/>
      <c r="AN22" s="139"/>
      <c r="AO22" s="174"/>
    </row>
    <row r="23" spans="1:41" s="138" customFormat="1" ht="66.75" customHeight="1">
      <c r="A23" s="879"/>
      <c r="B23" s="879"/>
      <c r="C23" s="880"/>
      <c r="D23" s="981"/>
      <c r="E23" s="982"/>
      <c r="F23" s="982"/>
      <c r="G23" s="982"/>
      <c r="H23" s="982"/>
      <c r="W23" s="881"/>
      <c r="AC23" s="779"/>
      <c r="AD23" s="139"/>
      <c r="AE23" s="139"/>
      <c r="AF23" s="139"/>
      <c r="AG23" s="139"/>
      <c r="AH23" s="139"/>
      <c r="AI23" s="139"/>
      <c r="AJ23" s="780"/>
      <c r="AK23" s="139"/>
      <c r="AL23" s="139"/>
      <c r="AM23" s="139"/>
      <c r="AN23" s="139"/>
      <c r="AO23" s="174"/>
    </row>
    <row r="24" spans="1:41" s="138" customFormat="1">
      <c r="A24" s="882"/>
      <c r="B24" s="882"/>
      <c r="C24" s="883"/>
      <c r="E24" s="881"/>
      <c r="W24" s="881"/>
      <c r="AC24" s="779"/>
      <c r="AD24" s="139"/>
      <c r="AE24" s="139"/>
      <c r="AF24" s="139"/>
      <c r="AG24" s="139"/>
      <c r="AH24" s="139"/>
      <c r="AI24" s="139"/>
      <c r="AJ24" s="780"/>
      <c r="AK24" s="139"/>
      <c r="AL24" s="139"/>
      <c r="AM24" s="139"/>
      <c r="AN24" s="139"/>
      <c r="AO24" s="174"/>
    </row>
    <row r="25" spans="1:41" s="138" customFormat="1">
      <c r="A25" s="879"/>
      <c r="B25" s="879"/>
      <c r="C25" s="880"/>
      <c r="E25" s="881"/>
      <c r="W25" s="881"/>
      <c r="AC25" s="779"/>
      <c r="AD25" s="139"/>
      <c r="AE25" s="139"/>
      <c r="AF25" s="139"/>
      <c r="AG25" s="139"/>
      <c r="AH25" s="139"/>
      <c r="AI25" s="139"/>
      <c r="AJ25" s="780"/>
      <c r="AK25" s="139"/>
      <c r="AL25" s="139"/>
      <c r="AM25" s="139"/>
      <c r="AN25" s="139"/>
      <c r="AO25" s="174"/>
    </row>
    <row r="26" spans="1:41" s="138" customFormat="1">
      <c r="C26" s="780"/>
      <c r="E26" s="881"/>
      <c r="G26" s="881"/>
      <c r="AC26" s="779"/>
      <c r="AD26" s="139"/>
      <c r="AE26" s="139"/>
      <c r="AF26" s="139"/>
      <c r="AG26" s="139"/>
      <c r="AH26" s="139"/>
      <c r="AI26" s="139"/>
      <c r="AJ26" s="780"/>
      <c r="AK26" s="139"/>
      <c r="AL26" s="139"/>
      <c r="AM26" s="139"/>
      <c r="AN26" s="139"/>
      <c r="AO26" s="174"/>
    </row>
    <row r="27" spans="1:41" s="138" customFormat="1">
      <c r="C27" s="780"/>
      <c r="E27" s="881"/>
      <c r="G27" s="881"/>
      <c r="R27" s="779"/>
      <c r="S27" s="139"/>
      <c r="T27" s="174"/>
      <c r="U27" s="174"/>
      <c r="V27" s="174"/>
      <c r="W27" s="886"/>
      <c r="AC27" s="779"/>
      <c r="AD27" s="139"/>
      <c r="AE27" s="139"/>
      <c r="AF27" s="139"/>
      <c r="AG27" s="139"/>
      <c r="AH27" s="139"/>
      <c r="AI27" s="139"/>
      <c r="AJ27" s="780"/>
      <c r="AK27" s="139"/>
      <c r="AL27" s="139"/>
      <c r="AM27" s="139"/>
      <c r="AN27" s="139"/>
      <c r="AO27" s="174"/>
    </row>
    <row r="28" spans="1:41" s="138" customFormat="1">
      <c r="C28" s="780"/>
      <c r="E28" s="881"/>
      <c r="G28" s="881"/>
      <c r="R28" s="779"/>
      <c r="S28" s="139"/>
      <c r="T28" s="174"/>
      <c r="U28" s="174"/>
      <c r="V28" s="174"/>
      <c r="W28" s="886"/>
      <c r="AC28" s="779"/>
      <c r="AD28" s="139"/>
      <c r="AE28" s="139"/>
      <c r="AF28" s="139"/>
      <c r="AG28" s="139"/>
      <c r="AH28" s="139"/>
      <c r="AI28" s="139"/>
      <c r="AJ28" s="780"/>
      <c r="AK28" s="139"/>
      <c r="AL28" s="139"/>
      <c r="AM28" s="139"/>
      <c r="AN28" s="139"/>
      <c r="AO28" s="174"/>
    </row>
    <row r="29" spans="1:41" s="138" customFormat="1">
      <c r="C29" s="780"/>
      <c r="E29" s="881"/>
      <c r="G29" s="881"/>
      <c r="R29" s="779"/>
      <c r="S29" s="139"/>
      <c r="T29" s="174"/>
      <c r="U29" s="174"/>
      <c r="V29" s="174"/>
      <c r="W29" s="886"/>
      <c r="AC29" s="779"/>
      <c r="AD29" s="139"/>
      <c r="AE29" s="139"/>
      <c r="AF29" s="139"/>
      <c r="AG29" s="139"/>
      <c r="AH29" s="139"/>
      <c r="AI29" s="139"/>
      <c r="AJ29" s="780"/>
      <c r="AK29" s="139"/>
      <c r="AL29" s="139"/>
      <c r="AM29" s="139"/>
      <c r="AN29" s="139"/>
      <c r="AO29" s="174"/>
    </row>
    <row r="30" spans="1:41" s="138" customFormat="1">
      <c r="C30" s="780"/>
      <c r="E30" s="881"/>
      <c r="G30" s="881"/>
      <c r="R30" s="779"/>
      <c r="S30" s="139"/>
      <c r="T30" s="174"/>
      <c r="U30" s="174"/>
      <c r="V30" s="174"/>
      <c r="W30" s="886"/>
      <c r="AO30" s="881"/>
    </row>
    <row r="31" spans="1:41" s="138" customFormat="1">
      <c r="C31" s="780"/>
      <c r="E31" s="881"/>
      <c r="G31" s="881"/>
      <c r="R31" s="779"/>
      <c r="S31" s="139"/>
      <c r="T31" s="174"/>
      <c r="U31" s="174"/>
      <c r="V31" s="174"/>
      <c r="W31" s="886"/>
    </row>
    <row r="32" spans="1:41" s="138" customFormat="1">
      <c r="C32" s="780"/>
      <c r="E32" s="881"/>
      <c r="G32" s="881"/>
      <c r="R32" s="779"/>
      <c r="S32" s="139"/>
      <c r="T32" s="174"/>
      <c r="U32" s="174"/>
      <c r="V32" s="174"/>
      <c r="W32" s="886"/>
    </row>
    <row r="33" spans="1:23" s="138" customFormat="1">
      <c r="C33" s="780"/>
      <c r="E33" s="881"/>
      <c r="G33" s="881"/>
      <c r="R33" s="779"/>
      <c r="S33" s="139"/>
      <c r="T33" s="174"/>
      <c r="U33" s="174"/>
      <c r="V33" s="174"/>
      <c r="W33" s="886"/>
    </row>
    <row r="34" spans="1:23" s="138" customFormat="1">
      <c r="C34" s="780"/>
      <c r="E34" s="881"/>
      <c r="G34" s="881"/>
      <c r="R34" s="779"/>
      <c r="S34" s="139"/>
      <c r="T34" s="174"/>
      <c r="U34" s="174"/>
      <c r="V34" s="174"/>
      <c r="W34" s="886"/>
    </row>
    <row r="35" spans="1:23" s="138" customFormat="1">
      <c r="C35" s="780"/>
      <c r="E35" s="881"/>
      <c r="G35" s="881"/>
      <c r="R35" s="779"/>
      <c r="S35" s="139"/>
      <c r="T35" s="174"/>
      <c r="U35" s="174"/>
      <c r="V35" s="174"/>
      <c r="W35" s="886"/>
    </row>
    <row r="36" spans="1:23" s="138" customFormat="1">
      <c r="C36" s="780"/>
      <c r="E36" s="881"/>
      <c r="G36" s="881"/>
      <c r="R36" s="779"/>
      <c r="S36" s="139"/>
      <c r="T36" s="174"/>
      <c r="U36" s="174"/>
      <c r="V36" s="174"/>
      <c r="W36" s="886"/>
    </row>
    <row r="37" spans="1:23" s="138" customFormat="1">
      <c r="C37" s="780"/>
      <c r="E37" s="881"/>
      <c r="G37" s="881"/>
    </row>
    <row r="38" spans="1:23" s="138" customFormat="1">
      <c r="C38" s="780"/>
      <c r="E38" s="881"/>
      <c r="G38" s="881"/>
    </row>
    <row r="42" spans="1:23" ht="14.25" customHeight="1"/>
    <row r="43" spans="1:23">
      <c r="A43" s="61"/>
      <c r="B43" s="61"/>
      <c r="C43" s="62"/>
      <c r="D43" s="61"/>
    </row>
    <row r="44" spans="1:23" ht="14.25" customHeight="1"/>
    <row r="45" spans="1:23">
      <c r="A45" s="61"/>
      <c r="B45" s="61"/>
      <c r="C45" s="62"/>
      <c r="D45" s="61"/>
    </row>
    <row r="46" spans="1:23" ht="14.25" customHeight="1"/>
  </sheetData>
  <mergeCells count="3">
    <mergeCell ref="D19:H19"/>
    <mergeCell ref="D21:H21"/>
    <mergeCell ref="D23:H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I17:M17 B17:H17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opLeftCell="A7" workbookViewId="0"/>
  </sheetViews>
  <sheetFormatPr defaultRowHeight="14.25"/>
  <cols>
    <col min="1" max="1" width="14" style="23" customWidth="1"/>
    <col min="2" max="2" width="16.5703125" style="53" customWidth="1"/>
    <col min="3" max="3" width="13.85546875" style="53" bestFit="1" customWidth="1"/>
    <col min="4" max="4" width="6.28515625" style="23" bestFit="1" customWidth="1"/>
    <col min="5" max="5" width="12" style="23" bestFit="1" customWidth="1"/>
    <col min="6" max="6" width="15" style="23" bestFit="1" customWidth="1"/>
    <col min="7" max="7" width="13.85546875" style="23" bestFit="1" customWidth="1"/>
    <col min="8" max="8" width="5.42578125" style="23" customWidth="1"/>
    <col min="9" max="9" width="11.85546875" style="23" customWidth="1"/>
    <col min="10" max="10" width="15" style="23" bestFit="1" customWidth="1"/>
    <col min="11" max="11" width="13.85546875" style="23" bestFit="1" customWidth="1"/>
    <col min="12" max="12" width="7.140625" style="23" customWidth="1"/>
    <col min="13" max="13" width="12.7109375" style="23" customWidth="1"/>
    <col min="14" max="14" width="15" style="23" bestFit="1" customWidth="1"/>
    <col min="15" max="15" width="13.85546875" style="23" bestFit="1" customWidth="1"/>
    <col min="16" max="16" width="9.140625" style="23" customWidth="1"/>
    <col min="17" max="17" width="5.5703125" style="23" customWidth="1"/>
    <col min="18" max="18" width="9.140625" style="23" customWidth="1"/>
    <col min="19" max="16384" width="9.140625" style="23"/>
  </cols>
  <sheetData>
    <row r="1" spans="1:15" ht="15">
      <c r="A1" s="5" t="s">
        <v>0</v>
      </c>
    </row>
    <row r="2" spans="1:15" ht="15">
      <c r="A2" s="5" t="s">
        <v>1</v>
      </c>
    </row>
    <row r="3" spans="1:15" ht="15">
      <c r="A3" s="5"/>
    </row>
    <row r="4" spans="1:15" ht="15">
      <c r="A4" s="5" t="s">
        <v>398</v>
      </c>
    </row>
    <row r="5" spans="1:15" ht="15.75" thickBot="1">
      <c r="A5" s="5"/>
    </row>
    <row r="6" spans="1:15" ht="15">
      <c r="A6" s="985" t="s">
        <v>149</v>
      </c>
      <c r="B6" s="985"/>
      <c r="C6" s="985"/>
      <c r="D6" s="985"/>
      <c r="E6" s="985"/>
      <c r="F6" s="5"/>
    </row>
    <row r="7" spans="1:15" ht="15">
      <c r="A7" s="69" t="s">
        <v>150</v>
      </c>
      <c r="B7" s="70"/>
      <c r="C7" s="70"/>
      <c r="D7" s="71"/>
      <c r="E7" s="72"/>
      <c r="F7" s="5"/>
    </row>
    <row r="8" spans="1:15" ht="15" thickBot="1">
      <c r="B8" s="23"/>
      <c r="C8" s="23"/>
    </row>
    <row r="9" spans="1:15" s="73" customFormat="1" ht="30.75" customHeight="1" thickBot="1">
      <c r="A9" s="984" t="str">
        <f>'10_Assuntos_+_demadados_2023'!A7</f>
        <v>Cadastro Único (CadÚnico)</v>
      </c>
      <c r="B9" s="984"/>
      <c r="C9" s="984"/>
      <c r="E9" s="984" t="str">
        <f>'10_Assuntos_+_demadados_2023'!A8</f>
        <v>Qualidade de atendimento</v>
      </c>
      <c r="F9" s="984"/>
      <c r="G9" s="984"/>
      <c r="I9" s="983" t="str">
        <f>'10_Assuntos_+_demadados_2023'!A9</f>
        <v>Árvore</v>
      </c>
      <c r="J9" s="983"/>
      <c r="K9" s="983"/>
      <c r="M9" s="984" t="str">
        <f>'10_Assuntos_+_demadados_2023'!A10</f>
        <v>Buraco e pavimentação</v>
      </c>
      <c r="N9" s="984"/>
      <c r="O9" s="984"/>
    </row>
    <row r="10" spans="1:15" ht="15.75" thickBot="1">
      <c r="A10" s="18" t="s">
        <v>7</v>
      </c>
      <c r="B10" s="18" t="s">
        <v>151</v>
      </c>
      <c r="C10" s="19" t="s">
        <v>152</v>
      </c>
      <c r="E10" s="18" t="s">
        <v>7</v>
      </c>
      <c r="F10" s="74" t="s">
        <v>151</v>
      </c>
      <c r="G10" s="74" t="s">
        <v>152</v>
      </c>
      <c r="I10" s="18" t="s">
        <v>7</v>
      </c>
      <c r="J10" s="74" t="s">
        <v>151</v>
      </c>
      <c r="K10" s="74" t="s">
        <v>152</v>
      </c>
      <c r="M10" s="18" t="s">
        <v>7</v>
      </c>
      <c r="N10" s="74" t="s">
        <v>151</v>
      </c>
      <c r="O10" s="74" t="s">
        <v>152</v>
      </c>
    </row>
    <row r="11" spans="1:15" ht="15">
      <c r="A11" s="466">
        <v>44927</v>
      </c>
      <c r="B11" s="463">
        <f>'10_Assuntos_+_demadados_2023'!M7</f>
        <v>501</v>
      </c>
      <c r="C11" s="338">
        <f>((B11-372)/372)*100</f>
        <v>34.677419354838712</v>
      </c>
      <c r="E11" s="466">
        <v>44927</v>
      </c>
      <c r="F11" s="75">
        <f>'10_Assuntos_+_demadados_2023'!M8</f>
        <v>337</v>
      </c>
      <c r="G11" s="21">
        <f>((F11-286)/286)*100</f>
        <v>17.832167832167833</v>
      </c>
      <c r="I11" s="466">
        <v>44927</v>
      </c>
      <c r="J11" s="75">
        <f>'10_Assuntos_+_demadados_2023'!M9</f>
        <v>301</v>
      </c>
      <c r="K11" s="21">
        <f>((J11-182)/182)*100</f>
        <v>65.384615384615387</v>
      </c>
      <c r="M11" s="466">
        <v>44927</v>
      </c>
      <c r="N11" s="75">
        <f>'10_Assuntos_+_demadados_2023'!M10</f>
        <v>263</v>
      </c>
      <c r="O11" s="21">
        <f>((N11-196)/196)*100</f>
        <v>34.183673469387756</v>
      </c>
    </row>
    <row r="12" spans="1:15" ht="15">
      <c r="A12" s="467">
        <v>44958</v>
      </c>
      <c r="B12" s="464">
        <f>'10_Assuntos_+_demadados_2023'!L7</f>
        <v>0</v>
      </c>
      <c r="C12" s="338">
        <f t="shared" ref="C12:C22" si="0">((B12-B11)/B11)*100</f>
        <v>-100</v>
      </c>
      <c r="E12" s="467">
        <v>44958</v>
      </c>
      <c r="F12" s="76">
        <f>'10_Assuntos_+_demadados_2023'!L8</f>
        <v>0</v>
      </c>
      <c r="G12" s="21">
        <f t="shared" ref="G12:G22" si="1">((F12-F11)/F11)*100</f>
        <v>-100</v>
      </c>
      <c r="I12" s="467">
        <v>44958</v>
      </c>
      <c r="J12" s="76">
        <f>'10_Assuntos_+_demadados_2023'!L9</f>
        <v>0</v>
      </c>
      <c r="K12" s="21">
        <f t="shared" ref="K12:K22" si="2">((J12-J11)/J11)*100</f>
        <v>-100</v>
      </c>
      <c r="M12" s="467">
        <v>44958</v>
      </c>
      <c r="N12" s="76">
        <f>'10_Assuntos_+_demadados_2023'!L10</f>
        <v>0</v>
      </c>
      <c r="O12" s="21">
        <f t="shared" ref="O12:O22" si="3">((N12-N11)/N11)*100</f>
        <v>-100</v>
      </c>
    </row>
    <row r="13" spans="1:15" ht="15">
      <c r="A13" s="467">
        <v>44986</v>
      </c>
      <c r="B13" s="464">
        <f>'10_Assuntos_+_demadados_2023'!K7</f>
        <v>0</v>
      </c>
      <c r="C13" s="338" t="e">
        <f t="shared" si="0"/>
        <v>#DIV/0!</v>
      </c>
      <c r="E13" s="467">
        <v>44986</v>
      </c>
      <c r="F13" s="76">
        <f>'10_Assuntos_+_demadados_2023'!K8</f>
        <v>0</v>
      </c>
      <c r="G13" s="21" t="e">
        <f t="shared" si="1"/>
        <v>#DIV/0!</v>
      </c>
      <c r="I13" s="467">
        <v>44986</v>
      </c>
      <c r="J13" s="76">
        <f>'10_Assuntos_+_demadados_2023'!K9</f>
        <v>0</v>
      </c>
      <c r="K13" s="21" t="e">
        <f t="shared" si="2"/>
        <v>#DIV/0!</v>
      </c>
      <c r="M13" s="467">
        <v>44986</v>
      </c>
      <c r="N13" s="76">
        <f>'10_Assuntos_+_demadados_2023'!K10</f>
        <v>0</v>
      </c>
      <c r="O13" s="21" t="e">
        <f t="shared" si="3"/>
        <v>#DIV/0!</v>
      </c>
    </row>
    <row r="14" spans="1:15" ht="15">
      <c r="A14" s="467">
        <v>45017</v>
      </c>
      <c r="B14" s="464">
        <f>'10_Assuntos_+_demadados_2023'!J7</f>
        <v>0</v>
      </c>
      <c r="C14" s="338" t="e">
        <f t="shared" si="0"/>
        <v>#DIV/0!</v>
      </c>
      <c r="E14" s="467">
        <v>45017</v>
      </c>
      <c r="F14" s="76">
        <f>'10_Assuntos_+_demadados_2023'!J8</f>
        <v>0</v>
      </c>
      <c r="G14" s="21" t="e">
        <f t="shared" si="1"/>
        <v>#DIV/0!</v>
      </c>
      <c r="I14" s="467">
        <v>45017</v>
      </c>
      <c r="J14" s="76">
        <f>'10_Assuntos_+_demadados_2023'!J9</f>
        <v>0</v>
      </c>
      <c r="K14" s="21" t="e">
        <f t="shared" si="2"/>
        <v>#DIV/0!</v>
      </c>
      <c r="M14" s="467">
        <v>45017</v>
      </c>
      <c r="N14" s="76">
        <f>'10_Assuntos_+_demadados_2023'!J10</f>
        <v>0</v>
      </c>
      <c r="O14" s="21" t="e">
        <f t="shared" si="3"/>
        <v>#DIV/0!</v>
      </c>
    </row>
    <row r="15" spans="1:15" ht="15">
      <c r="A15" s="467">
        <v>45047</v>
      </c>
      <c r="B15" s="464">
        <f>'10_Assuntos_+_demadados_2023'!I7</f>
        <v>0</v>
      </c>
      <c r="C15" s="338" t="e">
        <f t="shared" si="0"/>
        <v>#DIV/0!</v>
      </c>
      <c r="E15" s="467">
        <v>45047</v>
      </c>
      <c r="F15" s="76">
        <f>'10_Assuntos_+_demadados_2023'!I8</f>
        <v>0</v>
      </c>
      <c r="G15" s="21" t="e">
        <f t="shared" si="1"/>
        <v>#DIV/0!</v>
      </c>
      <c r="I15" s="467">
        <v>45047</v>
      </c>
      <c r="J15" s="76">
        <f>'10_Assuntos_+_demadados_2023'!I9</f>
        <v>0</v>
      </c>
      <c r="K15" s="21" t="e">
        <f t="shared" si="2"/>
        <v>#DIV/0!</v>
      </c>
      <c r="M15" s="467">
        <v>45047</v>
      </c>
      <c r="N15" s="76">
        <f>'10_Assuntos_+_demadados_2023'!I10</f>
        <v>0</v>
      </c>
      <c r="O15" s="21" t="e">
        <f t="shared" si="3"/>
        <v>#DIV/0!</v>
      </c>
    </row>
    <row r="16" spans="1:15" ht="15">
      <c r="A16" s="467">
        <v>45078</v>
      </c>
      <c r="B16" s="464">
        <f>'10_Assuntos_+_demadados_2023'!H7</f>
        <v>0</v>
      </c>
      <c r="C16" s="338" t="e">
        <f t="shared" si="0"/>
        <v>#DIV/0!</v>
      </c>
      <c r="E16" s="467">
        <v>45078</v>
      </c>
      <c r="F16" s="76">
        <f>'10_Assuntos_+_demadados_2023'!H8</f>
        <v>0</v>
      </c>
      <c r="G16" s="21" t="e">
        <f t="shared" si="1"/>
        <v>#DIV/0!</v>
      </c>
      <c r="I16" s="467">
        <v>45078</v>
      </c>
      <c r="J16" s="76">
        <f>'10_Assuntos_+_demadados_2023'!H9</f>
        <v>0</v>
      </c>
      <c r="K16" s="21" t="e">
        <f t="shared" si="2"/>
        <v>#DIV/0!</v>
      </c>
      <c r="M16" s="467">
        <v>45078</v>
      </c>
      <c r="N16" s="76">
        <f>'10_Assuntos_+_demadados_2023'!H10</f>
        <v>0</v>
      </c>
      <c r="O16" s="21" t="e">
        <f t="shared" si="3"/>
        <v>#DIV/0!</v>
      </c>
    </row>
    <row r="17" spans="1:15" ht="15">
      <c r="A17" s="467">
        <v>45108</v>
      </c>
      <c r="B17" s="464">
        <f>'10_Assuntos_+_demadados_2023'!G7</f>
        <v>0</v>
      </c>
      <c r="C17" s="338" t="e">
        <f t="shared" si="0"/>
        <v>#DIV/0!</v>
      </c>
      <c r="E17" s="467">
        <v>45108</v>
      </c>
      <c r="F17" s="76">
        <f>'10_Assuntos_+_demadados_2023'!G8</f>
        <v>0</v>
      </c>
      <c r="G17" s="21" t="e">
        <f t="shared" si="1"/>
        <v>#DIV/0!</v>
      </c>
      <c r="I17" s="467">
        <v>45108</v>
      </c>
      <c r="J17" s="76">
        <f>'10_Assuntos_+_demadados_2023'!G9</f>
        <v>0</v>
      </c>
      <c r="K17" s="21" t="e">
        <f t="shared" si="2"/>
        <v>#DIV/0!</v>
      </c>
      <c r="M17" s="467">
        <v>45108</v>
      </c>
      <c r="N17" s="76">
        <f>'10_Assuntos_+_demadados_2023'!G10</f>
        <v>0</v>
      </c>
      <c r="O17" s="21" t="e">
        <f t="shared" si="3"/>
        <v>#DIV/0!</v>
      </c>
    </row>
    <row r="18" spans="1:15" ht="15">
      <c r="A18" s="467">
        <v>45139</v>
      </c>
      <c r="B18" s="464">
        <f>'10_Assuntos_+_demadados_2023'!F7</f>
        <v>0</v>
      </c>
      <c r="C18" s="338" t="e">
        <f t="shared" si="0"/>
        <v>#DIV/0!</v>
      </c>
      <c r="E18" s="467">
        <v>45139</v>
      </c>
      <c r="F18" s="76">
        <f>'10_Assuntos_+_demadados_2023'!F8</f>
        <v>0</v>
      </c>
      <c r="G18" s="21" t="e">
        <f t="shared" si="1"/>
        <v>#DIV/0!</v>
      </c>
      <c r="I18" s="467">
        <v>45139</v>
      </c>
      <c r="J18" s="76">
        <f>'10_Assuntos_+_demadados_2023'!F9</f>
        <v>0</v>
      </c>
      <c r="K18" s="21" t="e">
        <f t="shared" si="2"/>
        <v>#DIV/0!</v>
      </c>
      <c r="M18" s="467">
        <v>45139</v>
      </c>
      <c r="N18" s="76">
        <f>'10_Assuntos_+_demadados_2023'!F10</f>
        <v>0</v>
      </c>
      <c r="O18" s="21" t="e">
        <f t="shared" si="3"/>
        <v>#DIV/0!</v>
      </c>
    </row>
    <row r="19" spans="1:15" ht="15">
      <c r="A19" s="467">
        <v>45170</v>
      </c>
      <c r="B19" s="464">
        <f>'10_Assuntos_+_demadados_2023'!E7</f>
        <v>0</v>
      </c>
      <c r="C19" s="338" t="e">
        <f t="shared" si="0"/>
        <v>#DIV/0!</v>
      </c>
      <c r="E19" s="467">
        <v>45170</v>
      </c>
      <c r="F19" s="76">
        <f>'10_Assuntos_+_demadados_2023'!E8</f>
        <v>0</v>
      </c>
      <c r="G19" s="21" t="e">
        <f t="shared" si="1"/>
        <v>#DIV/0!</v>
      </c>
      <c r="I19" s="467">
        <v>45170</v>
      </c>
      <c r="J19" s="76">
        <f>'10_Assuntos_+_demadados_2023'!E9</f>
        <v>0</v>
      </c>
      <c r="K19" s="21" t="e">
        <f t="shared" si="2"/>
        <v>#DIV/0!</v>
      </c>
      <c r="M19" s="467">
        <v>45170</v>
      </c>
      <c r="N19" s="76">
        <f>'10_Assuntos_+_demadados_2023'!E10</f>
        <v>0</v>
      </c>
      <c r="O19" s="21" t="e">
        <f t="shared" si="3"/>
        <v>#DIV/0!</v>
      </c>
    </row>
    <row r="20" spans="1:15" ht="15">
      <c r="A20" s="467">
        <v>45200</v>
      </c>
      <c r="B20" s="464">
        <f>'10_Assuntos_+_demadados_2023'!D7</f>
        <v>0</v>
      </c>
      <c r="C20" s="338" t="e">
        <f t="shared" si="0"/>
        <v>#DIV/0!</v>
      </c>
      <c r="E20" s="467">
        <v>45200</v>
      </c>
      <c r="F20" s="76">
        <f>'10_Assuntos_+_demadados_2023'!D8</f>
        <v>0</v>
      </c>
      <c r="G20" s="21" t="e">
        <f t="shared" si="1"/>
        <v>#DIV/0!</v>
      </c>
      <c r="I20" s="467">
        <v>45200</v>
      </c>
      <c r="J20" s="76">
        <f>'10_Assuntos_+_demadados_2023'!D9</f>
        <v>0</v>
      </c>
      <c r="K20" s="21" t="e">
        <f t="shared" si="2"/>
        <v>#DIV/0!</v>
      </c>
      <c r="M20" s="467">
        <v>45200</v>
      </c>
      <c r="N20" s="76">
        <f>'10_Assuntos_+_demadados_2023'!D10</f>
        <v>0</v>
      </c>
      <c r="O20" s="21" t="e">
        <f t="shared" si="3"/>
        <v>#DIV/0!</v>
      </c>
    </row>
    <row r="21" spans="1:15" ht="15">
      <c r="A21" s="467">
        <v>45231</v>
      </c>
      <c r="B21" s="464">
        <f>'10_Assuntos_+_demadados_2023'!C7</f>
        <v>0</v>
      </c>
      <c r="C21" s="338" t="e">
        <f t="shared" si="0"/>
        <v>#DIV/0!</v>
      </c>
      <c r="E21" s="467">
        <v>45231</v>
      </c>
      <c r="F21" s="76">
        <f>'10_Assuntos_+_demadados_2023'!C8</f>
        <v>0</v>
      </c>
      <c r="G21" s="21" t="e">
        <f t="shared" si="1"/>
        <v>#DIV/0!</v>
      </c>
      <c r="I21" s="467">
        <v>45231</v>
      </c>
      <c r="J21" s="77">
        <f>'10_Assuntos_+_demadados_2023'!C9</f>
        <v>0</v>
      </c>
      <c r="K21" s="21" t="e">
        <f t="shared" si="2"/>
        <v>#DIV/0!</v>
      </c>
      <c r="M21" s="467">
        <v>45231</v>
      </c>
      <c r="N21" s="77">
        <f>'10_Assuntos_+_demadados_2023'!C10</f>
        <v>0</v>
      </c>
      <c r="O21" s="21" t="e">
        <f t="shared" si="3"/>
        <v>#DIV/0!</v>
      </c>
    </row>
    <row r="22" spans="1:15" ht="15.75" thickBot="1">
      <c r="A22" s="468">
        <v>45261</v>
      </c>
      <c r="B22" s="465">
        <f>'10_Assuntos_+_demadados_2023'!B7</f>
        <v>0</v>
      </c>
      <c r="C22" s="339" t="e">
        <f t="shared" si="0"/>
        <v>#DIV/0!</v>
      </c>
      <c r="E22" s="468">
        <v>45261</v>
      </c>
      <c r="F22" s="78">
        <f>'10_Assuntos_+_demadados_2023'!B8</f>
        <v>0</v>
      </c>
      <c r="G22" s="27" t="e">
        <f t="shared" si="1"/>
        <v>#DIV/0!</v>
      </c>
      <c r="I22" s="468">
        <v>45261</v>
      </c>
      <c r="J22" s="78">
        <f>'10_Assuntos_+_demadados_2023'!B9</f>
        <v>0</v>
      </c>
      <c r="K22" s="27" t="e">
        <f t="shared" si="2"/>
        <v>#DIV/0!</v>
      </c>
      <c r="M22" s="468">
        <v>45261</v>
      </c>
      <c r="N22" s="78">
        <f>'10_Assuntos_+_demadados_2023'!B10</f>
        <v>0</v>
      </c>
      <c r="O22" s="27" t="e">
        <f t="shared" si="3"/>
        <v>#DIV/0!</v>
      </c>
    </row>
    <row r="23" spans="1:15">
      <c r="B23" s="23"/>
      <c r="C23" s="23"/>
    </row>
    <row r="24" spans="1:15" ht="15" thickBot="1">
      <c r="B24" s="23"/>
      <c r="C24" s="23"/>
    </row>
    <row r="25" spans="1:15" s="73" customFormat="1" ht="30.75" customHeight="1" thickBot="1">
      <c r="A25" s="984" t="str">
        <f>'10_Assuntos_+_demadados_2023'!A11</f>
        <v>Poluição Sonora - PSIU</v>
      </c>
      <c r="B25" s="984"/>
      <c r="C25" s="984"/>
      <c r="E25" s="983" t="str">
        <f>'10_Assuntos_+_demadados_2023'!A12</f>
        <v>Multas de trânsito</v>
      </c>
      <c r="F25" s="983"/>
      <c r="G25" s="983"/>
      <c r="I25" s="986" t="str">
        <f>'10_Assuntos_+_demadados_2023'!A13</f>
        <v>Processo Administrativo</v>
      </c>
      <c r="J25" s="986"/>
      <c r="K25" s="986"/>
      <c r="M25" s="983" t="str">
        <f>'10_Assuntos_+_demadados_2023'!A14</f>
        <v>Sinalização e Circulação de Veículos e Pedestres</v>
      </c>
      <c r="N25" s="983"/>
      <c r="O25" s="983"/>
    </row>
    <row r="26" spans="1:15" ht="15.75" thickBot="1">
      <c r="A26" s="18" t="s">
        <v>7</v>
      </c>
      <c r="B26" s="79" t="s">
        <v>151</v>
      </c>
      <c r="C26" s="80" t="s">
        <v>152</v>
      </c>
      <c r="E26" s="19" t="s">
        <v>7</v>
      </c>
      <c r="F26" s="19" t="s">
        <v>151</v>
      </c>
      <c r="G26" s="19" t="s">
        <v>152</v>
      </c>
      <c r="I26" s="18" t="s">
        <v>7</v>
      </c>
      <c r="J26" s="74" t="s">
        <v>151</v>
      </c>
      <c r="K26" s="74" t="s">
        <v>152</v>
      </c>
      <c r="M26" s="18" t="s">
        <v>7</v>
      </c>
      <c r="N26" s="74" t="s">
        <v>151</v>
      </c>
      <c r="O26" s="74" t="s">
        <v>152</v>
      </c>
    </row>
    <row r="27" spans="1:15" ht="15">
      <c r="A27" s="466">
        <v>44927</v>
      </c>
      <c r="B27" s="75">
        <f>'10_Assuntos_+_demadados_2023'!M11</f>
        <v>239</v>
      </c>
      <c r="C27" s="21">
        <f>((B27-192)/192)*100</f>
        <v>24.479166666666664</v>
      </c>
      <c r="E27" s="466">
        <v>44927</v>
      </c>
      <c r="F27" s="75">
        <f>'10_Assuntos_+_demadados_2023'!M12</f>
        <v>151</v>
      </c>
      <c r="G27" s="21">
        <f>((F27-108)/108)*100</f>
        <v>39.814814814814817</v>
      </c>
      <c r="I27" s="466">
        <v>44927</v>
      </c>
      <c r="J27" s="75">
        <f>'10_Assuntos_+_demadados_2023'!M13</f>
        <v>138</v>
      </c>
      <c r="K27" s="21">
        <f>((J27-117)/117)*100</f>
        <v>17.948717948717949</v>
      </c>
      <c r="M27" s="466">
        <v>44927</v>
      </c>
      <c r="N27" s="75">
        <f>'10_Assuntos_+_demadados_2023'!M14</f>
        <v>129</v>
      </c>
      <c r="O27" s="21">
        <f>((N27-89)/89)*100</f>
        <v>44.943820224719097</v>
      </c>
    </row>
    <row r="28" spans="1:15" ht="15">
      <c r="A28" s="467">
        <v>44958</v>
      </c>
      <c r="B28" s="76">
        <f>'10_Assuntos_+_demadados_2023'!L11</f>
        <v>0</v>
      </c>
      <c r="C28" s="21">
        <f t="shared" ref="C28:C38" si="4">((B28-B27)/B27)*100</f>
        <v>-100</v>
      </c>
      <c r="E28" s="467">
        <v>44958</v>
      </c>
      <c r="F28" s="76">
        <f>'10_Assuntos_+_demadados_2023'!L12</f>
        <v>0</v>
      </c>
      <c r="G28" s="21">
        <f t="shared" ref="G28:G38" si="5">((F28-F27)/F27)*100</f>
        <v>-100</v>
      </c>
      <c r="I28" s="467">
        <v>44958</v>
      </c>
      <c r="J28" s="76">
        <f>'10_Assuntos_+_demadados_2023'!L13</f>
        <v>0</v>
      </c>
      <c r="K28" s="21">
        <f>((J28-106)/106)*100</f>
        <v>-100</v>
      </c>
      <c r="M28" s="467">
        <v>44958</v>
      </c>
      <c r="N28" s="76">
        <f>'10_Assuntos_+_demadados_2023'!L14</f>
        <v>0</v>
      </c>
      <c r="O28" s="21">
        <f t="shared" ref="O28:O38" si="6">((N28-N27)/N27)*100</f>
        <v>-100</v>
      </c>
    </row>
    <row r="29" spans="1:15" ht="15">
      <c r="A29" s="467">
        <v>44986</v>
      </c>
      <c r="B29" s="76">
        <f>'10_Assuntos_+_demadados_2023'!K11</f>
        <v>0</v>
      </c>
      <c r="C29" s="21" t="e">
        <f t="shared" si="4"/>
        <v>#DIV/0!</v>
      </c>
      <c r="E29" s="467">
        <v>44986</v>
      </c>
      <c r="F29" s="76">
        <f>'10_Assuntos_+_demadados_2023'!K12</f>
        <v>0</v>
      </c>
      <c r="G29" s="21" t="e">
        <f t="shared" si="5"/>
        <v>#DIV/0!</v>
      </c>
      <c r="I29" s="467">
        <v>44986</v>
      </c>
      <c r="J29" s="76">
        <f>'10_Assuntos_+_demadados_2023'!K13</f>
        <v>0</v>
      </c>
      <c r="K29" s="21" t="e">
        <f t="shared" ref="K29:K38" si="7">((J29-J28)/J28)*100</f>
        <v>#DIV/0!</v>
      </c>
      <c r="M29" s="467">
        <v>44986</v>
      </c>
      <c r="N29" s="76">
        <f>'10_Assuntos_+_demadados_2023'!K14</f>
        <v>0</v>
      </c>
      <c r="O29" s="21" t="e">
        <f t="shared" si="6"/>
        <v>#DIV/0!</v>
      </c>
    </row>
    <row r="30" spans="1:15" ht="15">
      <c r="A30" s="467">
        <v>45017</v>
      </c>
      <c r="B30" s="76">
        <f>'10_Assuntos_+_demadados_2023'!J11</f>
        <v>0</v>
      </c>
      <c r="C30" s="21" t="e">
        <f t="shared" si="4"/>
        <v>#DIV/0!</v>
      </c>
      <c r="E30" s="467">
        <v>45017</v>
      </c>
      <c r="F30" s="76">
        <f>'10_Assuntos_+_demadados_2023'!J12</f>
        <v>0</v>
      </c>
      <c r="G30" s="21" t="e">
        <f t="shared" si="5"/>
        <v>#DIV/0!</v>
      </c>
      <c r="I30" s="467">
        <v>45017</v>
      </c>
      <c r="J30" s="76">
        <f>'10_Assuntos_+_demadados_2023'!J13</f>
        <v>0</v>
      </c>
      <c r="K30" s="21" t="e">
        <f t="shared" si="7"/>
        <v>#DIV/0!</v>
      </c>
      <c r="M30" s="467">
        <v>45017</v>
      </c>
      <c r="N30" s="76">
        <f>'10_Assuntos_+_demadados_2023'!J14</f>
        <v>0</v>
      </c>
      <c r="O30" s="21" t="e">
        <f t="shared" si="6"/>
        <v>#DIV/0!</v>
      </c>
    </row>
    <row r="31" spans="1:15" ht="15">
      <c r="A31" s="467">
        <v>45047</v>
      </c>
      <c r="B31" s="82">
        <f>'10_Assuntos_+_demadados_2023'!I11</f>
        <v>0</v>
      </c>
      <c r="C31" s="21" t="e">
        <f t="shared" si="4"/>
        <v>#DIV/0!</v>
      </c>
      <c r="E31" s="467">
        <v>45047</v>
      </c>
      <c r="F31" s="76">
        <f>'10_Assuntos_+_demadados_2023'!I12</f>
        <v>0</v>
      </c>
      <c r="G31" s="21" t="e">
        <f t="shared" si="5"/>
        <v>#DIV/0!</v>
      </c>
      <c r="I31" s="467">
        <v>45047</v>
      </c>
      <c r="J31" s="76">
        <f>'10_Assuntos_+_demadados_2023'!I13</f>
        <v>0</v>
      </c>
      <c r="K31" s="21" t="e">
        <f t="shared" si="7"/>
        <v>#DIV/0!</v>
      </c>
      <c r="M31" s="467">
        <v>45047</v>
      </c>
      <c r="N31" s="76">
        <f>'10_Assuntos_+_demadados_2023'!I14</f>
        <v>0</v>
      </c>
      <c r="O31" s="21" t="e">
        <f t="shared" si="6"/>
        <v>#DIV/0!</v>
      </c>
    </row>
    <row r="32" spans="1:15" ht="15">
      <c r="A32" s="467">
        <v>45078</v>
      </c>
      <c r="B32" s="76">
        <f>'10_Assuntos_+_demadados_2023'!H11</f>
        <v>0</v>
      </c>
      <c r="C32" s="21" t="e">
        <f t="shared" si="4"/>
        <v>#DIV/0!</v>
      </c>
      <c r="E32" s="467">
        <v>45078</v>
      </c>
      <c r="F32" s="76">
        <f>'10_Assuntos_+_demadados_2023'!H12</f>
        <v>0</v>
      </c>
      <c r="G32" s="21" t="e">
        <f t="shared" si="5"/>
        <v>#DIV/0!</v>
      </c>
      <c r="I32" s="467">
        <v>45078</v>
      </c>
      <c r="J32" s="76">
        <f>'10_Assuntos_+_demadados_2023'!H13</f>
        <v>0</v>
      </c>
      <c r="K32" s="21" t="e">
        <f t="shared" si="7"/>
        <v>#DIV/0!</v>
      </c>
      <c r="M32" s="467">
        <v>45078</v>
      </c>
      <c r="N32" s="76">
        <f>'10_Assuntos_+_demadados_2023'!H14</f>
        <v>0</v>
      </c>
      <c r="O32" s="21" t="e">
        <f t="shared" si="6"/>
        <v>#DIV/0!</v>
      </c>
    </row>
    <row r="33" spans="1:15" ht="15">
      <c r="A33" s="467">
        <v>45108</v>
      </c>
      <c r="B33" s="76">
        <f>'10_Assuntos_+_demadados_2023'!G11</f>
        <v>0</v>
      </c>
      <c r="C33" s="21" t="e">
        <f t="shared" si="4"/>
        <v>#DIV/0!</v>
      </c>
      <c r="E33" s="467">
        <v>45108</v>
      </c>
      <c r="F33" s="76">
        <f>'10_Assuntos_+_demadados_2023'!G12</f>
        <v>0</v>
      </c>
      <c r="G33" s="21" t="e">
        <f t="shared" si="5"/>
        <v>#DIV/0!</v>
      </c>
      <c r="I33" s="467">
        <v>45108</v>
      </c>
      <c r="J33" s="76">
        <f>'10_Assuntos_+_demadados_2023'!G13</f>
        <v>0</v>
      </c>
      <c r="K33" s="21" t="e">
        <f t="shared" si="7"/>
        <v>#DIV/0!</v>
      </c>
      <c r="M33" s="467">
        <v>45108</v>
      </c>
      <c r="N33" s="76">
        <f>'10_Assuntos_+_demadados_2023'!G14</f>
        <v>0</v>
      </c>
      <c r="O33" s="21" t="e">
        <f t="shared" si="6"/>
        <v>#DIV/0!</v>
      </c>
    </row>
    <row r="34" spans="1:15" ht="15">
      <c r="A34" s="467">
        <v>45139</v>
      </c>
      <c r="B34" s="76">
        <f>'10_Assuntos_+_demadados_2023'!F11</f>
        <v>0</v>
      </c>
      <c r="C34" s="21" t="e">
        <f t="shared" si="4"/>
        <v>#DIV/0!</v>
      </c>
      <c r="E34" s="467">
        <v>45139</v>
      </c>
      <c r="F34" s="76">
        <f>'10_Assuntos_+_demadados_2023'!F12</f>
        <v>0</v>
      </c>
      <c r="G34" s="21" t="e">
        <f t="shared" si="5"/>
        <v>#DIV/0!</v>
      </c>
      <c r="I34" s="467">
        <v>45139</v>
      </c>
      <c r="J34" s="76">
        <f>'10_Assuntos_+_demadados_2023'!F13</f>
        <v>0</v>
      </c>
      <c r="K34" s="21" t="e">
        <f t="shared" si="7"/>
        <v>#DIV/0!</v>
      </c>
      <c r="M34" s="467">
        <v>45139</v>
      </c>
      <c r="N34" s="76">
        <f>'10_Assuntos_+_demadados_2023'!F14</f>
        <v>0</v>
      </c>
      <c r="O34" s="21" t="e">
        <f t="shared" si="6"/>
        <v>#DIV/0!</v>
      </c>
    </row>
    <row r="35" spans="1:15" ht="15">
      <c r="A35" s="467">
        <v>45170</v>
      </c>
      <c r="B35" s="76">
        <f>'10_Assuntos_+_demadados_2023'!E11</f>
        <v>0</v>
      </c>
      <c r="C35" s="21" t="e">
        <f t="shared" si="4"/>
        <v>#DIV/0!</v>
      </c>
      <c r="E35" s="467">
        <v>45170</v>
      </c>
      <c r="F35" s="76">
        <f>'10_Assuntos_+_demadados_2023'!E12</f>
        <v>0</v>
      </c>
      <c r="G35" s="21" t="e">
        <f t="shared" si="5"/>
        <v>#DIV/0!</v>
      </c>
      <c r="I35" s="467">
        <v>45170</v>
      </c>
      <c r="J35" s="76">
        <f>'10_Assuntos_+_demadados_2023'!E13</f>
        <v>0</v>
      </c>
      <c r="K35" s="21" t="e">
        <f t="shared" si="7"/>
        <v>#DIV/0!</v>
      </c>
      <c r="M35" s="467">
        <v>45170</v>
      </c>
      <c r="N35" s="76">
        <f>'10_Assuntos_+_demadados_2023'!E14</f>
        <v>0</v>
      </c>
      <c r="O35" s="21" t="e">
        <f t="shared" si="6"/>
        <v>#DIV/0!</v>
      </c>
    </row>
    <row r="36" spans="1:15" ht="15">
      <c r="A36" s="467">
        <v>45200</v>
      </c>
      <c r="B36" s="76">
        <f>'10_Assuntos_+_demadados_2023'!D11</f>
        <v>0</v>
      </c>
      <c r="C36" s="21" t="e">
        <f t="shared" si="4"/>
        <v>#DIV/0!</v>
      </c>
      <c r="E36" s="467">
        <v>45200</v>
      </c>
      <c r="F36" s="76">
        <f>'10_Assuntos_+_demadados_2023'!D12</f>
        <v>0</v>
      </c>
      <c r="G36" s="21" t="e">
        <f t="shared" si="5"/>
        <v>#DIV/0!</v>
      </c>
      <c r="I36" s="467">
        <v>45200</v>
      </c>
      <c r="J36" s="76">
        <f>'10_Assuntos_+_demadados_2023'!D13</f>
        <v>0</v>
      </c>
      <c r="K36" s="21" t="e">
        <f t="shared" si="7"/>
        <v>#DIV/0!</v>
      </c>
      <c r="M36" s="467">
        <v>45200</v>
      </c>
      <c r="N36" s="76">
        <f>'10_Assuntos_+_demadados_2023'!D14</f>
        <v>0</v>
      </c>
      <c r="O36" s="21" t="e">
        <f t="shared" si="6"/>
        <v>#DIV/0!</v>
      </c>
    </row>
    <row r="37" spans="1:15" ht="15">
      <c r="A37" s="467">
        <v>45231</v>
      </c>
      <c r="B37" s="76">
        <f>'10_Assuntos_+_demadados_2023'!C11</f>
        <v>0</v>
      </c>
      <c r="C37" s="21" t="e">
        <f t="shared" si="4"/>
        <v>#DIV/0!</v>
      </c>
      <c r="E37" s="467">
        <v>45231</v>
      </c>
      <c r="F37" s="76">
        <f>'10_Assuntos_+_demadados_2023'!C12</f>
        <v>0</v>
      </c>
      <c r="G37" s="21" t="e">
        <f t="shared" si="5"/>
        <v>#DIV/0!</v>
      </c>
      <c r="I37" s="467">
        <v>45231</v>
      </c>
      <c r="J37" s="76">
        <f>'10_Assuntos_+_demadados_2023'!C13</f>
        <v>0</v>
      </c>
      <c r="K37" s="21" t="e">
        <f t="shared" si="7"/>
        <v>#DIV/0!</v>
      </c>
      <c r="M37" s="467">
        <v>45231</v>
      </c>
      <c r="N37" s="76">
        <f>'10_Assuntos_+_demadados_2023'!C14</f>
        <v>0</v>
      </c>
      <c r="O37" s="21" t="e">
        <f t="shared" si="6"/>
        <v>#DIV/0!</v>
      </c>
    </row>
    <row r="38" spans="1:15" ht="15.75" thickBot="1">
      <c r="A38" s="468">
        <v>45261</v>
      </c>
      <c r="B38" s="78">
        <f>'10_Assuntos_+_demadados_2023'!B11</f>
        <v>0</v>
      </c>
      <c r="C38" s="27" t="e">
        <f t="shared" si="4"/>
        <v>#DIV/0!</v>
      </c>
      <c r="E38" s="468">
        <v>45261</v>
      </c>
      <c r="F38" s="78">
        <f>'10_Assuntos_+_demadados_2023'!B12</f>
        <v>0</v>
      </c>
      <c r="G38" s="27" t="e">
        <f t="shared" si="5"/>
        <v>#DIV/0!</v>
      </c>
      <c r="I38" s="468">
        <v>45261</v>
      </c>
      <c r="J38" s="78">
        <f>'10_Assuntos_+_demadados_2023'!B13</f>
        <v>0</v>
      </c>
      <c r="K38" s="27" t="e">
        <f t="shared" si="7"/>
        <v>#DIV/0!</v>
      </c>
      <c r="M38" s="468">
        <v>45261</v>
      </c>
      <c r="N38" s="76">
        <f>'10_Assuntos_+_demadados_2023'!B14</f>
        <v>0</v>
      </c>
      <c r="O38" s="27" t="e">
        <f t="shared" si="6"/>
        <v>#DIV/0!</v>
      </c>
    </row>
    <row r="39" spans="1:15">
      <c r="B39" s="23"/>
      <c r="C39" s="23"/>
    </row>
    <row r="40" spans="1:15" ht="15" thickBot="1">
      <c r="B40" s="23"/>
      <c r="C40" s="23"/>
    </row>
    <row r="41" spans="1:15" ht="30.75" customHeight="1" thickBot="1">
      <c r="A41" s="983" t="str">
        <f>'10_Assuntos_+_demadados_2023'!A15</f>
        <v>Drenagem de água de chuva</v>
      </c>
      <c r="B41" s="983"/>
      <c r="C41" s="983"/>
      <c r="E41" s="983" t="str">
        <f>'10_Assuntos_+_demadados_2023'!A16</f>
        <v>Estabelecimentos comerciais, indústrias e serviços</v>
      </c>
      <c r="F41" s="983"/>
      <c r="G41" s="983"/>
    </row>
    <row r="42" spans="1:15" ht="15.75" thickBot="1">
      <c r="A42" s="18" t="s">
        <v>7</v>
      </c>
      <c r="B42" s="74" t="s">
        <v>151</v>
      </c>
      <c r="C42" s="74" t="s">
        <v>152</v>
      </c>
      <c r="E42" s="18" t="s">
        <v>7</v>
      </c>
      <c r="F42" s="74" t="s">
        <v>151</v>
      </c>
      <c r="G42" s="74" t="s">
        <v>152</v>
      </c>
    </row>
    <row r="43" spans="1:15" ht="15">
      <c r="A43" s="466">
        <v>44927</v>
      </c>
      <c r="B43" s="76">
        <f>'10_Assuntos_+_demadados_2023'!M15</f>
        <v>118</v>
      </c>
      <c r="C43" s="21">
        <f>((B43-103)/103)*100</f>
        <v>14.563106796116504</v>
      </c>
      <c r="E43" s="466">
        <v>44927</v>
      </c>
      <c r="F43" s="75">
        <f>'10_Assuntos_+_demadados_2023'!M16</f>
        <v>113</v>
      </c>
      <c r="G43" s="21">
        <f>((F43-99)/99)*100</f>
        <v>14.14141414141414</v>
      </c>
    </row>
    <row r="44" spans="1:15" ht="15">
      <c r="A44" s="467">
        <v>44958</v>
      </c>
      <c r="B44" s="76">
        <f>'10_Assuntos_+_demadados_2023'!L15</f>
        <v>0</v>
      </c>
      <c r="C44" s="21">
        <f t="shared" ref="C44:C54" si="8">((B44-B43)/B43)*100</f>
        <v>-100</v>
      </c>
      <c r="E44" s="467">
        <v>44958</v>
      </c>
      <c r="F44" s="76">
        <f>'10_Assuntos_+_demadados_2023'!L16</f>
        <v>0</v>
      </c>
      <c r="G44" s="21">
        <f t="shared" ref="G44:G51" si="9">((F44-F43)/F43)*100</f>
        <v>-100</v>
      </c>
    </row>
    <row r="45" spans="1:15" ht="15">
      <c r="A45" s="467">
        <v>44986</v>
      </c>
      <c r="B45" s="76">
        <f>'10_Assuntos_+_demadados_2023'!K15</f>
        <v>0</v>
      </c>
      <c r="C45" s="21" t="e">
        <f t="shared" si="8"/>
        <v>#DIV/0!</v>
      </c>
      <c r="E45" s="467">
        <v>44986</v>
      </c>
      <c r="F45" s="76">
        <f>'10_Assuntos_+_demadados_2023'!K16</f>
        <v>0</v>
      </c>
      <c r="G45" s="21" t="e">
        <f t="shared" si="9"/>
        <v>#DIV/0!</v>
      </c>
    </row>
    <row r="46" spans="1:15" ht="15">
      <c r="A46" s="467">
        <v>45017</v>
      </c>
      <c r="B46" s="76">
        <f>'10_Assuntos_+_demadados_2023'!J15</f>
        <v>0</v>
      </c>
      <c r="C46" s="21" t="e">
        <f t="shared" si="8"/>
        <v>#DIV/0!</v>
      </c>
      <c r="E46" s="467">
        <v>45017</v>
      </c>
      <c r="F46" s="76">
        <f>'10_Assuntos_+_demadados_2023'!J16</f>
        <v>0</v>
      </c>
      <c r="G46" s="21" t="e">
        <f t="shared" si="9"/>
        <v>#DIV/0!</v>
      </c>
    </row>
    <row r="47" spans="1:15" ht="15">
      <c r="A47" s="467">
        <v>45047</v>
      </c>
      <c r="B47" s="76">
        <f>'10_Assuntos_+_demadados_2023'!I15</f>
        <v>0</v>
      </c>
      <c r="C47" s="21" t="e">
        <f t="shared" si="8"/>
        <v>#DIV/0!</v>
      </c>
      <c r="E47" s="467">
        <v>45047</v>
      </c>
      <c r="F47" s="76">
        <f>'10_Assuntos_+_demadados_2023'!I16</f>
        <v>0</v>
      </c>
      <c r="G47" s="21" t="e">
        <f t="shared" si="9"/>
        <v>#DIV/0!</v>
      </c>
    </row>
    <row r="48" spans="1:15" ht="15">
      <c r="A48" s="467">
        <v>45078</v>
      </c>
      <c r="B48" s="76">
        <f>'10_Assuntos_+_demadados_2023'!H15</f>
        <v>0</v>
      </c>
      <c r="C48" s="21" t="e">
        <f t="shared" si="8"/>
        <v>#DIV/0!</v>
      </c>
      <c r="E48" s="467">
        <v>45078</v>
      </c>
      <c r="F48" s="76">
        <f>'10_Assuntos_+_demadados_2023'!H16</f>
        <v>0</v>
      </c>
      <c r="G48" s="21" t="e">
        <f t="shared" si="9"/>
        <v>#DIV/0!</v>
      </c>
    </row>
    <row r="49" spans="1:7" ht="15">
      <c r="A49" s="467">
        <v>45108</v>
      </c>
      <c r="B49" s="76">
        <f>'10_Assuntos_+_demadados_2023'!G15</f>
        <v>0</v>
      </c>
      <c r="C49" s="21" t="e">
        <f t="shared" si="8"/>
        <v>#DIV/0!</v>
      </c>
      <c r="E49" s="467">
        <v>45108</v>
      </c>
      <c r="F49" s="76">
        <f>'10_Assuntos_+_demadados_2023'!G16</f>
        <v>0</v>
      </c>
      <c r="G49" s="21" t="e">
        <f t="shared" si="9"/>
        <v>#DIV/0!</v>
      </c>
    </row>
    <row r="50" spans="1:7" ht="15">
      <c r="A50" s="467">
        <v>45139</v>
      </c>
      <c r="B50" s="76">
        <f>'10_Assuntos_+_demadados_2023'!F15</f>
        <v>0</v>
      </c>
      <c r="C50" s="21" t="e">
        <f t="shared" si="8"/>
        <v>#DIV/0!</v>
      </c>
      <c r="E50" s="467">
        <v>45139</v>
      </c>
      <c r="F50" s="76">
        <f>'10_Assuntos_+_demadados_2023'!F16</f>
        <v>0</v>
      </c>
      <c r="G50" s="21" t="e">
        <f t="shared" si="9"/>
        <v>#DIV/0!</v>
      </c>
    </row>
    <row r="51" spans="1:7" ht="15">
      <c r="A51" s="467">
        <v>45170</v>
      </c>
      <c r="B51" s="76">
        <f>'10_Assuntos_+_demadados_2023'!E15</f>
        <v>0</v>
      </c>
      <c r="C51" s="21" t="e">
        <f t="shared" si="8"/>
        <v>#DIV/0!</v>
      </c>
      <c r="E51" s="467">
        <v>45170</v>
      </c>
      <c r="F51" s="76">
        <f>'10_Assuntos_+_demadados_2023'!E16</f>
        <v>0</v>
      </c>
      <c r="G51" s="21" t="e">
        <f t="shared" si="9"/>
        <v>#DIV/0!</v>
      </c>
    </row>
    <row r="52" spans="1:7" ht="15">
      <c r="A52" s="467">
        <v>45200</v>
      </c>
      <c r="B52" s="76">
        <f>'10_Assuntos_+_demadados_2023'!D15</f>
        <v>0</v>
      </c>
      <c r="C52" s="21" t="e">
        <f t="shared" si="8"/>
        <v>#DIV/0!</v>
      </c>
      <c r="E52" s="467">
        <v>45200</v>
      </c>
      <c r="F52" s="76">
        <f>'10_Assuntos_+_demadados_2023'!D16</f>
        <v>0</v>
      </c>
      <c r="G52" s="21" t="e">
        <f>((F52-F51)/F51)*100</f>
        <v>#DIV/0!</v>
      </c>
    </row>
    <row r="53" spans="1:7" ht="15">
      <c r="A53" s="467">
        <v>45231</v>
      </c>
      <c r="B53" s="77">
        <f>'10_Assuntos_+_demadados_2023'!C15</f>
        <v>0</v>
      </c>
      <c r="C53" s="21" t="e">
        <f t="shared" si="8"/>
        <v>#DIV/0!</v>
      </c>
      <c r="E53" s="467">
        <v>45231</v>
      </c>
      <c r="F53" s="76">
        <f>'10_Assuntos_+_demadados_2023'!C17</f>
        <v>0</v>
      </c>
      <c r="G53" s="21" t="e">
        <f>((F53-F52)/F52)*100</f>
        <v>#DIV/0!</v>
      </c>
    </row>
    <row r="54" spans="1:7" ht="15.75" thickBot="1">
      <c r="A54" s="468">
        <v>45261</v>
      </c>
      <c r="B54" s="78">
        <f>'10_Assuntos_+_demadados_2023'!B15</f>
        <v>0</v>
      </c>
      <c r="C54" s="27" t="e">
        <f t="shared" si="8"/>
        <v>#DIV/0!</v>
      </c>
      <c r="E54" s="468">
        <v>45261</v>
      </c>
      <c r="F54" s="78">
        <f>'10_Assuntos_+_demadados_2023'!B16</f>
        <v>0</v>
      </c>
      <c r="G54" s="27" t="e">
        <f>((F54-F53)/F53)*100</f>
        <v>#DIV/0!</v>
      </c>
    </row>
    <row r="55" spans="1:7">
      <c r="B55" s="23"/>
      <c r="C55" s="23"/>
    </row>
    <row r="56" spans="1:7">
      <c r="B56" s="23"/>
      <c r="C56" s="23"/>
    </row>
    <row r="61" spans="1:7" ht="15">
      <c r="A61" s="13"/>
    </row>
    <row r="65" spans="17:17">
      <c r="Q65" s="53"/>
    </row>
  </sheetData>
  <mergeCells count="11">
    <mergeCell ref="M25:O25"/>
    <mergeCell ref="A41:C41"/>
    <mergeCell ref="E41:G41"/>
    <mergeCell ref="M9:O9"/>
    <mergeCell ref="A6:E6"/>
    <mergeCell ref="A9:C9"/>
    <mergeCell ref="E9:G9"/>
    <mergeCell ref="I9:K9"/>
    <mergeCell ref="A25:C25"/>
    <mergeCell ref="E25:G25"/>
    <mergeCell ref="I25:K25"/>
  </mergeCells>
  <printOptions horizontalCentered="1" verticalCentered="1"/>
  <pageMargins left="0.511811023622047" right="0.511811023622047" top="0.78740157480315021" bottom="0.78740157480315021" header="0.31496062992126012" footer="0.31496062992126012"/>
  <pageSetup paperSize="0" fitToWidth="0" fitToHeight="0" orientation="landscape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/>
  </sheetViews>
  <sheetFormatPr defaultRowHeight="15"/>
  <cols>
    <col min="1" max="1" width="45.140625" customWidth="1"/>
    <col min="2" max="2" width="8.5703125" style="854" customWidth="1"/>
    <col min="3" max="3" width="7.5703125" bestFit="1" customWidth="1"/>
    <col min="4" max="4" width="7.7109375" style="6" bestFit="1" customWidth="1"/>
    <col min="5" max="5" width="6.140625" bestFit="1" customWidth="1"/>
    <col min="6" max="6" width="7.140625" bestFit="1" customWidth="1"/>
    <col min="7" max="7" width="2.85546875" customWidth="1"/>
  </cols>
  <sheetData>
    <row r="1" spans="1:6">
      <c r="A1" s="5" t="s">
        <v>0</v>
      </c>
      <c r="B1" s="5"/>
      <c r="C1" s="5"/>
    </row>
    <row r="2" spans="1:6">
      <c r="A2" s="5" t="s">
        <v>1</v>
      </c>
      <c r="B2" s="5"/>
      <c r="C2" s="5"/>
    </row>
    <row r="3" spans="1:6">
      <c r="A3" s="5"/>
      <c r="B3" s="5"/>
      <c r="C3" s="5"/>
    </row>
    <row r="4" spans="1:6">
      <c r="A4" s="5" t="s">
        <v>153</v>
      </c>
      <c r="B4" s="5"/>
      <c r="C4" s="5"/>
    </row>
    <row r="5" spans="1:6" ht="15.75" thickBot="1"/>
    <row r="6" spans="1:6" ht="15.75" thickBot="1">
      <c r="A6" s="369" t="s">
        <v>17</v>
      </c>
      <c r="B6" s="856">
        <v>44927</v>
      </c>
      <c r="C6" s="694">
        <v>44896</v>
      </c>
      <c r="D6" s="694">
        <v>44866</v>
      </c>
      <c r="E6" s="157" t="s">
        <v>3</v>
      </c>
      <c r="F6" s="156" t="s">
        <v>4</v>
      </c>
    </row>
    <row r="7" spans="1:6" ht="15.75" thickBot="1">
      <c r="A7" s="893" t="s">
        <v>42</v>
      </c>
      <c r="B7" s="900">
        <v>501</v>
      </c>
      <c r="C7" s="897">
        <v>372</v>
      </c>
      <c r="D7" s="944">
        <v>823</v>
      </c>
      <c r="E7" s="949">
        <f>SUM(B7:D7)</f>
        <v>1696</v>
      </c>
      <c r="F7" s="948">
        <f>AVERAGE(B7:D7)</f>
        <v>565.33333333333337</v>
      </c>
    </row>
    <row r="8" spans="1:6" ht="15.75" thickBot="1">
      <c r="A8" s="894" t="s">
        <v>368</v>
      </c>
      <c r="B8" s="802">
        <v>337</v>
      </c>
      <c r="C8" s="898">
        <v>286</v>
      </c>
      <c r="D8" s="945">
        <v>263</v>
      </c>
      <c r="E8" s="949">
        <f t="shared" ref="E8:E16" si="0">SUM(B8:D8)</f>
        <v>886</v>
      </c>
      <c r="F8" s="948">
        <f t="shared" ref="F8:F16" si="1">AVERAGE(B8:D8)</f>
        <v>295.33333333333331</v>
      </c>
    </row>
    <row r="9" spans="1:6" ht="15.75" thickBot="1">
      <c r="A9" s="895" t="s">
        <v>31</v>
      </c>
      <c r="B9" s="802">
        <v>301</v>
      </c>
      <c r="C9" s="898">
        <v>182</v>
      </c>
      <c r="D9" s="945">
        <v>173</v>
      </c>
      <c r="E9" s="949">
        <f t="shared" si="0"/>
        <v>656</v>
      </c>
      <c r="F9" s="948">
        <f t="shared" si="1"/>
        <v>218.66666666666666</v>
      </c>
    </row>
    <row r="10" spans="1:6" ht="15.75" thickBot="1">
      <c r="A10" s="895" t="s">
        <v>40</v>
      </c>
      <c r="B10" s="802">
        <v>263</v>
      </c>
      <c r="C10" s="898">
        <v>196</v>
      </c>
      <c r="D10" s="945">
        <v>178</v>
      </c>
      <c r="E10" s="949">
        <f t="shared" si="0"/>
        <v>637</v>
      </c>
      <c r="F10" s="948">
        <f t="shared" si="1"/>
        <v>212.33333333333334</v>
      </c>
    </row>
    <row r="11" spans="1:6" ht="15.75" thickBot="1">
      <c r="A11" s="895" t="s">
        <v>113</v>
      </c>
      <c r="B11" s="802">
        <v>239</v>
      </c>
      <c r="C11" s="898">
        <v>192</v>
      </c>
      <c r="D11" s="945">
        <v>162</v>
      </c>
      <c r="E11" s="949">
        <f t="shared" si="0"/>
        <v>593</v>
      </c>
      <c r="F11" s="948">
        <f t="shared" si="1"/>
        <v>197.66666666666666</v>
      </c>
    </row>
    <row r="12" spans="1:6" ht="15.75" thickBot="1">
      <c r="A12" s="894" t="s">
        <v>367</v>
      </c>
      <c r="B12" s="802">
        <v>138</v>
      </c>
      <c r="C12" s="898">
        <v>117</v>
      </c>
      <c r="D12" s="945">
        <v>149</v>
      </c>
      <c r="E12" s="949">
        <f t="shared" si="0"/>
        <v>404</v>
      </c>
      <c r="F12" s="947">
        <f t="shared" si="1"/>
        <v>134.66666666666666</v>
      </c>
    </row>
    <row r="13" spans="1:6" ht="15.75" thickBot="1">
      <c r="A13" s="895" t="s">
        <v>103</v>
      </c>
      <c r="B13" s="802">
        <v>151</v>
      </c>
      <c r="C13" s="898">
        <v>108</v>
      </c>
      <c r="D13" s="945">
        <v>128</v>
      </c>
      <c r="E13" s="949">
        <f t="shared" si="0"/>
        <v>387</v>
      </c>
      <c r="F13" s="948">
        <f t="shared" si="1"/>
        <v>129</v>
      </c>
    </row>
    <row r="14" spans="1:6" ht="15.75" thickBot="1">
      <c r="A14" s="895" t="s">
        <v>132</v>
      </c>
      <c r="B14" s="802">
        <v>129</v>
      </c>
      <c r="C14" s="898">
        <v>89</v>
      </c>
      <c r="D14" s="945">
        <v>96</v>
      </c>
      <c r="E14" s="949">
        <f t="shared" si="0"/>
        <v>314</v>
      </c>
      <c r="F14" s="948">
        <f t="shared" si="1"/>
        <v>104.66666666666667</v>
      </c>
    </row>
    <row r="15" spans="1:6" ht="15.75" thickBot="1">
      <c r="A15" s="895" t="s">
        <v>79</v>
      </c>
      <c r="B15" s="802">
        <v>113</v>
      </c>
      <c r="C15" s="898">
        <v>99</v>
      </c>
      <c r="D15" s="945">
        <v>88</v>
      </c>
      <c r="E15" s="949">
        <f t="shared" si="0"/>
        <v>300</v>
      </c>
      <c r="F15" s="948">
        <f t="shared" si="1"/>
        <v>100</v>
      </c>
    </row>
    <row r="16" spans="1:6" ht="15.75" thickBot="1">
      <c r="A16" s="896" t="s">
        <v>140</v>
      </c>
      <c r="B16" s="901">
        <v>107</v>
      </c>
      <c r="C16" s="899">
        <v>92</v>
      </c>
      <c r="D16" s="946">
        <v>93</v>
      </c>
      <c r="E16" s="950">
        <f t="shared" si="0"/>
        <v>292</v>
      </c>
      <c r="F16" s="948">
        <f t="shared" si="1"/>
        <v>97.333333333333329</v>
      </c>
    </row>
    <row r="17" spans="1:25" ht="15.75" thickBot="1">
      <c r="A17" s="664" t="s">
        <v>16</v>
      </c>
      <c r="B17" s="698">
        <f>SUM(B7:B16)</f>
        <v>2279</v>
      </c>
      <c r="C17" s="698">
        <f>SUM(C7:C16)</f>
        <v>1733</v>
      </c>
      <c r="D17" s="698">
        <f>SUM(D7:D16)</f>
        <v>2153</v>
      </c>
      <c r="E17" s="858">
        <f>SUM(B17:D17)</f>
        <v>6165</v>
      </c>
      <c r="F17" s="697">
        <f>AVERAGE(B17:D17)</f>
        <v>2055</v>
      </c>
    </row>
    <row r="19" spans="1:25">
      <c r="G19" s="6"/>
      <c r="H19" s="2"/>
      <c r="I19" s="3"/>
      <c r="J19" s="3"/>
      <c r="K19" s="3"/>
      <c r="L19" s="83"/>
    </row>
    <row r="20" spans="1:25">
      <c r="G20" s="6"/>
      <c r="H20" s="1"/>
      <c r="I20" s="84"/>
      <c r="J20" s="85"/>
      <c r="K20" s="85"/>
      <c r="L20" s="84"/>
    </row>
    <row r="21" spans="1:25">
      <c r="G21" s="6"/>
      <c r="H21" s="1"/>
      <c r="I21" s="84"/>
      <c r="J21" s="1"/>
      <c r="K21" s="41"/>
      <c r="L21" s="41"/>
      <c r="M21" s="41"/>
      <c r="N21" s="86"/>
      <c r="O21" s="87"/>
    </row>
    <row r="22" spans="1:25">
      <c r="G22" s="6"/>
      <c r="H22" s="1"/>
      <c r="I22" s="84"/>
      <c r="J22" s="1"/>
      <c r="K22" s="38"/>
      <c r="L22" s="88"/>
      <c r="M22" s="88"/>
      <c r="N22" s="89"/>
      <c r="O22" s="88"/>
      <c r="P22" s="88"/>
      <c r="Q22" s="88"/>
      <c r="R22" s="88"/>
      <c r="S22" s="88"/>
      <c r="T22" s="88"/>
      <c r="U22" s="88"/>
      <c r="V22" s="88"/>
      <c r="W22" s="88"/>
      <c r="X22" s="1"/>
      <c r="Y22" s="1"/>
    </row>
    <row r="23" spans="1:25">
      <c r="G23" s="6"/>
      <c r="H23" s="1"/>
      <c r="I23" s="84"/>
      <c r="J23" s="1"/>
      <c r="K23" s="1"/>
      <c r="L23" s="41"/>
      <c r="M23" s="41"/>
      <c r="N23" s="41"/>
      <c r="O23" s="41"/>
      <c r="P23" s="41"/>
      <c r="Q23" s="41"/>
      <c r="R23" s="86"/>
      <c r="S23" s="86"/>
      <c r="T23" s="41"/>
      <c r="U23" s="41"/>
      <c r="V23" s="41"/>
      <c r="W23" s="41"/>
      <c r="X23" s="1"/>
      <c r="Y23" s="1"/>
    </row>
    <row r="24" spans="1:25">
      <c r="G24" s="6"/>
      <c r="H24" s="1"/>
      <c r="I24" s="84"/>
      <c r="J24" s="1"/>
      <c r="K24" s="1"/>
      <c r="L24" s="41"/>
      <c r="M24" s="41"/>
      <c r="N24" s="41"/>
      <c r="O24" s="41"/>
      <c r="P24" s="41"/>
      <c r="Q24" s="41"/>
      <c r="R24" s="86"/>
      <c r="S24" s="86"/>
      <c r="T24" s="41"/>
      <c r="U24" s="41"/>
      <c r="V24" s="41"/>
      <c r="W24" s="39"/>
    </row>
    <row r="25" spans="1:25">
      <c r="G25" s="6"/>
      <c r="H25" s="1"/>
      <c r="I25" s="84"/>
      <c r="J25" s="1"/>
      <c r="K25" s="1"/>
      <c r="L25" s="41"/>
      <c r="M25" s="41"/>
      <c r="N25" s="41"/>
      <c r="O25" s="41"/>
      <c r="P25" s="41"/>
      <c r="Q25" s="41"/>
      <c r="R25" s="86"/>
      <c r="S25" s="86"/>
      <c r="T25" s="41"/>
      <c r="U25" s="41"/>
      <c r="V25" s="41"/>
      <c r="W25" s="39"/>
    </row>
    <row r="26" spans="1:25">
      <c r="G26" s="6"/>
      <c r="H26" s="1"/>
      <c r="I26" s="84"/>
      <c r="J26" s="1"/>
      <c r="K26" s="1"/>
      <c r="L26" s="41"/>
      <c r="M26" s="41"/>
      <c r="N26" s="41"/>
      <c r="O26" s="41"/>
      <c r="P26" s="41"/>
      <c r="Q26" s="41"/>
      <c r="R26" s="86"/>
      <c r="S26" s="86"/>
      <c r="T26" s="41"/>
      <c r="U26" s="41"/>
      <c r="V26" s="41"/>
      <c r="W26" s="39"/>
    </row>
    <row r="27" spans="1:25">
      <c r="G27" s="6"/>
      <c r="H27" s="1"/>
      <c r="I27" s="84"/>
      <c r="J27" s="1"/>
      <c r="K27" s="1"/>
      <c r="L27" s="41"/>
      <c r="M27" s="41"/>
      <c r="N27" s="41"/>
      <c r="O27" s="41"/>
      <c r="P27" s="41"/>
      <c r="Q27" s="41"/>
      <c r="R27" s="86"/>
      <c r="S27" s="86"/>
      <c r="T27" s="41"/>
      <c r="U27" s="41"/>
      <c r="V27" s="41"/>
      <c r="W27" s="39"/>
    </row>
    <row r="28" spans="1:25">
      <c r="G28" s="6"/>
      <c r="H28" s="1"/>
      <c r="I28" s="84"/>
      <c r="J28" s="1"/>
      <c r="K28" s="1"/>
      <c r="L28" s="41"/>
      <c r="M28" s="41"/>
      <c r="N28" s="41"/>
      <c r="O28" s="41"/>
      <c r="P28" s="41"/>
      <c r="Q28" s="41"/>
      <c r="R28" s="86"/>
      <c r="S28" s="86"/>
      <c r="T28" s="41"/>
      <c r="U28" s="41"/>
      <c r="V28" s="41"/>
      <c r="W28" s="39"/>
    </row>
    <row r="29" spans="1:25">
      <c r="H29" s="1"/>
      <c r="I29" s="84"/>
      <c r="J29" s="1"/>
      <c r="K29" s="1"/>
      <c r="L29" s="41"/>
      <c r="M29" s="41"/>
      <c r="N29" s="41"/>
      <c r="O29" s="41"/>
      <c r="P29" s="41"/>
      <c r="Q29" s="41"/>
      <c r="R29" s="86"/>
      <c r="S29" s="86"/>
      <c r="T29" s="41"/>
      <c r="U29" s="41"/>
      <c r="V29" s="41"/>
      <c r="W29" s="39"/>
    </row>
    <row r="30" spans="1:25">
      <c r="H30" s="43"/>
      <c r="I30" s="90"/>
      <c r="J30" s="1"/>
      <c r="K30" s="1"/>
      <c r="L30" s="41"/>
      <c r="M30" s="41"/>
      <c r="N30" s="41"/>
      <c r="O30" s="41"/>
      <c r="P30" s="41"/>
      <c r="Q30" s="41"/>
      <c r="R30" s="86"/>
      <c r="S30" s="86"/>
      <c r="T30" s="41"/>
      <c r="U30" s="41"/>
      <c r="V30" s="41"/>
      <c r="W30" s="39"/>
    </row>
    <row r="31" spans="1:25">
      <c r="H31" s="1"/>
      <c r="I31" s="1"/>
      <c r="J31" s="1"/>
      <c r="K31" s="1"/>
      <c r="L31" s="41"/>
      <c r="M31" s="41"/>
      <c r="N31" s="41"/>
      <c r="O31" s="41"/>
      <c r="P31" s="41"/>
      <c r="Q31" s="41"/>
      <c r="R31" s="86"/>
      <c r="S31" s="86"/>
      <c r="T31" s="41"/>
      <c r="U31" s="41"/>
      <c r="V31" s="41"/>
      <c r="W31" s="39"/>
    </row>
    <row r="32" spans="1:25">
      <c r="K32" s="1"/>
      <c r="L32" s="41"/>
      <c r="M32" s="41"/>
      <c r="N32" s="41"/>
      <c r="O32" s="41"/>
      <c r="P32" s="41"/>
      <c r="Q32" s="41"/>
      <c r="R32" s="86"/>
      <c r="S32" s="86"/>
      <c r="T32" s="41"/>
      <c r="U32" s="41"/>
      <c r="V32" s="41"/>
      <c r="W32" s="39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zoomScale="80" zoomScaleNormal="80" workbookViewId="0"/>
  </sheetViews>
  <sheetFormatPr defaultRowHeight="15"/>
  <cols>
    <col min="1" max="1" width="43.5703125" style="398" customWidth="1"/>
    <col min="2" max="2" width="10.42578125" style="398" customWidth="1"/>
    <col min="3" max="9" width="9.140625" style="398"/>
    <col min="10" max="10" width="46.7109375" style="398" bestFit="1" customWidth="1"/>
    <col min="11" max="11" width="9.140625" style="398"/>
    <col min="12" max="12" width="9.140625" style="91"/>
    <col min="13" max="13" width="8.7109375" style="91" customWidth="1"/>
    <col min="14" max="14" width="7.7109375" style="91" customWidth="1"/>
    <col min="15" max="15" width="9.7109375" style="91" customWidth="1"/>
    <col min="16" max="16" width="8.42578125" style="91" customWidth="1"/>
    <col min="17" max="17" width="9.140625" style="91"/>
    <col min="18" max="18" width="9.42578125" style="91" customWidth="1"/>
    <col min="19" max="19" width="9.85546875" style="91" customWidth="1"/>
    <col min="20" max="20" width="10.28515625" style="91" customWidth="1"/>
    <col min="21" max="21" width="8" style="91" customWidth="1"/>
    <col min="22" max="22" width="9.140625" style="91"/>
    <col min="23" max="16384" width="9.140625" style="398"/>
  </cols>
  <sheetData>
    <row r="1" spans="1:2">
      <c r="A1" s="5" t="s">
        <v>0</v>
      </c>
    </row>
    <row r="2" spans="1:2">
      <c r="A2" s="5" t="s">
        <v>1</v>
      </c>
    </row>
    <row r="3" spans="1:2">
      <c r="A3" s="5"/>
    </row>
    <row r="4" spans="1:2">
      <c r="A4" s="13" t="s">
        <v>401</v>
      </c>
    </row>
    <row r="5" spans="1:2" ht="15.75" thickBot="1"/>
    <row r="6" spans="1:2" ht="15.75" thickBot="1">
      <c r="A6" s="369" t="s">
        <v>17</v>
      </c>
      <c r="B6" s="340">
        <v>44927</v>
      </c>
    </row>
    <row r="7" spans="1:2">
      <c r="A7" s="966" t="s">
        <v>42</v>
      </c>
      <c r="B7" s="969">
        <v>501</v>
      </c>
    </row>
    <row r="8" spans="1:2">
      <c r="A8" s="967" t="s">
        <v>368</v>
      </c>
      <c r="B8" s="970">
        <v>337</v>
      </c>
    </row>
    <row r="9" spans="1:2">
      <c r="A9" s="967" t="s">
        <v>31</v>
      </c>
      <c r="B9" s="970">
        <v>301</v>
      </c>
    </row>
    <row r="10" spans="1:2">
      <c r="A10" s="967" t="s">
        <v>40</v>
      </c>
      <c r="B10" s="970">
        <v>263</v>
      </c>
    </row>
    <row r="11" spans="1:2">
      <c r="A11" s="967" t="s">
        <v>399</v>
      </c>
      <c r="B11" s="970">
        <v>239</v>
      </c>
    </row>
    <row r="12" spans="1:2">
      <c r="A12" s="967" t="s">
        <v>103</v>
      </c>
      <c r="B12" s="970">
        <v>151</v>
      </c>
    </row>
    <row r="13" spans="1:2">
      <c r="A13" s="967" t="s">
        <v>367</v>
      </c>
      <c r="B13" s="970">
        <v>138</v>
      </c>
    </row>
    <row r="14" spans="1:2">
      <c r="A14" s="967" t="s">
        <v>400</v>
      </c>
      <c r="B14" s="970">
        <v>129</v>
      </c>
    </row>
    <row r="15" spans="1:2">
      <c r="A15" s="967" t="s">
        <v>74</v>
      </c>
      <c r="B15" s="970">
        <v>118</v>
      </c>
    </row>
    <row r="16" spans="1:2" ht="15.75" thickBot="1">
      <c r="A16" s="968" t="s">
        <v>79</v>
      </c>
      <c r="B16" s="971">
        <v>113</v>
      </c>
    </row>
    <row r="17" spans="1:25" s="400" customFormat="1" ht="15.75" thickBot="1">
      <c r="A17" s="455" t="s">
        <v>3</v>
      </c>
      <c r="B17" s="392">
        <f>SUM(B7:B16)</f>
        <v>2290</v>
      </c>
      <c r="L17" s="401"/>
      <c r="M17" s="401"/>
      <c r="N17" s="401"/>
      <c r="O17" s="401"/>
      <c r="P17" s="401"/>
      <c r="Q17" s="401"/>
      <c r="R17" s="401"/>
      <c r="S17" s="401"/>
      <c r="T17" s="401"/>
      <c r="U17" s="401"/>
      <c r="V17" s="401"/>
    </row>
    <row r="18" spans="1:25" s="400" customFormat="1">
      <c r="A18" s="402"/>
      <c r="B18" s="403"/>
      <c r="C18" s="404"/>
      <c r="D18" s="404"/>
      <c r="E18" s="404"/>
      <c r="F18" s="404"/>
      <c r="G18" s="404"/>
      <c r="H18" s="404"/>
      <c r="I18" s="404"/>
      <c r="J18" s="404"/>
      <c r="L18" s="401"/>
      <c r="M18" s="401"/>
      <c r="N18" s="401"/>
      <c r="O18" s="401"/>
      <c r="P18" s="401"/>
      <c r="Q18" s="401"/>
      <c r="R18" s="401"/>
      <c r="S18" s="401"/>
      <c r="T18" s="401"/>
      <c r="U18" s="401"/>
      <c r="V18" s="401"/>
    </row>
    <row r="19" spans="1:25">
      <c r="A19" s="446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</row>
    <row r="20" spans="1:25">
      <c r="A20" s="778"/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51"/>
      <c r="P20" s="151"/>
      <c r="Q20" s="151"/>
    </row>
    <row r="21" spans="1:25">
      <c r="A21" s="778"/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3"/>
      <c r="P21" s="133"/>
      <c r="Q21" s="133"/>
      <c r="R21" s="133"/>
      <c r="S21" s="133"/>
      <c r="T21" s="133"/>
      <c r="U21" s="132"/>
      <c r="V21" s="132"/>
    </row>
    <row r="22" spans="1:25" s="133" customFormat="1">
      <c r="A22" s="405"/>
    </row>
    <row r="23" spans="1:25" s="133" customFormat="1" ht="30" customHeight="1">
      <c r="A23" s="405"/>
    </row>
    <row r="24" spans="1:25" s="133" customFormat="1">
      <c r="B24" s="423" t="str">
        <f>A7</f>
        <v>Cadastro Único (CadÚnico)</v>
      </c>
      <c r="C24" s="423" t="str">
        <f>A8</f>
        <v>Qualidade de atendimento</v>
      </c>
      <c r="D24" s="423" t="str">
        <f>A9</f>
        <v>Árvore</v>
      </c>
      <c r="E24" s="423" t="str">
        <f>A10</f>
        <v>Buraco e pavimentação</v>
      </c>
      <c r="F24" s="423" t="str">
        <f>A11</f>
        <v>Poluição Sonora - PSIU</v>
      </c>
      <c r="G24" s="423" t="str">
        <f>A12</f>
        <v>Multas de trânsito</v>
      </c>
      <c r="H24" s="423" t="str">
        <f>A13</f>
        <v>Processo Administrativo</v>
      </c>
      <c r="I24" s="423" t="str">
        <f>A14</f>
        <v>Sinalização e Circulação de Veículos e Pedestres</v>
      </c>
      <c r="J24" s="423" t="str">
        <f>A15</f>
        <v>Drenagem de água de chuva</v>
      </c>
      <c r="K24" s="423" t="str">
        <f>A16</f>
        <v>Estabelecimentos comerciais, indústrias e serviços</v>
      </c>
      <c r="L24" s="423" t="s">
        <v>3</v>
      </c>
      <c r="N24" s="406"/>
      <c r="O24" s="406"/>
      <c r="P24" s="406"/>
      <c r="Q24" s="406"/>
      <c r="R24" s="406"/>
      <c r="S24" s="406"/>
      <c r="T24" s="506"/>
      <c r="U24" s="506"/>
      <c r="V24" s="406"/>
      <c r="W24" s="406"/>
      <c r="X24" s="406"/>
      <c r="Y24" s="406"/>
    </row>
    <row r="25" spans="1:25" s="133" customFormat="1">
      <c r="C25" s="423">
        <f>B8</f>
        <v>337</v>
      </c>
      <c r="D25" s="423">
        <f>B9</f>
        <v>301</v>
      </c>
      <c r="E25" s="423">
        <f>B10</f>
        <v>263</v>
      </c>
      <c r="F25" s="423">
        <f>B11</f>
        <v>239</v>
      </c>
      <c r="G25" s="423">
        <f>B12</f>
        <v>151</v>
      </c>
      <c r="H25" s="423">
        <f>B13</f>
        <v>138</v>
      </c>
      <c r="I25" s="423">
        <f>B14</f>
        <v>129</v>
      </c>
      <c r="J25" s="423">
        <f>B15</f>
        <v>118</v>
      </c>
      <c r="K25" s="423">
        <f>B16</f>
        <v>113</v>
      </c>
      <c r="L25" s="423"/>
      <c r="N25" s="406"/>
      <c r="O25" s="406"/>
      <c r="P25" s="406"/>
      <c r="Q25" s="406"/>
      <c r="R25" s="406"/>
      <c r="S25" s="406"/>
      <c r="T25" s="506"/>
      <c r="U25" s="506"/>
      <c r="V25" s="406"/>
      <c r="W25" s="406"/>
      <c r="X25" s="406"/>
      <c r="Y25" s="406"/>
    </row>
    <row r="26" spans="1:25" s="133" customFormat="1">
      <c r="B26" s="423">
        <f>B7</f>
        <v>501</v>
      </c>
      <c r="C26" s="423"/>
      <c r="D26" s="423"/>
      <c r="E26" s="423"/>
      <c r="F26" s="423"/>
      <c r="G26" s="423"/>
      <c r="H26" s="423"/>
      <c r="I26" s="423"/>
      <c r="J26" s="423"/>
      <c r="K26" s="423"/>
      <c r="L26" s="423">
        <v>4257</v>
      </c>
      <c r="N26" s="406"/>
      <c r="O26" s="406"/>
      <c r="P26" s="406"/>
      <c r="Q26" s="406"/>
      <c r="R26" s="406"/>
      <c r="S26" s="406"/>
      <c r="T26" s="506"/>
      <c r="U26" s="506"/>
      <c r="V26" s="406"/>
      <c r="W26" s="406"/>
      <c r="X26" s="406"/>
      <c r="Y26" s="406"/>
    </row>
    <row r="27" spans="1:25" s="133" customFormat="1">
      <c r="J27" s="423"/>
      <c r="N27" s="406"/>
      <c r="O27" s="406"/>
      <c r="P27" s="406"/>
      <c r="Q27" s="406"/>
      <c r="R27" s="406"/>
      <c r="S27" s="406"/>
      <c r="T27" s="506"/>
      <c r="U27" s="506"/>
      <c r="V27" s="406"/>
      <c r="W27" s="406"/>
      <c r="X27" s="406"/>
      <c r="Y27" s="406"/>
    </row>
    <row r="28" spans="1:25" s="133" customFormat="1">
      <c r="N28" s="406"/>
      <c r="O28" s="406"/>
      <c r="P28" s="406"/>
      <c r="Q28" s="406"/>
      <c r="R28" s="406"/>
      <c r="S28" s="406"/>
      <c r="T28" s="506"/>
      <c r="U28" s="506"/>
      <c r="V28" s="406"/>
      <c r="W28" s="406"/>
      <c r="X28" s="406"/>
      <c r="Y28" s="406"/>
    </row>
    <row r="29" spans="1:25" s="133" customFormat="1">
      <c r="N29" s="406"/>
      <c r="O29" s="406"/>
      <c r="P29" s="406"/>
      <c r="Q29" s="406"/>
      <c r="R29" s="406"/>
      <c r="S29" s="406"/>
      <c r="T29" s="506"/>
      <c r="U29" s="506"/>
      <c r="V29" s="406"/>
      <c r="W29" s="406"/>
      <c r="X29" s="406"/>
      <c r="Y29" s="406"/>
    </row>
    <row r="30" spans="1:25" s="133" customFormat="1">
      <c r="A30" s="132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769"/>
    </row>
    <row r="31" spans="1:25" s="133" customFormat="1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</row>
    <row r="32" spans="1:25" s="133" customFormat="1">
      <c r="A32" s="132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</row>
    <row r="33" spans="1:22" s="133" customFormat="1">
      <c r="A33" s="151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</row>
    <row r="34" spans="1:22" s="133" customFormat="1">
      <c r="A34" s="151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</row>
    <row r="35" spans="1:22" s="133" customFormat="1">
      <c r="A35" s="151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</row>
    <row r="36" spans="1:22" s="133" customFormat="1">
      <c r="A36" s="769"/>
      <c r="B36" s="769"/>
      <c r="C36" s="769"/>
      <c r="D36" s="769"/>
      <c r="E36" s="769"/>
      <c r="F36" s="769"/>
      <c r="G36" s="769"/>
      <c r="H36" s="769"/>
      <c r="I36" s="769"/>
      <c r="J36" s="769"/>
      <c r="K36" s="769"/>
      <c r="L36" s="151"/>
      <c r="M36" s="151"/>
      <c r="N36" s="151"/>
      <c r="O36" s="151"/>
      <c r="P36" s="151"/>
    </row>
    <row r="37" spans="1:22" s="133" customFormat="1">
      <c r="A37" s="769"/>
      <c r="B37" s="769"/>
      <c r="C37" s="769"/>
      <c r="D37" s="769"/>
      <c r="E37" s="769"/>
      <c r="F37" s="769"/>
      <c r="G37" s="769"/>
      <c r="H37" s="769"/>
      <c r="I37" s="769"/>
      <c r="J37" s="769"/>
      <c r="K37" s="769"/>
      <c r="L37" s="151"/>
      <c r="M37" s="151"/>
      <c r="N37" s="151"/>
      <c r="O37" s="151"/>
      <c r="P37" s="151"/>
    </row>
    <row r="38" spans="1:22" s="133" customFormat="1">
      <c r="A38" s="769"/>
      <c r="B38" s="769"/>
      <c r="C38" s="769"/>
      <c r="D38" s="769"/>
      <c r="E38" s="769"/>
      <c r="F38" s="769"/>
      <c r="G38" s="769"/>
      <c r="H38" s="769"/>
      <c r="I38" s="769"/>
      <c r="J38" s="769"/>
      <c r="K38" s="769"/>
      <c r="L38" s="151"/>
      <c r="M38" s="151"/>
      <c r="N38" s="151"/>
      <c r="O38" s="151"/>
      <c r="P38" s="151"/>
    </row>
    <row r="39" spans="1:22" s="133" customFormat="1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1:22" s="133" customFormat="1">
      <c r="A40" s="151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1:22" s="133" customFormat="1">
      <c r="A41" s="151"/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</row>
    <row r="42" spans="1:22" s="133" customFormat="1">
      <c r="A42" s="151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</row>
    <row r="43" spans="1:22" s="133" customFormat="1">
      <c r="A43" s="151"/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</row>
    <row r="44" spans="1:22">
      <c r="A44" s="151"/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32"/>
      <c r="N44" s="132"/>
      <c r="O44" s="132"/>
      <c r="P44" s="132"/>
      <c r="Q44" s="132"/>
      <c r="R44" s="132"/>
      <c r="S44" s="132"/>
      <c r="T44" s="132"/>
      <c r="U44" s="132"/>
      <c r="V44" s="132"/>
    </row>
    <row r="45" spans="1:22">
      <c r="B45" s="132"/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</row>
    <row r="46" spans="1:22"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</row>
    <row r="47" spans="1:22"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</row>
    <row r="48" spans="1:22">
      <c r="L48" s="398"/>
      <c r="M48" s="398"/>
      <c r="N48" s="398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B1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zoomScaleNormal="100" workbookViewId="0">
      <selection activeCell="K2" sqref="K2"/>
    </sheetView>
  </sheetViews>
  <sheetFormatPr defaultColWidth="5.5703125" defaultRowHeight="14.25"/>
  <cols>
    <col min="1" max="1" width="68.85546875" style="63" customWidth="1"/>
    <col min="2" max="2" width="7.5703125" style="64" bestFit="1" customWidth="1"/>
    <col min="3" max="3" width="7.7109375" style="64" bestFit="1" customWidth="1"/>
    <col min="4" max="4" width="7.140625" style="64" bestFit="1" customWidth="1"/>
    <col min="5" max="5" width="7" style="64" bestFit="1" customWidth="1"/>
    <col min="6" max="6" width="7.5703125" style="64" bestFit="1" customWidth="1"/>
    <col min="7" max="7" width="6.7109375" style="55" bestFit="1" customWidth="1"/>
    <col min="8" max="8" width="7" style="64" bestFit="1" customWidth="1"/>
    <col min="9" max="9" width="7.28515625" style="64" bestFit="1" customWidth="1"/>
    <col min="10" max="10" width="7.140625" style="64" bestFit="1" customWidth="1"/>
    <col min="11" max="11" width="7.5703125" style="64" bestFit="1" customWidth="1"/>
    <col min="12" max="12" width="7.140625" style="65" bestFit="1" customWidth="1"/>
    <col min="13" max="13" width="7.85546875" style="64" customWidth="1"/>
    <col min="14" max="14" width="9.7109375" style="64" customWidth="1"/>
    <col min="15" max="236" width="9.140625" style="23" customWidth="1"/>
    <col min="237" max="237" width="58.28515625" style="23" customWidth="1"/>
    <col min="238" max="238" width="3.7109375" style="23" bestFit="1" customWidth="1"/>
    <col min="239" max="239" width="5.5703125" style="23" bestFit="1" customWidth="1"/>
    <col min="240" max="240" width="5.5703125" style="23" customWidth="1"/>
    <col min="241" max="16384" width="5.5703125" style="23"/>
  </cols>
  <sheetData>
    <row r="1" spans="1:16" customFormat="1" ht="15">
      <c r="A1" s="5" t="s">
        <v>0</v>
      </c>
      <c r="B1" s="94"/>
      <c r="C1" s="94"/>
      <c r="D1" s="94"/>
      <c r="E1" s="94"/>
      <c r="F1" s="94"/>
      <c r="G1" s="52"/>
      <c r="H1" s="94"/>
      <c r="I1" s="94"/>
      <c r="J1" s="94"/>
      <c r="K1" s="94"/>
      <c r="L1" s="64"/>
      <c r="M1" s="65"/>
      <c r="N1" s="65"/>
      <c r="O1" s="23"/>
      <c r="P1" s="23"/>
    </row>
    <row r="2" spans="1:16" customFormat="1" ht="15">
      <c r="A2" s="95" t="s">
        <v>1</v>
      </c>
      <c r="B2" s="96"/>
      <c r="C2" s="96"/>
      <c r="D2" s="96"/>
      <c r="E2" s="96"/>
      <c r="F2" s="96"/>
      <c r="G2" s="54"/>
      <c r="H2" s="96"/>
      <c r="I2" s="96"/>
      <c r="J2" s="96"/>
      <c r="K2" s="96"/>
      <c r="L2" s="64"/>
      <c r="M2" s="65"/>
      <c r="N2" s="65"/>
      <c r="O2" s="23"/>
      <c r="P2" s="23"/>
    </row>
    <row r="3" spans="1:16" customFormat="1" ht="15.75" thickBot="1">
      <c r="A3" s="63"/>
      <c r="B3" s="64"/>
      <c r="C3" s="64"/>
      <c r="D3" s="64"/>
      <c r="E3" s="64"/>
      <c r="F3" s="64"/>
      <c r="G3" s="55"/>
      <c r="H3" s="64"/>
      <c r="I3" s="64"/>
      <c r="J3" s="64"/>
      <c r="K3" s="64"/>
      <c r="L3" s="64"/>
      <c r="M3" s="65"/>
      <c r="N3" s="65"/>
      <c r="O3" s="23"/>
      <c r="P3" s="23"/>
    </row>
    <row r="4" spans="1:16" customFormat="1" ht="15.75" thickBot="1">
      <c r="A4" s="915" t="s">
        <v>146</v>
      </c>
      <c r="B4" s="142">
        <v>45261</v>
      </c>
      <c r="C4" s="788">
        <v>45231</v>
      </c>
      <c r="D4" s="142">
        <v>45200</v>
      </c>
      <c r="E4" s="31">
        <v>45170</v>
      </c>
      <c r="F4" s="116">
        <v>45139</v>
      </c>
      <c r="G4" s="116">
        <v>45108</v>
      </c>
      <c r="H4" s="116">
        <v>45078</v>
      </c>
      <c r="I4" s="117">
        <v>45047</v>
      </c>
      <c r="J4" s="117">
        <v>45017</v>
      </c>
      <c r="K4" s="117">
        <v>44986</v>
      </c>
      <c r="L4" s="906">
        <v>44958</v>
      </c>
      <c r="M4" s="340">
        <v>44927</v>
      </c>
      <c r="N4" s="117" t="s">
        <v>3</v>
      </c>
      <c r="O4" s="97" t="s">
        <v>4</v>
      </c>
      <c r="P4" s="98" t="s">
        <v>18</v>
      </c>
    </row>
    <row r="5" spans="1:16" customFormat="1" ht="15">
      <c r="A5" s="916" t="s">
        <v>340</v>
      </c>
      <c r="B5" s="908"/>
      <c r="C5" s="804"/>
      <c r="D5" s="135"/>
      <c r="E5" s="135"/>
      <c r="F5" s="135"/>
      <c r="G5" s="135"/>
      <c r="H5" s="149"/>
      <c r="I5" s="135"/>
      <c r="J5" s="135"/>
      <c r="K5" s="658"/>
      <c r="L5" s="658"/>
      <c r="M5" s="312">
        <v>68</v>
      </c>
      <c r="N5" s="903">
        <f>SUM(B5:M5)</f>
        <v>68</v>
      </c>
      <c r="O5" s="171">
        <f>AVERAGE(B5:M5)</f>
        <v>68</v>
      </c>
      <c r="P5" s="172">
        <f t="shared" ref="P5:P36" si="0">(N5/$N$72)*100</f>
        <v>1.5973690392295041</v>
      </c>
    </row>
    <row r="6" spans="1:16" s="341" customFormat="1" ht="15">
      <c r="A6" s="913" t="s">
        <v>252</v>
      </c>
      <c r="B6" s="909"/>
      <c r="C6" s="805"/>
      <c r="D6" s="312"/>
      <c r="E6" s="312"/>
      <c r="F6" s="312"/>
      <c r="G6" s="134"/>
      <c r="H6" s="147"/>
      <c r="I6" s="134"/>
      <c r="J6" s="312"/>
      <c r="K6" s="659"/>
      <c r="L6" s="659"/>
      <c r="M6" s="134">
        <v>0</v>
      </c>
      <c r="N6" s="904">
        <f>SUM(B6:M6)</f>
        <v>0</v>
      </c>
      <c r="O6" s="171">
        <f t="shared" ref="O6:O70" si="1">AVERAGE(B6:M6)</f>
        <v>0</v>
      </c>
      <c r="P6" s="172">
        <f t="shared" si="0"/>
        <v>0</v>
      </c>
    </row>
    <row r="7" spans="1:16" customFormat="1" ht="15">
      <c r="A7" s="913" t="s">
        <v>230</v>
      </c>
      <c r="B7" s="910"/>
      <c r="C7" s="805"/>
      <c r="D7" s="134"/>
      <c r="E7" s="134"/>
      <c r="F7" s="134"/>
      <c r="G7" s="134"/>
      <c r="H7" s="147"/>
      <c r="I7" s="134"/>
      <c r="J7" s="134"/>
      <c r="K7" s="660"/>
      <c r="L7" s="660"/>
      <c r="M7" s="134">
        <v>327</v>
      </c>
      <c r="N7" s="904">
        <f t="shared" ref="N7:N70" si="2">SUM(B7:M7)</f>
        <v>327</v>
      </c>
      <c r="O7" s="171">
        <f t="shared" si="1"/>
        <v>327</v>
      </c>
      <c r="P7" s="172">
        <f t="shared" si="0"/>
        <v>7.681465821000705</v>
      </c>
    </row>
    <row r="8" spans="1:16" customFormat="1" ht="15">
      <c r="A8" s="913" t="s">
        <v>200</v>
      </c>
      <c r="B8" s="910"/>
      <c r="C8" s="805"/>
      <c r="D8" s="134"/>
      <c r="E8" s="134"/>
      <c r="F8" s="134"/>
      <c r="G8" s="134"/>
      <c r="H8" s="147"/>
      <c r="I8" s="134"/>
      <c r="J8" s="134"/>
      <c r="K8" s="660"/>
      <c r="L8" s="660"/>
      <c r="M8" s="134">
        <v>12</v>
      </c>
      <c r="N8" s="904">
        <f t="shared" si="2"/>
        <v>12</v>
      </c>
      <c r="O8" s="171">
        <f t="shared" si="1"/>
        <v>12</v>
      </c>
      <c r="P8" s="172">
        <f t="shared" si="0"/>
        <v>0.28188865398167723</v>
      </c>
    </row>
    <row r="9" spans="1:16" s="309" customFormat="1" ht="15">
      <c r="A9" s="913" t="s">
        <v>337</v>
      </c>
      <c r="B9" s="910"/>
      <c r="C9" s="805"/>
      <c r="D9" s="134"/>
      <c r="E9" s="134"/>
      <c r="F9" s="134"/>
      <c r="G9" s="134"/>
      <c r="H9" s="147"/>
      <c r="I9" s="134"/>
      <c r="J9" s="134"/>
      <c r="K9" s="660"/>
      <c r="L9" s="660"/>
      <c r="M9" s="134">
        <v>35</v>
      </c>
      <c r="N9" s="904">
        <f>SUM(B9:M9)</f>
        <v>35</v>
      </c>
      <c r="O9" s="171">
        <f t="shared" si="1"/>
        <v>35</v>
      </c>
      <c r="P9" s="172">
        <f t="shared" si="0"/>
        <v>0.82217524077989201</v>
      </c>
    </row>
    <row r="10" spans="1:16" s="772" customFormat="1" ht="15">
      <c r="A10" s="913" t="s">
        <v>217</v>
      </c>
      <c r="B10" s="910"/>
      <c r="C10" s="805"/>
      <c r="D10" s="134"/>
      <c r="E10" s="134"/>
      <c r="F10" s="134"/>
      <c r="G10" s="134"/>
      <c r="H10" s="147"/>
      <c r="I10" s="134"/>
      <c r="J10" s="134"/>
      <c r="K10" s="660"/>
      <c r="L10" s="660"/>
      <c r="M10" s="134">
        <v>0</v>
      </c>
      <c r="N10" s="904">
        <f>SUM(B10:M10)</f>
        <v>0</v>
      </c>
      <c r="O10" s="171">
        <f>AVERAGE(B10:M10)</f>
        <v>0</v>
      </c>
      <c r="P10" s="172">
        <f t="shared" si="0"/>
        <v>0</v>
      </c>
    </row>
    <row r="11" spans="1:16" s="639" customFormat="1" ht="15">
      <c r="A11" s="913" t="s">
        <v>201</v>
      </c>
      <c r="B11" s="910"/>
      <c r="C11" s="805"/>
      <c r="D11" s="134"/>
      <c r="E11" s="134"/>
      <c r="F11" s="134"/>
      <c r="G11" s="134"/>
      <c r="H11" s="147"/>
      <c r="I11" s="134"/>
      <c r="J11" s="134"/>
      <c r="K11" s="660"/>
      <c r="L11" s="661"/>
      <c r="M11" s="134">
        <v>84</v>
      </c>
      <c r="N11" s="904">
        <f>SUM(B11:M11)</f>
        <v>84</v>
      </c>
      <c r="O11" s="171">
        <f t="shared" si="1"/>
        <v>84</v>
      </c>
      <c r="P11" s="172">
        <f t="shared" si="0"/>
        <v>1.9732205778717407</v>
      </c>
    </row>
    <row r="12" spans="1:16" customFormat="1" ht="15">
      <c r="A12" s="913" t="s">
        <v>155</v>
      </c>
      <c r="B12" s="910"/>
      <c r="C12" s="805"/>
      <c r="D12" s="134"/>
      <c r="E12" s="134"/>
      <c r="F12" s="134"/>
      <c r="G12" s="134"/>
      <c r="H12" s="134"/>
      <c r="I12" s="134"/>
      <c r="J12" s="134"/>
      <c r="K12" s="660"/>
      <c r="L12" s="660"/>
      <c r="M12" s="134">
        <v>33</v>
      </c>
      <c r="N12" s="904">
        <f t="shared" si="2"/>
        <v>33</v>
      </c>
      <c r="O12" s="171">
        <f t="shared" si="1"/>
        <v>33</v>
      </c>
      <c r="P12" s="172">
        <f t="shared" si="0"/>
        <v>0.77519379844961245</v>
      </c>
    </row>
    <row r="13" spans="1:16" customFormat="1" ht="15">
      <c r="A13" s="913" t="s">
        <v>349</v>
      </c>
      <c r="B13" s="910"/>
      <c r="C13" s="805"/>
      <c r="D13" s="134"/>
      <c r="E13" s="134"/>
      <c r="F13" s="134"/>
      <c r="G13" s="134"/>
      <c r="H13" s="134"/>
      <c r="I13" s="134"/>
      <c r="J13" s="134"/>
      <c r="K13" s="660"/>
      <c r="L13" s="660"/>
      <c r="M13" s="134">
        <v>0</v>
      </c>
      <c r="N13" s="904">
        <f t="shared" si="2"/>
        <v>0</v>
      </c>
      <c r="O13" s="171">
        <f t="shared" si="1"/>
        <v>0</v>
      </c>
      <c r="P13" s="172">
        <f t="shared" si="0"/>
        <v>0</v>
      </c>
    </row>
    <row r="14" spans="1:16" customFormat="1" ht="15">
      <c r="A14" s="913" t="s">
        <v>231</v>
      </c>
      <c r="B14" s="910"/>
      <c r="C14" s="805"/>
      <c r="D14" s="134"/>
      <c r="E14" s="134"/>
      <c r="F14" s="134"/>
      <c r="G14" s="134"/>
      <c r="H14" s="134"/>
      <c r="I14" s="134"/>
      <c r="J14" s="134"/>
      <c r="K14" s="660"/>
      <c r="L14" s="660"/>
      <c r="M14" s="134">
        <v>140</v>
      </c>
      <c r="N14" s="904">
        <f t="shared" si="2"/>
        <v>140</v>
      </c>
      <c r="O14" s="171">
        <f t="shared" si="1"/>
        <v>140</v>
      </c>
      <c r="P14" s="172">
        <f t="shared" si="0"/>
        <v>3.2887009631195681</v>
      </c>
    </row>
    <row r="15" spans="1:16" customFormat="1" ht="15">
      <c r="A15" s="913" t="s">
        <v>245</v>
      </c>
      <c r="B15" s="910"/>
      <c r="C15" s="805"/>
      <c r="D15" s="134"/>
      <c r="E15" s="134"/>
      <c r="F15" s="134"/>
      <c r="G15" s="134"/>
      <c r="H15" s="147"/>
      <c r="I15" s="134"/>
      <c r="J15" s="134"/>
      <c r="K15" s="660"/>
      <c r="L15" s="660"/>
      <c r="M15" s="134">
        <v>0</v>
      </c>
      <c r="N15" s="904">
        <f t="shared" si="2"/>
        <v>0</v>
      </c>
      <c r="O15" s="171">
        <f t="shared" si="1"/>
        <v>0</v>
      </c>
      <c r="P15" s="172">
        <f t="shared" si="0"/>
        <v>0</v>
      </c>
    </row>
    <row r="16" spans="1:16" customFormat="1" ht="15">
      <c r="A16" s="913" t="s">
        <v>394</v>
      </c>
      <c r="B16" s="910"/>
      <c r="C16" s="805"/>
      <c r="D16" s="134"/>
      <c r="E16" s="134"/>
      <c r="F16" s="134"/>
      <c r="G16" s="134"/>
      <c r="H16" s="134"/>
      <c r="I16" s="134"/>
      <c r="J16" s="134"/>
      <c r="K16" s="660"/>
      <c r="L16" s="660"/>
      <c r="M16" s="134">
        <v>0</v>
      </c>
      <c r="N16" s="904">
        <f t="shared" si="2"/>
        <v>0</v>
      </c>
      <c r="O16" s="171">
        <f t="shared" si="1"/>
        <v>0</v>
      </c>
      <c r="P16" s="172">
        <f t="shared" si="0"/>
        <v>0</v>
      </c>
    </row>
    <row r="17" spans="1:16" customFormat="1" ht="15" customHeight="1">
      <c r="A17" s="913" t="s">
        <v>154</v>
      </c>
      <c r="B17" s="910"/>
      <c r="C17" s="805"/>
      <c r="D17" s="134"/>
      <c r="E17" s="134"/>
      <c r="F17" s="134"/>
      <c r="G17" s="134"/>
      <c r="H17" s="134"/>
      <c r="I17" s="134"/>
      <c r="J17" s="134"/>
      <c r="K17" s="660"/>
      <c r="L17" s="660"/>
      <c r="M17" s="134">
        <v>2</v>
      </c>
      <c r="N17" s="904">
        <f t="shared" si="2"/>
        <v>2</v>
      </c>
      <c r="O17" s="171">
        <f t="shared" si="1"/>
        <v>2</v>
      </c>
      <c r="P17" s="172">
        <f t="shared" si="0"/>
        <v>4.6981442330279538E-2</v>
      </c>
    </row>
    <row r="18" spans="1:16" customFormat="1" ht="15">
      <c r="A18" s="913" t="s">
        <v>341</v>
      </c>
      <c r="B18" s="910"/>
      <c r="C18" s="805"/>
      <c r="D18" s="134"/>
      <c r="E18" s="134"/>
      <c r="F18" s="134"/>
      <c r="G18" s="134"/>
      <c r="H18" s="134"/>
      <c r="I18" s="134"/>
      <c r="J18" s="134"/>
      <c r="K18" s="660"/>
      <c r="L18" s="660"/>
      <c r="M18" s="134">
        <v>247</v>
      </c>
      <c r="N18" s="904">
        <f t="shared" si="2"/>
        <v>247</v>
      </c>
      <c r="O18" s="171">
        <f t="shared" si="1"/>
        <v>247</v>
      </c>
      <c r="P18" s="172">
        <f t="shared" si="0"/>
        <v>5.8022081277895232</v>
      </c>
    </row>
    <row r="19" spans="1:16" customFormat="1" ht="15">
      <c r="A19" s="913" t="s">
        <v>156</v>
      </c>
      <c r="B19" s="910"/>
      <c r="C19" s="805"/>
      <c r="D19" s="134"/>
      <c r="E19" s="134"/>
      <c r="F19" s="134"/>
      <c r="G19" s="134"/>
      <c r="H19" s="134"/>
      <c r="I19" s="134"/>
      <c r="J19" s="134"/>
      <c r="K19" s="660"/>
      <c r="L19" s="660"/>
      <c r="M19" s="134">
        <v>328</v>
      </c>
      <c r="N19" s="904">
        <f t="shared" si="2"/>
        <v>328</v>
      </c>
      <c r="O19" s="171">
        <f t="shared" si="1"/>
        <v>328</v>
      </c>
      <c r="P19" s="172">
        <f t="shared" si="0"/>
        <v>7.7049565421658448</v>
      </c>
    </row>
    <row r="20" spans="1:16" customFormat="1" ht="15">
      <c r="A20" s="913" t="s">
        <v>157</v>
      </c>
      <c r="B20" s="910"/>
      <c r="C20" s="805"/>
      <c r="D20" s="134"/>
      <c r="E20" s="134"/>
      <c r="F20" s="134"/>
      <c r="G20" s="134"/>
      <c r="H20" s="134"/>
      <c r="I20" s="134"/>
      <c r="J20" s="134"/>
      <c r="K20" s="660"/>
      <c r="L20" s="660"/>
      <c r="M20" s="134">
        <v>2</v>
      </c>
      <c r="N20" s="904">
        <f t="shared" si="2"/>
        <v>2</v>
      </c>
      <c r="O20" s="171">
        <f t="shared" si="1"/>
        <v>2</v>
      </c>
      <c r="P20" s="172">
        <f t="shared" si="0"/>
        <v>4.6981442330279538E-2</v>
      </c>
    </row>
    <row r="21" spans="1:16" customFormat="1" ht="15">
      <c r="A21" s="913" t="s">
        <v>158</v>
      </c>
      <c r="B21" s="910"/>
      <c r="C21" s="805"/>
      <c r="D21" s="134"/>
      <c r="E21" s="134"/>
      <c r="F21" s="134"/>
      <c r="G21" s="134"/>
      <c r="H21" s="134"/>
      <c r="I21" s="134"/>
      <c r="J21" s="134"/>
      <c r="K21" s="660"/>
      <c r="L21" s="660"/>
      <c r="M21" s="134">
        <v>343</v>
      </c>
      <c r="N21" s="904">
        <f t="shared" si="2"/>
        <v>343</v>
      </c>
      <c r="O21" s="171">
        <f t="shared" si="1"/>
        <v>343</v>
      </c>
      <c r="P21" s="172">
        <f t="shared" si="0"/>
        <v>8.0573173596429406</v>
      </c>
    </row>
    <row r="22" spans="1:16" s="663" customFormat="1" ht="15">
      <c r="A22" s="913" t="s">
        <v>228</v>
      </c>
      <c r="B22" s="910"/>
      <c r="C22" s="805"/>
      <c r="D22" s="134"/>
      <c r="E22" s="134"/>
      <c r="F22" s="134"/>
      <c r="G22" s="134"/>
      <c r="H22" s="134"/>
      <c r="I22" s="134"/>
      <c r="J22" s="134"/>
      <c r="K22" s="902"/>
      <c r="L22" s="902"/>
      <c r="M22" s="134">
        <v>545</v>
      </c>
      <c r="N22" s="904">
        <f>SUM(B22:M22)</f>
        <v>545</v>
      </c>
      <c r="O22" s="171">
        <f>AVERAGE(B22:M22)</f>
        <v>545</v>
      </c>
      <c r="P22" s="172">
        <f t="shared" si="0"/>
        <v>12.802443035001174</v>
      </c>
    </row>
    <row r="23" spans="1:16" customFormat="1" ht="15">
      <c r="A23" s="913" t="s">
        <v>159</v>
      </c>
      <c r="B23" s="910"/>
      <c r="C23" s="805"/>
      <c r="D23" s="134"/>
      <c r="E23" s="134"/>
      <c r="F23" s="134"/>
      <c r="G23" s="134"/>
      <c r="H23" s="134"/>
      <c r="I23" s="134"/>
      <c r="J23" s="134"/>
      <c r="K23" s="660"/>
      <c r="L23" s="660"/>
      <c r="M23" s="134">
        <v>564</v>
      </c>
      <c r="N23" s="904">
        <f t="shared" si="2"/>
        <v>564</v>
      </c>
      <c r="O23" s="171">
        <f t="shared" si="1"/>
        <v>564</v>
      </c>
      <c r="P23" s="172">
        <f t="shared" si="0"/>
        <v>13.248766737138832</v>
      </c>
    </row>
    <row r="24" spans="1:16" customFormat="1" ht="15">
      <c r="A24" s="913" t="s">
        <v>160</v>
      </c>
      <c r="B24" s="910"/>
      <c r="C24" s="805"/>
      <c r="D24" s="134"/>
      <c r="E24" s="134"/>
      <c r="F24" s="134"/>
      <c r="G24" s="134"/>
      <c r="H24" s="134"/>
      <c r="I24" s="134"/>
      <c r="J24" s="134"/>
      <c r="K24" s="660"/>
      <c r="L24" s="660"/>
      <c r="M24" s="134">
        <v>11</v>
      </c>
      <c r="N24" s="904">
        <f t="shared" si="2"/>
        <v>11</v>
      </c>
      <c r="O24" s="171">
        <f t="shared" si="1"/>
        <v>11</v>
      </c>
      <c r="P24" s="172">
        <f t="shared" si="0"/>
        <v>0.2583979328165375</v>
      </c>
    </row>
    <row r="25" spans="1:16" customFormat="1" ht="15">
      <c r="A25" s="913" t="s">
        <v>384</v>
      </c>
      <c r="B25" s="910"/>
      <c r="C25" s="805"/>
      <c r="D25" s="134"/>
      <c r="E25" s="134"/>
      <c r="F25" s="134"/>
      <c r="G25" s="134"/>
      <c r="H25" s="134"/>
      <c r="I25" s="134"/>
      <c r="J25" s="134"/>
      <c r="K25" s="660"/>
      <c r="L25" s="660"/>
      <c r="M25" s="134">
        <v>12</v>
      </c>
      <c r="N25" s="904">
        <f t="shared" si="2"/>
        <v>12</v>
      </c>
      <c r="O25" s="171">
        <f t="shared" si="1"/>
        <v>12</v>
      </c>
      <c r="P25" s="172">
        <f t="shared" si="0"/>
        <v>0.28188865398167723</v>
      </c>
    </row>
    <row r="26" spans="1:16" customFormat="1" ht="15">
      <c r="A26" s="913" t="s">
        <v>161</v>
      </c>
      <c r="B26" s="910"/>
      <c r="C26" s="805"/>
      <c r="D26" s="134"/>
      <c r="E26" s="134"/>
      <c r="F26" s="134"/>
      <c r="G26" s="134"/>
      <c r="H26" s="147"/>
      <c r="I26" s="134"/>
      <c r="J26" s="134"/>
      <c r="K26" s="660"/>
      <c r="L26" s="660"/>
      <c r="M26" s="134">
        <v>9</v>
      </c>
      <c r="N26" s="904">
        <f t="shared" si="2"/>
        <v>9</v>
      </c>
      <c r="O26" s="171">
        <f t="shared" si="1"/>
        <v>9</v>
      </c>
      <c r="P26" s="172">
        <f t="shared" si="0"/>
        <v>0.21141649048625794</v>
      </c>
    </row>
    <row r="27" spans="1:16" customFormat="1" ht="15">
      <c r="A27" s="913" t="s">
        <v>162</v>
      </c>
      <c r="B27" s="910"/>
      <c r="C27" s="805"/>
      <c r="D27" s="134"/>
      <c r="E27" s="134"/>
      <c r="F27" s="134"/>
      <c r="G27" s="134"/>
      <c r="H27" s="134"/>
      <c r="I27" s="134"/>
      <c r="J27" s="134"/>
      <c r="K27" s="660"/>
      <c r="L27" s="660"/>
      <c r="M27" s="134">
        <v>131</v>
      </c>
      <c r="N27" s="904">
        <f t="shared" si="2"/>
        <v>131</v>
      </c>
      <c r="O27" s="171">
        <f t="shared" si="1"/>
        <v>131</v>
      </c>
      <c r="P27" s="172">
        <f t="shared" si="0"/>
        <v>3.07728447263331</v>
      </c>
    </row>
    <row r="28" spans="1:16" customFormat="1" ht="15">
      <c r="A28" s="913" t="s">
        <v>163</v>
      </c>
      <c r="B28" s="910"/>
      <c r="C28" s="805"/>
      <c r="D28" s="134"/>
      <c r="E28" s="134"/>
      <c r="F28" s="134"/>
      <c r="G28" s="134"/>
      <c r="H28" s="134"/>
      <c r="I28" s="134"/>
      <c r="J28" s="134"/>
      <c r="K28" s="660"/>
      <c r="L28" s="660"/>
      <c r="M28" s="134">
        <v>14</v>
      </c>
      <c r="N28" s="904">
        <f t="shared" si="2"/>
        <v>14</v>
      </c>
      <c r="O28" s="171">
        <f t="shared" si="1"/>
        <v>14</v>
      </c>
      <c r="P28" s="172">
        <f t="shared" si="0"/>
        <v>0.32887009631195679</v>
      </c>
    </row>
    <row r="29" spans="1:16" s="679" customFormat="1" ht="15">
      <c r="A29" s="913" t="s">
        <v>350</v>
      </c>
      <c r="B29" s="910"/>
      <c r="C29" s="805"/>
      <c r="D29" s="134"/>
      <c r="E29" s="134"/>
      <c r="F29" s="134"/>
      <c r="G29" s="134"/>
      <c r="H29" s="134"/>
      <c r="I29" s="134"/>
      <c r="J29" s="134"/>
      <c r="K29" s="660"/>
      <c r="L29" s="660"/>
      <c r="M29" s="134">
        <v>17</v>
      </c>
      <c r="N29" s="904">
        <f t="shared" si="2"/>
        <v>17</v>
      </c>
      <c r="O29" s="171">
        <f t="shared" si="1"/>
        <v>17</v>
      </c>
      <c r="P29" s="172">
        <f t="shared" si="0"/>
        <v>0.39934225980737603</v>
      </c>
    </row>
    <row r="30" spans="1:16" customFormat="1" ht="15">
      <c r="A30" s="913" t="s">
        <v>164</v>
      </c>
      <c r="B30" s="910"/>
      <c r="C30" s="805"/>
      <c r="D30" s="134"/>
      <c r="E30" s="134"/>
      <c r="F30" s="134"/>
      <c r="G30" s="134"/>
      <c r="H30" s="134"/>
      <c r="I30" s="134"/>
      <c r="J30" s="134"/>
      <c r="K30" s="660"/>
      <c r="L30" s="660"/>
      <c r="M30" s="134">
        <v>8</v>
      </c>
      <c r="N30" s="904">
        <f t="shared" si="2"/>
        <v>8</v>
      </c>
      <c r="O30" s="171">
        <f t="shared" si="1"/>
        <v>8</v>
      </c>
      <c r="P30" s="172">
        <f t="shared" si="0"/>
        <v>0.18792576932111815</v>
      </c>
    </row>
    <row r="31" spans="1:16" customFormat="1" ht="15">
      <c r="A31" s="913" t="s">
        <v>229</v>
      </c>
      <c r="B31" s="911"/>
      <c r="C31" s="805"/>
      <c r="D31" s="148"/>
      <c r="E31" s="148"/>
      <c r="F31" s="148"/>
      <c r="G31" s="148"/>
      <c r="H31" s="152"/>
      <c r="I31" s="148"/>
      <c r="J31" s="134"/>
      <c r="K31" s="661"/>
      <c r="L31" s="660"/>
      <c r="M31" s="134">
        <v>50</v>
      </c>
      <c r="N31" s="904">
        <f t="shared" si="2"/>
        <v>50</v>
      </c>
      <c r="O31" s="171">
        <f t="shared" si="1"/>
        <v>50</v>
      </c>
      <c r="P31" s="172">
        <f t="shared" si="0"/>
        <v>1.1745360582569884</v>
      </c>
    </row>
    <row r="32" spans="1:16" customFormat="1" ht="15">
      <c r="A32" s="913" t="s">
        <v>165</v>
      </c>
      <c r="B32" s="910"/>
      <c r="C32" s="805"/>
      <c r="D32" s="134"/>
      <c r="E32" s="134"/>
      <c r="F32" s="134"/>
      <c r="G32" s="134"/>
      <c r="H32" s="134"/>
      <c r="I32" s="134"/>
      <c r="J32" s="134"/>
      <c r="K32" s="660"/>
      <c r="L32" s="660"/>
      <c r="M32" s="134">
        <v>29</v>
      </c>
      <c r="N32" s="904">
        <f t="shared" si="2"/>
        <v>29</v>
      </c>
      <c r="O32" s="171">
        <f t="shared" si="1"/>
        <v>29</v>
      </c>
      <c r="P32" s="172">
        <f t="shared" si="0"/>
        <v>0.68123091378905332</v>
      </c>
    </row>
    <row r="33" spans="1:16" customFormat="1" ht="15" customHeight="1">
      <c r="A33" s="913" t="s">
        <v>166</v>
      </c>
      <c r="B33" s="910"/>
      <c r="C33" s="805"/>
      <c r="D33" s="134"/>
      <c r="E33" s="134"/>
      <c r="F33" s="134"/>
      <c r="G33" s="134"/>
      <c r="H33" s="134"/>
      <c r="I33" s="134"/>
      <c r="J33" s="134"/>
      <c r="K33" s="660"/>
      <c r="L33" s="660"/>
      <c r="M33" s="134">
        <v>0</v>
      </c>
      <c r="N33" s="904">
        <f t="shared" si="2"/>
        <v>0</v>
      </c>
      <c r="O33" s="171">
        <f t="shared" si="1"/>
        <v>0</v>
      </c>
      <c r="P33" s="172">
        <f t="shared" si="0"/>
        <v>0</v>
      </c>
    </row>
    <row r="34" spans="1:16" customFormat="1" ht="15" customHeight="1">
      <c r="A34" s="913" t="s">
        <v>274</v>
      </c>
      <c r="B34" s="910"/>
      <c r="C34" s="805"/>
      <c r="D34" s="134"/>
      <c r="E34" s="134"/>
      <c r="F34" s="134"/>
      <c r="G34" s="134"/>
      <c r="H34" s="134"/>
      <c r="I34" s="134"/>
      <c r="J34" s="134"/>
      <c r="K34" s="660"/>
      <c r="L34" s="660"/>
      <c r="M34" s="134">
        <v>70</v>
      </c>
      <c r="N34" s="904">
        <f t="shared" si="2"/>
        <v>70</v>
      </c>
      <c r="O34" s="171">
        <f t="shared" si="1"/>
        <v>70</v>
      </c>
      <c r="P34" s="172">
        <f t="shared" si="0"/>
        <v>1.644350481559784</v>
      </c>
    </row>
    <row r="35" spans="1:16" customFormat="1" ht="15" customHeight="1">
      <c r="A35" s="913" t="s">
        <v>167</v>
      </c>
      <c r="B35" s="910"/>
      <c r="C35" s="805"/>
      <c r="D35" s="134"/>
      <c r="E35" s="134"/>
      <c r="F35" s="134"/>
      <c r="G35" s="134"/>
      <c r="H35" s="134"/>
      <c r="I35" s="134"/>
      <c r="J35" s="134"/>
      <c r="K35" s="660"/>
      <c r="L35" s="660"/>
      <c r="M35" s="134">
        <v>37</v>
      </c>
      <c r="N35" s="904">
        <f t="shared" si="2"/>
        <v>37</v>
      </c>
      <c r="O35" s="171">
        <f t="shared" si="1"/>
        <v>37</v>
      </c>
      <c r="P35" s="172">
        <f t="shared" si="0"/>
        <v>0.86915668311017147</v>
      </c>
    </row>
    <row r="36" spans="1:16" customFormat="1" ht="15" customHeight="1">
      <c r="A36" s="913" t="s">
        <v>357</v>
      </c>
      <c r="B36" s="910"/>
      <c r="C36" s="805"/>
      <c r="D36" s="148"/>
      <c r="E36" s="134"/>
      <c r="F36" s="134"/>
      <c r="G36" s="148"/>
      <c r="H36" s="134"/>
      <c r="I36" s="148"/>
      <c r="J36" s="134"/>
      <c r="K36" s="661"/>
      <c r="L36" s="660"/>
      <c r="M36" s="134">
        <v>2</v>
      </c>
      <c r="N36" s="904">
        <f t="shared" si="2"/>
        <v>2</v>
      </c>
      <c r="O36" s="171">
        <f t="shared" si="1"/>
        <v>2</v>
      </c>
      <c r="P36" s="172">
        <f t="shared" si="0"/>
        <v>4.6981442330279538E-2</v>
      </c>
    </row>
    <row r="37" spans="1:16" customFormat="1" ht="15" customHeight="1">
      <c r="A37" s="913" t="s">
        <v>246</v>
      </c>
      <c r="B37" s="910"/>
      <c r="C37" s="805"/>
      <c r="D37" s="134"/>
      <c r="E37" s="134"/>
      <c r="F37" s="134"/>
      <c r="G37" s="134"/>
      <c r="H37" s="134"/>
      <c r="I37" s="134"/>
      <c r="J37" s="134"/>
      <c r="K37" s="660"/>
      <c r="L37" s="660"/>
      <c r="M37" s="134">
        <v>41</v>
      </c>
      <c r="N37" s="904">
        <f t="shared" si="2"/>
        <v>41</v>
      </c>
      <c r="O37" s="171">
        <f t="shared" si="1"/>
        <v>41</v>
      </c>
      <c r="P37" s="172">
        <f t="shared" ref="P37:P71" si="3">(N37/$N$72)*100</f>
        <v>0.9631195677707306</v>
      </c>
    </row>
    <row r="38" spans="1:16" customFormat="1" ht="15" customHeight="1">
      <c r="A38" s="913" t="s">
        <v>168</v>
      </c>
      <c r="B38" s="910"/>
      <c r="C38" s="805"/>
      <c r="D38" s="134"/>
      <c r="E38" s="134"/>
      <c r="F38" s="134"/>
      <c r="G38" s="134"/>
      <c r="H38" s="134"/>
      <c r="I38" s="134"/>
      <c r="J38" s="134"/>
      <c r="K38" s="660"/>
      <c r="L38" s="660"/>
      <c r="M38" s="134">
        <v>30</v>
      </c>
      <c r="N38" s="904">
        <f t="shared" si="2"/>
        <v>30</v>
      </c>
      <c r="O38" s="171">
        <f t="shared" si="1"/>
        <v>30</v>
      </c>
      <c r="P38" s="172">
        <f t="shared" si="3"/>
        <v>0.70472163495419315</v>
      </c>
    </row>
    <row r="39" spans="1:16" customFormat="1" ht="15" customHeight="1">
      <c r="A39" s="913" t="s">
        <v>232</v>
      </c>
      <c r="B39" s="910"/>
      <c r="C39" s="805"/>
      <c r="D39" s="134"/>
      <c r="E39" s="134"/>
      <c r="F39" s="134"/>
      <c r="G39" s="134"/>
      <c r="H39" s="134"/>
      <c r="I39" s="134"/>
      <c r="J39" s="134"/>
      <c r="K39" s="660"/>
      <c r="L39" s="660"/>
      <c r="M39" s="134">
        <v>15</v>
      </c>
      <c r="N39" s="904">
        <f t="shared" si="2"/>
        <v>15</v>
      </c>
      <c r="O39" s="171">
        <f t="shared" si="1"/>
        <v>15</v>
      </c>
      <c r="P39" s="172">
        <f t="shared" si="3"/>
        <v>0.35236081747709658</v>
      </c>
    </row>
    <row r="40" spans="1:16" customFormat="1" ht="15" customHeight="1">
      <c r="A40" s="913" t="s">
        <v>338</v>
      </c>
      <c r="B40" s="910"/>
      <c r="C40" s="805"/>
      <c r="D40" s="134"/>
      <c r="E40" s="134"/>
      <c r="F40" s="134"/>
      <c r="G40" s="134"/>
      <c r="H40" s="134"/>
      <c r="I40" s="134"/>
      <c r="J40" s="134"/>
      <c r="K40" s="660"/>
      <c r="L40" s="660"/>
      <c r="M40" s="134">
        <v>24</v>
      </c>
      <c r="N40" s="904">
        <f t="shared" si="2"/>
        <v>24</v>
      </c>
      <c r="O40" s="171">
        <f t="shared" si="1"/>
        <v>24</v>
      </c>
      <c r="P40" s="172">
        <f t="shared" si="3"/>
        <v>0.56377730796335446</v>
      </c>
    </row>
    <row r="41" spans="1:16" customFormat="1" ht="15" customHeight="1">
      <c r="A41" s="913" t="s">
        <v>169</v>
      </c>
      <c r="B41" s="910"/>
      <c r="C41" s="805"/>
      <c r="D41" s="134"/>
      <c r="E41" s="134"/>
      <c r="F41" s="134"/>
      <c r="G41" s="134"/>
      <c r="H41" s="134"/>
      <c r="I41" s="134"/>
      <c r="J41" s="134"/>
      <c r="K41" s="660"/>
      <c r="L41" s="660"/>
      <c r="M41" s="134">
        <v>52</v>
      </c>
      <c r="N41" s="904">
        <f t="shared" si="2"/>
        <v>52</v>
      </c>
      <c r="O41" s="171">
        <f t="shared" si="1"/>
        <v>52</v>
      </c>
      <c r="P41" s="172">
        <f t="shared" si="3"/>
        <v>1.221517500587268</v>
      </c>
    </row>
    <row r="42" spans="1:16" customFormat="1" ht="15" customHeight="1">
      <c r="A42" s="913" t="s">
        <v>170</v>
      </c>
      <c r="B42" s="910"/>
      <c r="C42" s="805"/>
      <c r="D42" s="134"/>
      <c r="E42" s="134"/>
      <c r="F42" s="134"/>
      <c r="G42" s="134"/>
      <c r="H42" s="134"/>
      <c r="I42" s="134"/>
      <c r="J42" s="134"/>
      <c r="K42" s="660"/>
      <c r="L42" s="660"/>
      <c r="M42" s="134">
        <v>62</v>
      </c>
      <c r="N42" s="904">
        <f t="shared" si="2"/>
        <v>62</v>
      </c>
      <c r="O42" s="171">
        <f t="shared" si="1"/>
        <v>62</v>
      </c>
      <c r="P42" s="172">
        <f t="shared" si="3"/>
        <v>1.4564247122386658</v>
      </c>
    </row>
    <row r="43" spans="1:16" customFormat="1" ht="15" customHeight="1">
      <c r="A43" s="913" t="s">
        <v>171</v>
      </c>
      <c r="B43" s="910"/>
      <c r="C43" s="805"/>
      <c r="D43" s="134"/>
      <c r="E43" s="134"/>
      <c r="F43" s="134"/>
      <c r="G43" s="134"/>
      <c r="H43" s="134"/>
      <c r="I43" s="134"/>
      <c r="J43" s="134"/>
      <c r="K43" s="660"/>
      <c r="L43" s="660"/>
      <c r="M43" s="134">
        <v>29</v>
      </c>
      <c r="N43" s="904">
        <f t="shared" si="2"/>
        <v>29</v>
      </c>
      <c r="O43" s="171">
        <f t="shared" si="1"/>
        <v>29</v>
      </c>
      <c r="P43" s="172">
        <f t="shared" si="3"/>
        <v>0.68123091378905332</v>
      </c>
    </row>
    <row r="44" spans="1:16" customFormat="1" ht="15" customHeight="1">
      <c r="A44" s="913" t="s">
        <v>172</v>
      </c>
      <c r="B44" s="910"/>
      <c r="C44" s="805"/>
      <c r="D44" s="134"/>
      <c r="E44" s="134"/>
      <c r="F44" s="134"/>
      <c r="G44" s="134"/>
      <c r="H44" s="134"/>
      <c r="I44" s="134"/>
      <c r="J44" s="134"/>
      <c r="K44" s="660"/>
      <c r="L44" s="660"/>
      <c r="M44" s="134">
        <v>25</v>
      </c>
      <c r="N44" s="904">
        <f t="shared" si="2"/>
        <v>25</v>
      </c>
      <c r="O44" s="171">
        <f t="shared" si="1"/>
        <v>25</v>
      </c>
      <c r="P44" s="172">
        <f t="shared" si="3"/>
        <v>0.58726802912849418</v>
      </c>
    </row>
    <row r="45" spans="1:16" customFormat="1" ht="15" customHeight="1">
      <c r="A45" s="913" t="s">
        <v>173</v>
      </c>
      <c r="B45" s="910"/>
      <c r="C45" s="805"/>
      <c r="D45" s="134"/>
      <c r="E45" s="134"/>
      <c r="F45" s="134"/>
      <c r="G45" s="134"/>
      <c r="H45" s="134"/>
      <c r="I45" s="134"/>
      <c r="J45" s="134"/>
      <c r="K45" s="660"/>
      <c r="L45" s="660"/>
      <c r="M45" s="134">
        <v>41</v>
      </c>
      <c r="N45" s="904">
        <f t="shared" si="2"/>
        <v>41</v>
      </c>
      <c r="O45" s="171">
        <f t="shared" si="1"/>
        <v>41</v>
      </c>
      <c r="P45" s="172">
        <f t="shared" si="3"/>
        <v>0.9631195677707306</v>
      </c>
    </row>
    <row r="46" spans="1:16" customFormat="1" ht="15" customHeight="1">
      <c r="A46" s="913" t="s">
        <v>174</v>
      </c>
      <c r="B46" s="910"/>
      <c r="C46" s="805"/>
      <c r="D46" s="134"/>
      <c r="E46" s="134"/>
      <c r="F46" s="134"/>
      <c r="G46" s="134"/>
      <c r="H46" s="134"/>
      <c r="I46" s="134"/>
      <c r="J46" s="134"/>
      <c r="K46" s="660"/>
      <c r="L46" s="660"/>
      <c r="M46" s="134">
        <v>6</v>
      </c>
      <c r="N46" s="904">
        <f t="shared" si="2"/>
        <v>6</v>
      </c>
      <c r="O46" s="171">
        <f t="shared" si="1"/>
        <v>6</v>
      </c>
      <c r="P46" s="172">
        <f t="shared" si="3"/>
        <v>0.14094432699083861</v>
      </c>
    </row>
    <row r="47" spans="1:16" customFormat="1" ht="15" customHeight="1">
      <c r="A47" s="913" t="s">
        <v>175</v>
      </c>
      <c r="B47" s="910"/>
      <c r="C47" s="805"/>
      <c r="D47" s="134"/>
      <c r="E47" s="134"/>
      <c r="F47" s="134"/>
      <c r="G47" s="134"/>
      <c r="H47" s="134"/>
      <c r="I47" s="134"/>
      <c r="J47" s="134"/>
      <c r="K47" s="660"/>
      <c r="L47" s="660"/>
      <c r="M47" s="134">
        <v>14</v>
      </c>
      <c r="N47" s="904">
        <f t="shared" si="2"/>
        <v>14</v>
      </c>
      <c r="O47" s="171">
        <f t="shared" si="1"/>
        <v>14</v>
      </c>
      <c r="P47" s="172">
        <f t="shared" si="3"/>
        <v>0.32887009631195679</v>
      </c>
    </row>
    <row r="48" spans="1:16" customFormat="1" ht="15" customHeight="1">
      <c r="A48" s="913" t="s">
        <v>176</v>
      </c>
      <c r="B48" s="910"/>
      <c r="C48" s="805"/>
      <c r="D48" s="134"/>
      <c r="E48" s="134"/>
      <c r="F48" s="134"/>
      <c r="G48" s="134"/>
      <c r="H48" s="134"/>
      <c r="I48" s="134"/>
      <c r="J48" s="134"/>
      <c r="K48" s="660"/>
      <c r="L48" s="660"/>
      <c r="M48" s="134">
        <v>22</v>
      </c>
      <c r="N48" s="904">
        <f t="shared" si="2"/>
        <v>22</v>
      </c>
      <c r="O48" s="171">
        <f t="shared" si="1"/>
        <v>22</v>
      </c>
      <c r="P48" s="172">
        <f t="shared" si="3"/>
        <v>0.516795865633075</v>
      </c>
    </row>
    <row r="49" spans="1:16" customFormat="1" ht="15" customHeight="1">
      <c r="A49" s="913" t="s">
        <v>177</v>
      </c>
      <c r="B49" s="910"/>
      <c r="C49" s="805"/>
      <c r="D49" s="134"/>
      <c r="E49" s="134"/>
      <c r="F49" s="134"/>
      <c r="G49" s="134"/>
      <c r="H49" s="134"/>
      <c r="I49" s="134"/>
      <c r="J49" s="134"/>
      <c r="K49" s="660"/>
      <c r="L49" s="660"/>
      <c r="M49" s="134">
        <v>10</v>
      </c>
      <c r="N49" s="904">
        <f t="shared" si="2"/>
        <v>10</v>
      </c>
      <c r="O49" s="171">
        <f t="shared" si="1"/>
        <v>10</v>
      </c>
      <c r="P49" s="172">
        <f t="shared" si="3"/>
        <v>0.23490721165139772</v>
      </c>
    </row>
    <row r="50" spans="1:16" customFormat="1" ht="15" customHeight="1">
      <c r="A50" s="913" t="s">
        <v>178</v>
      </c>
      <c r="B50" s="910"/>
      <c r="C50" s="805"/>
      <c r="D50" s="134"/>
      <c r="E50" s="134"/>
      <c r="F50" s="134"/>
      <c r="G50" s="134"/>
      <c r="H50" s="134"/>
      <c r="I50" s="134"/>
      <c r="J50" s="134"/>
      <c r="K50" s="660"/>
      <c r="L50" s="660"/>
      <c r="M50" s="134">
        <v>41</v>
      </c>
      <c r="N50" s="904">
        <f t="shared" si="2"/>
        <v>41</v>
      </c>
      <c r="O50" s="171">
        <f t="shared" si="1"/>
        <v>41</v>
      </c>
      <c r="P50" s="172">
        <f t="shared" si="3"/>
        <v>0.9631195677707306</v>
      </c>
    </row>
    <row r="51" spans="1:16" customFormat="1" ht="15" customHeight="1">
      <c r="A51" s="913" t="s">
        <v>179</v>
      </c>
      <c r="B51" s="910"/>
      <c r="C51" s="805"/>
      <c r="D51" s="134"/>
      <c r="E51" s="134"/>
      <c r="F51" s="134"/>
      <c r="G51" s="134"/>
      <c r="H51" s="134"/>
      <c r="I51" s="134"/>
      <c r="J51" s="134"/>
      <c r="K51" s="660"/>
      <c r="L51" s="660"/>
      <c r="M51" s="134">
        <v>28</v>
      </c>
      <c r="N51" s="904">
        <f t="shared" si="2"/>
        <v>28</v>
      </c>
      <c r="O51" s="171">
        <f t="shared" si="1"/>
        <v>28</v>
      </c>
      <c r="P51" s="172">
        <f t="shared" si="3"/>
        <v>0.65774019262391359</v>
      </c>
    </row>
    <row r="52" spans="1:16" customFormat="1" ht="15" customHeight="1">
      <c r="A52" s="913" t="s">
        <v>180</v>
      </c>
      <c r="B52" s="910"/>
      <c r="C52" s="805"/>
      <c r="D52" s="134"/>
      <c r="E52" s="134"/>
      <c r="F52" s="134"/>
      <c r="G52" s="134"/>
      <c r="H52" s="134"/>
      <c r="I52" s="134"/>
      <c r="J52" s="134"/>
      <c r="K52" s="660"/>
      <c r="L52" s="660"/>
      <c r="M52" s="134">
        <v>49</v>
      </c>
      <c r="N52" s="904">
        <f t="shared" si="2"/>
        <v>49</v>
      </c>
      <c r="O52" s="171">
        <f t="shared" si="1"/>
        <v>49</v>
      </c>
      <c r="P52" s="172">
        <f t="shared" si="3"/>
        <v>1.1510453370918488</v>
      </c>
    </row>
    <row r="53" spans="1:16" customFormat="1" ht="15" customHeight="1">
      <c r="A53" s="913" t="s">
        <v>181</v>
      </c>
      <c r="B53" s="910"/>
      <c r="C53" s="805"/>
      <c r="D53" s="134"/>
      <c r="E53" s="134"/>
      <c r="F53" s="134"/>
      <c r="G53" s="134"/>
      <c r="H53" s="134"/>
      <c r="I53" s="134"/>
      <c r="J53" s="134"/>
      <c r="K53" s="660"/>
      <c r="L53" s="660"/>
      <c r="M53" s="134">
        <v>20</v>
      </c>
      <c r="N53" s="904">
        <f t="shared" si="2"/>
        <v>20</v>
      </c>
      <c r="O53" s="171">
        <f t="shared" si="1"/>
        <v>20</v>
      </c>
      <c r="P53" s="172">
        <f t="shared" si="3"/>
        <v>0.46981442330279544</v>
      </c>
    </row>
    <row r="54" spans="1:16" customFormat="1" ht="15" customHeight="1">
      <c r="A54" s="913" t="s">
        <v>182</v>
      </c>
      <c r="B54" s="910"/>
      <c r="C54" s="805"/>
      <c r="D54" s="134"/>
      <c r="E54" s="134"/>
      <c r="F54" s="134"/>
      <c r="G54" s="134"/>
      <c r="H54" s="134"/>
      <c r="I54" s="134"/>
      <c r="J54" s="134"/>
      <c r="K54" s="660"/>
      <c r="L54" s="660"/>
      <c r="M54" s="134">
        <v>22</v>
      </c>
      <c r="N54" s="904">
        <f t="shared" si="2"/>
        <v>22</v>
      </c>
      <c r="O54" s="171">
        <f t="shared" si="1"/>
        <v>22</v>
      </c>
      <c r="P54" s="172">
        <f t="shared" si="3"/>
        <v>0.516795865633075</v>
      </c>
    </row>
    <row r="55" spans="1:16" customFormat="1" ht="15" customHeight="1">
      <c r="A55" s="913" t="s">
        <v>183</v>
      </c>
      <c r="B55" s="910"/>
      <c r="C55" s="805"/>
      <c r="D55" s="134"/>
      <c r="E55" s="134"/>
      <c r="F55" s="134"/>
      <c r="G55" s="134"/>
      <c r="H55" s="134"/>
      <c r="I55" s="134"/>
      <c r="J55" s="134"/>
      <c r="K55" s="660"/>
      <c r="L55" s="660"/>
      <c r="M55" s="134">
        <v>70</v>
      </c>
      <c r="N55" s="904">
        <f t="shared" si="2"/>
        <v>70</v>
      </c>
      <c r="O55" s="171">
        <f t="shared" si="1"/>
        <v>70</v>
      </c>
      <c r="P55" s="172">
        <f t="shared" si="3"/>
        <v>1.644350481559784</v>
      </c>
    </row>
    <row r="56" spans="1:16" customFormat="1" ht="15" customHeight="1">
      <c r="A56" s="913" t="s">
        <v>184</v>
      </c>
      <c r="B56" s="910"/>
      <c r="C56" s="805"/>
      <c r="D56" s="134"/>
      <c r="E56" s="134"/>
      <c r="F56" s="134"/>
      <c r="G56" s="134"/>
      <c r="H56" s="134"/>
      <c r="I56" s="134"/>
      <c r="J56" s="134"/>
      <c r="K56" s="660"/>
      <c r="L56" s="660"/>
      <c r="M56" s="134">
        <v>22</v>
      </c>
      <c r="N56" s="904">
        <f t="shared" si="2"/>
        <v>22</v>
      </c>
      <c r="O56" s="171">
        <f t="shared" si="1"/>
        <v>22</v>
      </c>
      <c r="P56" s="172">
        <f t="shared" si="3"/>
        <v>0.516795865633075</v>
      </c>
    </row>
    <row r="57" spans="1:16" customFormat="1" ht="15" customHeight="1">
      <c r="A57" s="913" t="s">
        <v>185</v>
      </c>
      <c r="B57" s="910"/>
      <c r="C57" s="805"/>
      <c r="D57" s="134"/>
      <c r="E57" s="134"/>
      <c r="F57" s="134"/>
      <c r="G57" s="134"/>
      <c r="H57" s="134"/>
      <c r="I57" s="134"/>
      <c r="J57" s="134"/>
      <c r="K57" s="660"/>
      <c r="L57" s="660"/>
      <c r="M57" s="134">
        <v>53</v>
      </c>
      <c r="N57" s="904">
        <f t="shared" si="2"/>
        <v>53</v>
      </c>
      <c r="O57" s="171">
        <f t="shared" si="1"/>
        <v>53</v>
      </c>
      <c r="P57" s="172">
        <f t="shared" si="3"/>
        <v>1.2450082217524079</v>
      </c>
    </row>
    <row r="58" spans="1:16" customFormat="1" ht="15" customHeight="1">
      <c r="A58" s="913" t="s">
        <v>186</v>
      </c>
      <c r="B58" s="910"/>
      <c r="C58" s="805"/>
      <c r="D58" s="134"/>
      <c r="E58" s="134"/>
      <c r="F58" s="134"/>
      <c r="G58" s="134"/>
      <c r="H58" s="134"/>
      <c r="I58" s="134"/>
      <c r="J58" s="134"/>
      <c r="K58" s="660"/>
      <c r="L58" s="660"/>
      <c r="M58" s="134">
        <v>5</v>
      </c>
      <c r="N58" s="904">
        <f t="shared" si="2"/>
        <v>5</v>
      </c>
      <c r="O58" s="171">
        <f t="shared" si="1"/>
        <v>5</v>
      </c>
      <c r="P58" s="172">
        <f t="shared" si="3"/>
        <v>0.11745360582569886</v>
      </c>
    </row>
    <row r="59" spans="1:16" customFormat="1" ht="15" customHeight="1">
      <c r="A59" s="913" t="s">
        <v>187</v>
      </c>
      <c r="B59" s="910"/>
      <c r="C59" s="805"/>
      <c r="D59" s="134"/>
      <c r="E59" s="134"/>
      <c r="F59" s="134"/>
      <c r="G59" s="134"/>
      <c r="H59" s="134"/>
      <c r="I59" s="134"/>
      <c r="J59" s="134"/>
      <c r="K59" s="660"/>
      <c r="L59" s="660"/>
      <c r="M59" s="134">
        <v>71</v>
      </c>
      <c r="N59" s="904">
        <f t="shared" si="2"/>
        <v>71</v>
      </c>
      <c r="O59" s="171">
        <f t="shared" si="1"/>
        <v>71</v>
      </c>
      <c r="P59" s="172">
        <f t="shared" si="3"/>
        <v>1.6678412027249239</v>
      </c>
    </row>
    <row r="60" spans="1:16" customFormat="1" ht="15" customHeight="1">
      <c r="A60" s="913" t="s">
        <v>188</v>
      </c>
      <c r="B60" s="910"/>
      <c r="C60" s="805"/>
      <c r="D60" s="134"/>
      <c r="E60" s="134"/>
      <c r="F60" s="134"/>
      <c r="G60" s="134"/>
      <c r="H60" s="134"/>
      <c r="I60" s="134"/>
      <c r="J60" s="134"/>
      <c r="K60" s="660"/>
      <c r="L60" s="660"/>
      <c r="M60" s="134">
        <v>10</v>
      </c>
      <c r="N60" s="904">
        <f t="shared" si="2"/>
        <v>10</v>
      </c>
      <c r="O60" s="171">
        <f t="shared" si="1"/>
        <v>10</v>
      </c>
      <c r="P60" s="172">
        <f t="shared" si="3"/>
        <v>0.23490721165139772</v>
      </c>
    </row>
    <row r="61" spans="1:16" customFormat="1" ht="15" customHeight="1">
      <c r="A61" s="913" t="s">
        <v>189</v>
      </c>
      <c r="B61" s="910"/>
      <c r="C61" s="805"/>
      <c r="D61" s="134"/>
      <c r="E61" s="134"/>
      <c r="F61" s="134"/>
      <c r="G61" s="134"/>
      <c r="H61" s="134"/>
      <c r="I61" s="134"/>
      <c r="J61" s="134"/>
      <c r="K61" s="660"/>
      <c r="L61" s="660"/>
      <c r="M61" s="134">
        <v>47</v>
      </c>
      <c r="N61" s="904">
        <f t="shared" si="2"/>
        <v>47</v>
      </c>
      <c r="O61" s="171">
        <f t="shared" si="1"/>
        <v>47</v>
      </c>
      <c r="P61" s="172">
        <f t="shared" si="3"/>
        <v>1.1040638947615691</v>
      </c>
    </row>
    <row r="62" spans="1:16" customFormat="1" ht="15" customHeight="1">
      <c r="A62" s="913" t="s">
        <v>190</v>
      </c>
      <c r="B62" s="910"/>
      <c r="C62" s="805"/>
      <c r="D62" s="134"/>
      <c r="E62" s="134"/>
      <c r="F62" s="134"/>
      <c r="G62" s="134"/>
      <c r="H62" s="134"/>
      <c r="I62" s="134"/>
      <c r="J62" s="134"/>
      <c r="K62" s="660"/>
      <c r="L62" s="660"/>
      <c r="M62" s="134">
        <v>38</v>
      </c>
      <c r="N62" s="904">
        <f t="shared" si="2"/>
        <v>38</v>
      </c>
      <c r="O62" s="171">
        <f t="shared" si="1"/>
        <v>38</v>
      </c>
      <c r="P62" s="172">
        <f t="shared" si="3"/>
        <v>0.8926474042753112</v>
      </c>
    </row>
    <row r="63" spans="1:16" customFormat="1" ht="15" customHeight="1">
      <c r="A63" s="913" t="s">
        <v>191</v>
      </c>
      <c r="B63" s="910"/>
      <c r="C63" s="805"/>
      <c r="D63" s="134"/>
      <c r="E63" s="134"/>
      <c r="F63" s="134"/>
      <c r="G63" s="134"/>
      <c r="H63" s="134"/>
      <c r="I63" s="134"/>
      <c r="J63" s="134"/>
      <c r="K63" s="660"/>
      <c r="L63" s="660"/>
      <c r="M63" s="134">
        <v>42</v>
      </c>
      <c r="N63" s="904">
        <f t="shared" si="2"/>
        <v>42</v>
      </c>
      <c r="O63" s="171">
        <f t="shared" si="1"/>
        <v>42</v>
      </c>
      <c r="P63" s="172">
        <f t="shared" si="3"/>
        <v>0.98661028893587033</v>
      </c>
    </row>
    <row r="64" spans="1:16" s="639" customFormat="1" ht="15" customHeight="1">
      <c r="A64" s="913" t="s">
        <v>192</v>
      </c>
      <c r="B64" s="910"/>
      <c r="C64" s="805"/>
      <c r="D64" s="134"/>
      <c r="E64" s="134"/>
      <c r="F64" s="134"/>
      <c r="G64" s="134"/>
      <c r="H64" s="134"/>
      <c r="I64" s="134"/>
      <c r="J64" s="134"/>
      <c r="K64" s="660"/>
      <c r="L64" s="661"/>
      <c r="M64" s="134">
        <v>44</v>
      </c>
      <c r="N64" s="904">
        <f>SUM(B64:M64)</f>
        <v>44</v>
      </c>
      <c r="O64" s="171">
        <f t="shared" si="1"/>
        <v>44</v>
      </c>
      <c r="P64" s="172">
        <f t="shared" si="3"/>
        <v>1.03359173126615</v>
      </c>
    </row>
    <row r="65" spans="1:16" customFormat="1" ht="15" customHeight="1">
      <c r="A65" s="913" t="s">
        <v>193</v>
      </c>
      <c r="B65" s="910"/>
      <c r="C65" s="805"/>
      <c r="D65" s="134"/>
      <c r="E65" s="134"/>
      <c r="F65" s="134"/>
      <c r="G65" s="134"/>
      <c r="H65" s="134"/>
      <c r="I65" s="134"/>
      <c r="J65" s="134"/>
      <c r="K65" s="660"/>
      <c r="L65" s="660"/>
      <c r="M65" s="134">
        <v>32</v>
      </c>
      <c r="N65" s="904">
        <f t="shared" si="2"/>
        <v>32</v>
      </c>
      <c r="O65" s="171">
        <f t="shared" si="1"/>
        <v>32</v>
      </c>
      <c r="P65" s="172">
        <f t="shared" si="3"/>
        <v>0.75170307728447261</v>
      </c>
    </row>
    <row r="66" spans="1:16" customFormat="1" ht="15.75" customHeight="1">
      <c r="A66" s="913" t="s">
        <v>194</v>
      </c>
      <c r="B66" s="910"/>
      <c r="C66" s="805"/>
      <c r="D66" s="134"/>
      <c r="E66" s="134"/>
      <c r="F66" s="134"/>
      <c r="G66" s="134"/>
      <c r="H66" s="134"/>
      <c r="I66" s="134"/>
      <c r="J66" s="134"/>
      <c r="K66" s="660"/>
      <c r="L66" s="660"/>
      <c r="M66" s="134">
        <v>10</v>
      </c>
      <c r="N66" s="904">
        <f t="shared" si="2"/>
        <v>10</v>
      </c>
      <c r="O66" s="171">
        <f t="shared" si="1"/>
        <v>10</v>
      </c>
      <c r="P66" s="172">
        <f t="shared" si="3"/>
        <v>0.23490721165139772</v>
      </c>
    </row>
    <row r="67" spans="1:16" s="663" customFormat="1" ht="15.75" customHeight="1">
      <c r="A67" s="913" t="s">
        <v>195</v>
      </c>
      <c r="B67" s="910"/>
      <c r="C67" s="805"/>
      <c r="D67" s="134"/>
      <c r="E67" s="134"/>
      <c r="F67" s="134"/>
      <c r="G67" s="134"/>
      <c r="H67" s="134"/>
      <c r="I67" s="134"/>
      <c r="J67" s="134"/>
      <c r="K67" s="660"/>
      <c r="L67" s="660"/>
      <c r="M67" s="134">
        <v>23</v>
      </c>
      <c r="N67" s="904">
        <f t="shared" si="2"/>
        <v>23</v>
      </c>
      <c r="O67" s="171">
        <f t="shared" si="1"/>
        <v>23</v>
      </c>
      <c r="P67" s="172">
        <f t="shared" si="3"/>
        <v>0.54028658679821473</v>
      </c>
    </row>
    <row r="68" spans="1:16" customFormat="1" ht="15" customHeight="1">
      <c r="A68" s="913" t="s">
        <v>196</v>
      </c>
      <c r="B68" s="910"/>
      <c r="C68" s="805"/>
      <c r="D68" s="134"/>
      <c r="E68" s="134"/>
      <c r="F68" s="134"/>
      <c r="G68" s="134"/>
      <c r="H68" s="147"/>
      <c r="I68" s="134"/>
      <c r="J68" s="134"/>
      <c r="K68" s="660"/>
      <c r="L68" s="660"/>
      <c r="M68" s="134">
        <v>46</v>
      </c>
      <c r="N68" s="904">
        <f t="shared" si="2"/>
        <v>46</v>
      </c>
      <c r="O68" s="171">
        <f t="shared" si="1"/>
        <v>46</v>
      </c>
      <c r="P68" s="172">
        <f t="shared" si="3"/>
        <v>1.0805731735964295</v>
      </c>
    </row>
    <row r="69" spans="1:16" customFormat="1" ht="15">
      <c r="A69" s="913" t="s">
        <v>197</v>
      </c>
      <c r="B69" s="910"/>
      <c r="C69" s="805"/>
      <c r="D69" s="134"/>
      <c r="E69" s="134"/>
      <c r="F69" s="134"/>
      <c r="G69" s="134"/>
      <c r="H69" s="147"/>
      <c r="I69" s="134"/>
      <c r="J69" s="134"/>
      <c r="K69" s="660"/>
      <c r="L69" s="660"/>
      <c r="M69" s="134">
        <v>28</v>
      </c>
      <c r="N69" s="904">
        <f t="shared" si="2"/>
        <v>28</v>
      </c>
      <c r="O69" s="171">
        <f t="shared" si="1"/>
        <v>28</v>
      </c>
      <c r="P69" s="172">
        <f t="shared" si="3"/>
        <v>0.65774019262391359</v>
      </c>
    </row>
    <row r="70" spans="1:16" customFormat="1" ht="15">
      <c r="A70" s="913" t="s">
        <v>198</v>
      </c>
      <c r="B70" s="910"/>
      <c r="C70" s="805"/>
      <c r="D70" s="134"/>
      <c r="E70" s="134"/>
      <c r="F70" s="134"/>
      <c r="G70" s="134"/>
      <c r="H70" s="147"/>
      <c r="I70" s="134"/>
      <c r="J70" s="134"/>
      <c r="K70" s="660"/>
      <c r="L70" s="660"/>
      <c r="M70" s="134">
        <v>48</v>
      </c>
      <c r="N70" s="904">
        <f t="shared" si="2"/>
        <v>48</v>
      </c>
      <c r="O70" s="171">
        <f t="shared" si="1"/>
        <v>48</v>
      </c>
      <c r="P70" s="172">
        <f t="shared" si="3"/>
        <v>1.1275546159267089</v>
      </c>
    </row>
    <row r="71" spans="1:16" customFormat="1" ht="15.75" thickBot="1">
      <c r="A71" s="914" t="s">
        <v>199</v>
      </c>
      <c r="B71" s="912"/>
      <c r="C71" s="806"/>
      <c r="D71" s="137"/>
      <c r="E71" s="137"/>
      <c r="F71" s="137"/>
      <c r="G71" s="137"/>
      <c r="H71" s="150"/>
      <c r="I71" s="137"/>
      <c r="J71" s="137"/>
      <c r="K71" s="662"/>
      <c r="L71" s="662"/>
      <c r="M71" s="439">
        <v>17</v>
      </c>
      <c r="N71" s="905">
        <f>SUM(B71:M71)</f>
        <v>17</v>
      </c>
      <c r="O71" s="171">
        <f>AVERAGE(B71:M71)</f>
        <v>17</v>
      </c>
      <c r="P71" s="173">
        <f t="shared" si="3"/>
        <v>0.39934225980737603</v>
      </c>
    </row>
    <row r="72" spans="1:16" customFormat="1" ht="15.75" thickBot="1">
      <c r="A72" s="915" t="s">
        <v>3</v>
      </c>
      <c r="B72" s="803">
        <f t="shared" ref="B72:N72" si="4">SUM(B5:B71)</f>
        <v>0</v>
      </c>
      <c r="C72" s="193">
        <f t="shared" si="4"/>
        <v>0</v>
      </c>
      <c r="D72" s="803">
        <f t="shared" si="4"/>
        <v>0</v>
      </c>
      <c r="E72" s="35">
        <f t="shared" si="4"/>
        <v>0</v>
      </c>
      <c r="F72" s="35">
        <f>SUM(F5:F71)</f>
        <v>0</v>
      </c>
      <c r="G72" s="35">
        <f t="shared" si="4"/>
        <v>0</v>
      </c>
      <c r="H72" s="35">
        <f>SUM(H5:H71)</f>
        <v>0</v>
      </c>
      <c r="I72" s="36">
        <f>SUM(I5:I71)</f>
        <v>0</v>
      </c>
      <c r="J72" s="36">
        <f>SUM(J5:J71)</f>
        <v>0</v>
      </c>
      <c r="K72" s="36">
        <f>SUM(K5:K71)</f>
        <v>0</v>
      </c>
      <c r="L72" s="907">
        <f t="shared" si="4"/>
        <v>0</v>
      </c>
      <c r="M72" s="861">
        <f t="shared" si="4"/>
        <v>4257</v>
      </c>
      <c r="N72" s="143">
        <f t="shared" si="4"/>
        <v>4257</v>
      </c>
      <c r="O72" s="424">
        <f>(B72+C72+D72+E72+M72+L72+K72+J72+I72+H72+G72+F72)/12</f>
        <v>354.75</v>
      </c>
      <c r="P72" s="100">
        <f>SUM(P5:P71)</f>
        <v>100.00000000000003</v>
      </c>
    </row>
    <row r="73" spans="1:16" customFormat="1" ht="15">
      <c r="A73" s="63"/>
      <c r="B73" s="64"/>
      <c r="C73" s="64"/>
      <c r="D73" s="64"/>
      <c r="E73" s="64"/>
      <c r="F73" s="64"/>
      <c r="G73" s="55"/>
      <c r="H73" s="64"/>
      <c r="I73" s="64"/>
      <c r="J73" s="64"/>
      <c r="K73" s="64"/>
      <c r="L73" s="64"/>
      <c r="M73" s="65"/>
      <c r="N73" s="65"/>
      <c r="O73" s="23"/>
      <c r="P73" s="23"/>
    </row>
    <row r="74" spans="1:16">
      <c r="A74" s="311" t="s">
        <v>247</v>
      </c>
    </row>
    <row r="75" spans="1:16">
      <c r="A75" s="311" t="s">
        <v>339</v>
      </c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J72:M72 I72 B72:H72" formulaRange="1"/>
    <ignoredError sqref="O7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A3D91B13B8CF47ABB48EB7AAE17171" ma:contentTypeVersion="2" ma:contentTypeDescription="Crie um novo documento." ma:contentTypeScope="" ma:versionID="1591e7b425b78bfba6edc4f6fb94040d">
  <xsd:schema xmlns:xsd="http://www.w3.org/2001/XMLSchema" xmlns:xs="http://www.w3.org/2001/XMLSchema" xmlns:p="http://schemas.microsoft.com/office/2006/metadata/properties" xmlns:ns2="1071ef29-9491-4a69-9ee6-e789acac864f" targetNamespace="http://schemas.microsoft.com/office/2006/metadata/properties" ma:root="true" ma:fieldsID="ffa440cd6fd1f71ad761286335c9c8e9" ns2:_="">
    <xsd:import namespace="1071ef29-9491-4a69-9ee6-e789acac8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71ef29-9491-4a69-9ee6-e789acac8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5290D2-BBA3-4FC5-BB85-14A6459282C2}">
  <ds:schemaRefs>
    <ds:schemaRef ds:uri="1071ef29-9491-4a69-9ee6-e789acac864f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D683F8A-CC9C-4FBD-993A-6F4D20623F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104FE2-0C73-4BCD-ADFF-3481DFA003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71ef29-9491-4a69-9ee6-e789acac8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21</vt:i4>
      </vt:variant>
    </vt:vector>
  </HeadingPairs>
  <TitlesOfParts>
    <vt:vector size="21" baseType="lpstr">
      <vt:lpstr>Texto</vt:lpstr>
      <vt:lpstr>Canais_atendimento</vt:lpstr>
      <vt:lpstr>Protocolos</vt:lpstr>
      <vt:lpstr>Assuntos</vt:lpstr>
      <vt:lpstr>10_Assuntos_+_demadados_2023</vt:lpstr>
      <vt:lpstr>Assuntos-variação_10_mais_2023</vt:lpstr>
      <vt:lpstr>ASSUNTOS_10+_últimos_3_meses</vt:lpstr>
      <vt:lpstr>10_ASSUNTOS + demandados_JAN_23</vt:lpstr>
      <vt:lpstr>UNIDADES</vt:lpstr>
      <vt:lpstr>10_UNIDADES_+_demandadas_2023</vt:lpstr>
      <vt:lpstr>Unidades_-variação_10_mais_2023</vt:lpstr>
      <vt:lpstr>UNIDADES_-_10+_últimos_3_meses</vt:lpstr>
      <vt:lpstr>10_Unidades+ demandados _JAN_23</vt:lpstr>
      <vt:lpstr>Subprefeituras_2023</vt:lpstr>
      <vt:lpstr>10_SUB's_+_demandadas_2023</vt:lpstr>
      <vt:lpstr>Subs_-Variação_10_mais_2023</vt:lpstr>
      <vt:lpstr>Ranking_subprefeituras_JAN_23</vt:lpstr>
      <vt:lpstr>Denúncia Protocolos 2023</vt:lpstr>
      <vt:lpstr>e-SIC 2023</vt:lpstr>
      <vt:lpstr>P</vt:lpstr>
      <vt:lpstr>Pandemia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Marcio Ramires</cp:lastModifiedBy>
  <cp:lastPrinted>2022-10-05T13:14:48Z</cp:lastPrinted>
  <dcterms:created xsi:type="dcterms:W3CDTF">2018-08-01T11:52:47Z</dcterms:created>
  <dcterms:modified xsi:type="dcterms:W3CDTF">2023-08-27T20:42:01Z</dcterms:modified>
</cp:coreProperties>
</file>