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d838568\Desktop\RELATÓRIOS\RELATÓRIOS PUBLICADOS\RELATÓRIOS REVISADOS PROCESSAMENTO DE DEMANDAS\2024\JANEIRO\"/>
    </mc:Choice>
  </mc:AlternateContent>
  <bookViews>
    <workbookView xWindow="0" yWindow="0" windowWidth="28800" windowHeight="12180" tabRatio="961"/>
  </bookViews>
  <sheets>
    <sheet name="Texto" sheetId="1" r:id="rId1"/>
    <sheet name="Protocolos" sheetId="2" r:id="rId2"/>
    <sheet name="Canais_atendimento" sheetId="3" r:id="rId3"/>
    <sheet name="Assuntos" sheetId="4" r:id="rId4"/>
    <sheet name="Buraco-Pavimentação_Janeiro2024" sheetId="24" r:id="rId5"/>
    <sheet name="10+_Assuntos_2024" sheetId="5" r:id="rId6"/>
    <sheet name="Assuntos-variação_10_mais_2024" sheetId="6" r:id="rId7"/>
    <sheet name="ASSUNTOS_10+_últimos_3_meses" sheetId="7" r:id="rId8"/>
    <sheet name="10+_ASSUNTOS_JAN_24" sheetId="8" r:id="rId9"/>
    <sheet name="UNIDADES" sheetId="9" r:id="rId10"/>
    <sheet name="10+UNIDADES_2024" sheetId="10" r:id="rId11"/>
    <sheet name="Unidades_variação_10_mais_2024" sheetId="11" r:id="rId12"/>
    <sheet name="UNIDADES_10+_últimos_3_meses" sheetId="12" r:id="rId13"/>
    <sheet name="10+ Unidades__JAN_24" sheetId="13" r:id="rId14"/>
    <sheet name="Subprefeituras_2024" sheetId="14" r:id="rId15"/>
    <sheet name="10+_SUB's_2024" sheetId="15" r:id="rId16"/>
    <sheet name="Georref_3+_Subs_2024" sheetId="17" r:id="rId17"/>
    <sheet name="Subs_-Variação_10_mais_2024" sheetId="16" r:id="rId18"/>
    <sheet name="Denúncia_Protocolos_2024" sheetId="25" r:id="rId19"/>
    <sheet name="Denúncia_Unidades_2024" sheetId="23" r:id="rId20"/>
    <sheet name="e-SIC_2024" sheetId="19" r:id="rId21"/>
    <sheet name="Alteração_de_Processo" sheetId="21" r:id="rId22"/>
    <sheet name="Alteração_de_Processo_Dados" sheetId="22" r:id="rId23"/>
    <sheet name="P" sheetId="20" state="hidden" r:id="rId24"/>
  </sheets>
  <definedNames>
    <definedName name="_xlchart.0" hidden="1">Alteração_de_Processo_Dados!$A$17:$A$18</definedName>
    <definedName name="_xlchart.1" hidden="1">Alteração_de_Processo_Dados!$B$17:$B$18</definedName>
  </definedNames>
  <calcPr calcId="162913"/>
</workbook>
</file>

<file path=xl/calcChain.xml><?xml version="1.0" encoding="utf-8"?>
<calcChain xmlns="http://schemas.openxmlformats.org/spreadsheetml/2006/main">
  <c r="N6" i="25" l="1"/>
  <c r="O6" i="25"/>
  <c r="N7" i="25"/>
  <c r="O7" i="25"/>
  <c r="N8" i="25"/>
  <c r="Q8" i="25" s="1"/>
  <c r="O8" i="25"/>
  <c r="M9" i="25"/>
  <c r="O9" i="25" s="1"/>
  <c r="N9" i="25"/>
  <c r="M10" i="25"/>
  <c r="O10" i="25" s="1"/>
  <c r="N10" i="25"/>
  <c r="N13" i="25"/>
  <c r="Q13" i="25" s="1"/>
  <c r="O13" i="25"/>
  <c r="N15" i="25"/>
  <c r="Q6" i="25" s="1"/>
  <c r="F19" i="25"/>
  <c r="G19" i="25"/>
  <c r="G20" i="25"/>
  <c r="C21" i="25"/>
  <c r="G21" i="25"/>
  <c r="C22" i="25"/>
  <c r="G22" i="25"/>
  <c r="C23" i="25"/>
  <c r="G23" i="25"/>
  <c r="C24" i="25"/>
  <c r="G24" i="25"/>
  <c r="C25" i="25"/>
  <c r="G25" i="25"/>
  <c r="C26" i="25"/>
  <c r="G26" i="25"/>
  <c r="C27" i="25"/>
  <c r="G27" i="25"/>
  <c r="C28" i="25"/>
  <c r="G28" i="25"/>
  <c r="C29" i="25"/>
  <c r="G29" i="25"/>
  <c r="C30" i="25"/>
  <c r="G30" i="25"/>
  <c r="F31" i="25"/>
  <c r="F32" i="25"/>
  <c r="H36" i="25"/>
  <c r="B48" i="25"/>
  <c r="C48" i="25"/>
  <c r="D48" i="25"/>
  <c r="D65" i="25" s="1"/>
  <c r="E48" i="25"/>
  <c r="F48" i="25"/>
  <c r="G48" i="25"/>
  <c r="H48" i="25"/>
  <c r="H65" i="25" s="1"/>
  <c r="H51" i="25"/>
  <c r="B63" i="25"/>
  <c r="B65" i="25" s="1"/>
  <c r="C63" i="25"/>
  <c r="D63" i="25"/>
  <c r="E63" i="25"/>
  <c r="F63" i="25"/>
  <c r="F65" i="25" s="1"/>
  <c r="G63" i="25"/>
  <c r="H63" i="25"/>
  <c r="C65" i="25"/>
  <c r="E65" i="25"/>
  <c r="G65" i="25"/>
  <c r="Q10" i="25" l="1"/>
  <c r="Q15" i="25" s="1"/>
  <c r="Q7" i="25"/>
  <c r="B19" i="25"/>
  <c r="M15" i="25"/>
  <c r="O15" i="25" s="1"/>
  <c r="P7" i="25"/>
  <c r="P6" i="25"/>
  <c r="C43" i="16"/>
  <c r="B31" i="25" l="1"/>
  <c r="C20" i="25"/>
  <c r="B32" i="25"/>
  <c r="C19" i="25"/>
  <c r="P9" i="25"/>
  <c r="N33" i="14"/>
  <c r="N29" i="14"/>
  <c r="N25" i="14"/>
  <c r="N21" i="14"/>
  <c r="N17" i="14"/>
  <c r="N13" i="14"/>
  <c r="N9" i="14"/>
  <c r="N5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K11" i="11" l="1"/>
  <c r="C4" i="22" l="1"/>
  <c r="C5" i="22"/>
  <c r="C6" i="22"/>
  <c r="C7" i="22"/>
  <c r="C8" i="22"/>
  <c r="C9" i="22"/>
  <c r="C10" i="22"/>
  <c r="C11" i="22"/>
  <c r="C12" i="22"/>
  <c r="C13" i="22"/>
  <c r="C3" i="22"/>
  <c r="C2" i="22"/>
  <c r="N114" i="19" l="1"/>
  <c r="N113" i="19"/>
  <c r="N112" i="19"/>
  <c r="N111" i="19"/>
  <c r="N110" i="19"/>
  <c r="N109" i="19"/>
  <c r="N108" i="19"/>
  <c r="N107" i="19"/>
  <c r="N106" i="19"/>
  <c r="N105" i="19"/>
  <c r="N126" i="19"/>
  <c r="N179" i="19"/>
  <c r="N167" i="19"/>
  <c r="N196" i="19"/>
  <c r="N166" i="19"/>
  <c r="N195" i="19"/>
  <c r="N165" i="19"/>
  <c r="N156" i="19"/>
  <c r="N147" i="19"/>
  <c r="N155" i="19"/>
  <c r="N134" i="19"/>
  <c r="N142" i="19"/>
  <c r="N154" i="19"/>
  <c r="N194" i="19"/>
  <c r="N193" i="19"/>
  <c r="N164" i="19"/>
  <c r="N153" i="19"/>
  <c r="N152" i="19"/>
  <c r="N178" i="19"/>
  <c r="N146" i="19"/>
  <c r="N139" i="19"/>
  <c r="N192" i="19"/>
  <c r="N151" i="19"/>
  <c r="N191" i="19"/>
  <c r="N177" i="19"/>
  <c r="N163" i="19"/>
  <c r="N162" i="19"/>
  <c r="N190" i="19"/>
  <c r="N161" i="19"/>
  <c r="N176" i="19"/>
  <c r="N189" i="19"/>
  <c r="N145" i="19"/>
  <c r="N175" i="19"/>
  <c r="N188" i="19"/>
  <c r="N187" i="19"/>
  <c r="N174" i="19"/>
  <c r="N186" i="19"/>
  <c r="N144" i="19"/>
  <c r="N150" i="19"/>
  <c r="N138" i="19"/>
  <c r="N173" i="19"/>
  <c r="N124" i="19"/>
  <c r="N185" i="19"/>
  <c r="N133" i="19"/>
  <c r="N125" i="19"/>
  <c r="N141" i="19"/>
  <c r="N119" i="19"/>
  <c r="N184" i="19"/>
  <c r="N172" i="19"/>
  <c r="N183" i="19"/>
  <c r="N128" i="19"/>
  <c r="N123" i="19"/>
  <c r="N148" i="19"/>
  <c r="N160" i="19"/>
  <c r="N131" i="19"/>
  <c r="N137" i="19"/>
  <c r="N132" i="19"/>
  <c r="N159" i="19"/>
  <c r="N182" i="19"/>
  <c r="N120" i="19"/>
  <c r="N181" i="19"/>
  <c r="N149" i="19"/>
  <c r="N130" i="19"/>
  <c r="N129" i="19"/>
  <c r="N171" i="19"/>
  <c r="N121" i="19"/>
  <c r="N170" i="19"/>
  <c r="N136" i="19"/>
  <c r="N140" i="19"/>
  <c r="N169" i="19"/>
  <c r="N168" i="19"/>
  <c r="N158" i="19"/>
  <c r="N127" i="19"/>
  <c r="N135" i="19"/>
  <c r="N122" i="19"/>
  <c r="N143" i="19"/>
  <c r="N180" i="19"/>
  <c r="N157" i="19"/>
  <c r="Z47" i="19" l="1"/>
  <c r="AA47" i="19"/>
  <c r="AB47" i="19"/>
  <c r="AC47" i="19"/>
  <c r="AD47" i="19"/>
  <c r="Z39" i="19"/>
  <c r="AA39" i="19"/>
  <c r="AB39" i="19"/>
  <c r="AC39" i="19"/>
  <c r="Z33" i="19"/>
  <c r="AA33" i="19"/>
  <c r="AB33" i="19"/>
  <c r="AC33" i="19"/>
  <c r="AC27" i="19"/>
  <c r="Z27" i="19"/>
  <c r="AA27" i="19"/>
  <c r="W27" i="19"/>
  <c r="C6" i="19"/>
  <c r="D19" i="23" l="1"/>
  <c r="C77" i="23"/>
  <c r="B77" i="23"/>
  <c r="A77" i="23"/>
  <c r="G43" i="16" l="1"/>
  <c r="O27" i="16"/>
  <c r="K27" i="16"/>
  <c r="G27" i="16"/>
  <c r="C27" i="16"/>
  <c r="O11" i="16"/>
  <c r="K11" i="16"/>
  <c r="G11" i="16"/>
  <c r="C11" i="16"/>
  <c r="N7" i="15" l="1"/>
  <c r="N8" i="15"/>
  <c r="N9" i="15"/>
  <c r="N10" i="15"/>
  <c r="N11" i="15"/>
  <c r="N12" i="15"/>
  <c r="N13" i="15"/>
  <c r="N14" i="15"/>
  <c r="N15" i="15"/>
  <c r="N16" i="15"/>
  <c r="L25" i="13"/>
  <c r="G43" i="11"/>
  <c r="C43" i="11"/>
  <c r="O27" i="11"/>
  <c r="K27" i="11"/>
  <c r="G27" i="11"/>
  <c r="C27" i="11"/>
  <c r="O11" i="11"/>
  <c r="G11" i="11"/>
  <c r="C11" i="11"/>
  <c r="P8" i="10" l="1"/>
  <c r="P9" i="10"/>
  <c r="P10" i="10"/>
  <c r="P11" i="10"/>
  <c r="P12" i="10"/>
  <c r="P13" i="10"/>
  <c r="P14" i="10"/>
  <c r="P15" i="10"/>
  <c r="P16" i="10"/>
  <c r="P17" i="10"/>
  <c r="P7" i="10"/>
  <c r="P4" i="10"/>
  <c r="B17" i="8"/>
  <c r="N202" i="4" l="1"/>
  <c r="O202" i="4"/>
  <c r="N187" i="4"/>
  <c r="O187" i="4"/>
  <c r="N123" i="4"/>
  <c r="O123" i="4"/>
  <c r="N124" i="4"/>
  <c r="O124" i="4"/>
  <c r="N111" i="4"/>
  <c r="O111" i="4"/>
  <c r="N84" i="4"/>
  <c r="O84" i="4"/>
  <c r="N85" i="4"/>
  <c r="O85" i="4"/>
  <c r="N35" i="4"/>
  <c r="O35" i="4"/>
  <c r="N43" i="4"/>
  <c r="O43" i="4"/>
  <c r="C5" i="2"/>
  <c r="B5" i="2" l="1"/>
  <c r="B18" i="22" l="1"/>
  <c r="F54" i="16" l="1"/>
  <c r="B54" i="16"/>
  <c r="N38" i="16"/>
  <c r="J38" i="16"/>
  <c r="F38" i="16"/>
  <c r="B38" i="16"/>
  <c r="N22" i="16"/>
  <c r="J22" i="16"/>
  <c r="F22" i="16"/>
  <c r="B22" i="16"/>
  <c r="B17" i="13"/>
  <c r="F7" i="12"/>
  <c r="E7" i="12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O218" i="4"/>
  <c r="N218" i="4"/>
  <c r="O201" i="4"/>
  <c r="N201" i="4"/>
  <c r="O94" i="4"/>
  <c r="N94" i="4"/>
  <c r="O81" i="4"/>
  <c r="O82" i="4"/>
  <c r="N80" i="4"/>
  <c r="N81" i="4"/>
  <c r="N82" i="4"/>
  <c r="O80" i="4"/>
  <c r="B11" i="3" l="1"/>
  <c r="E24" i="2" l="1"/>
  <c r="D77" i="23" l="1"/>
  <c r="U47" i="19" l="1"/>
  <c r="E20" i="22" l="1"/>
  <c r="F53" i="16" l="1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C11" i="3"/>
  <c r="F24" i="2"/>
  <c r="N200" i="4"/>
  <c r="O200" i="4"/>
  <c r="N197" i="4"/>
  <c r="O197" i="4"/>
  <c r="N186" i="4"/>
  <c r="O186" i="4"/>
  <c r="N157" i="4"/>
  <c r="O157" i="4"/>
  <c r="N132" i="4"/>
  <c r="O132" i="4"/>
  <c r="N113" i="4"/>
  <c r="O113" i="4"/>
  <c r="N106" i="4"/>
  <c r="O106" i="4"/>
  <c r="N61" i="4"/>
  <c r="O61" i="4"/>
  <c r="N39" i="4"/>
  <c r="O39" i="4"/>
  <c r="N31" i="4"/>
  <c r="O31" i="4"/>
  <c r="C54" i="6" l="1"/>
  <c r="G54" i="6"/>
  <c r="F52" i="16" l="1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B9" i="24"/>
  <c r="D11" i="3"/>
  <c r="G24" i="2"/>
  <c r="N163" i="4"/>
  <c r="O163" i="4"/>
  <c r="N72" i="4"/>
  <c r="O72" i="4"/>
  <c r="N12" i="4"/>
  <c r="O12" i="4"/>
  <c r="O20" i="11" l="1"/>
  <c r="O8" i="10"/>
  <c r="N8" i="10"/>
  <c r="O7" i="10"/>
  <c r="F51" i="16" l="1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7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E11" i="3"/>
  <c r="H24" i="2"/>
  <c r="N226" i="4" l="1"/>
  <c r="O226" i="4"/>
  <c r="N225" i="4"/>
  <c r="O225" i="4"/>
  <c r="N164" i="4"/>
  <c r="O164" i="4"/>
  <c r="N136" i="4"/>
  <c r="O136" i="4"/>
  <c r="N127" i="4"/>
  <c r="O127" i="4"/>
  <c r="N86" i="4"/>
  <c r="O86" i="4"/>
  <c r="N60" i="4"/>
  <c r="O60" i="4"/>
  <c r="N30" i="4"/>
  <c r="O30" i="4"/>
  <c r="N23" i="4"/>
  <c r="O23" i="4"/>
  <c r="C74" i="23" l="1"/>
  <c r="B74" i="23"/>
  <c r="F50" i="16" l="1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N217" i="4"/>
  <c r="O217" i="4"/>
  <c r="N203" i="4"/>
  <c r="O203" i="4"/>
  <c r="N107" i="4"/>
  <c r="O107" i="4"/>
  <c r="N83" i="4"/>
  <c r="O83" i="4"/>
  <c r="O8" i="4"/>
  <c r="N8" i="4"/>
  <c r="F11" i="3"/>
  <c r="I24" i="2"/>
  <c r="B18" i="11" l="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17" i="7"/>
  <c r="F17" i="7" s="1"/>
  <c r="C17" i="7"/>
  <c r="D17" i="7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G11" i="3"/>
  <c r="J24" i="2"/>
  <c r="B14" i="22" l="1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H11" i="3"/>
  <c r="K24" i="2" l="1"/>
  <c r="F47" i="11" l="1"/>
  <c r="G48" i="11" s="1"/>
  <c r="F46" i="11"/>
  <c r="B47" i="11"/>
  <c r="B46" i="11"/>
  <c r="C47" i="11" l="1"/>
  <c r="C48" i="11"/>
  <c r="G47" i="11"/>
  <c r="N115" i="19"/>
  <c r="O109" i="19" s="1"/>
  <c r="O112" i="19" l="1"/>
  <c r="O108" i="19"/>
  <c r="O105" i="19"/>
  <c r="O111" i="19"/>
  <c r="O107" i="19"/>
  <c r="O110" i="19"/>
  <c r="O106" i="19"/>
  <c r="O114" i="19"/>
  <c r="O113" i="19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I11" i="3"/>
  <c r="L24" i="2"/>
  <c r="F45" i="16" l="1"/>
  <c r="B45" i="16"/>
  <c r="C46" i="16" s="1"/>
  <c r="F44" i="16"/>
  <c r="B44" i="16"/>
  <c r="F43" i="16"/>
  <c r="B43" i="16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J27" i="16"/>
  <c r="K28" i="16" s="1"/>
  <c r="F27" i="16"/>
  <c r="B27" i="16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J11" i="16"/>
  <c r="F11" i="16"/>
  <c r="B11" i="16"/>
  <c r="M9" i="16"/>
  <c r="I9" i="16"/>
  <c r="E9" i="16"/>
  <c r="A9" i="16"/>
  <c r="F45" i="11"/>
  <c r="G46" i="11" s="1"/>
  <c r="B45" i="11"/>
  <c r="F44" i="11"/>
  <c r="B44" i="11"/>
  <c r="F43" i="11"/>
  <c r="B43" i="1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J27" i="11"/>
  <c r="F27" i="11"/>
  <c r="B27" i="1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J11" i="11"/>
  <c r="F11" i="1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M17" i="15"/>
  <c r="O16" i="15"/>
  <c r="O15" i="15"/>
  <c r="O14" i="15"/>
  <c r="O13" i="15"/>
  <c r="O12" i="15"/>
  <c r="O11" i="15"/>
  <c r="O10" i="15"/>
  <c r="O9" i="15"/>
  <c r="O8" i="15"/>
  <c r="O7" i="15"/>
  <c r="M37" i="14"/>
  <c r="P1" i="15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C46" i="11"/>
  <c r="P18" i="10"/>
  <c r="M17" i="10"/>
  <c r="B11" i="11" s="1"/>
  <c r="B13" i="1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7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229" i="4"/>
  <c r="O227" i="4"/>
  <c r="N227" i="4"/>
  <c r="O228" i="4"/>
  <c r="N228" i="4"/>
  <c r="O224" i="4"/>
  <c r="N224" i="4"/>
  <c r="O223" i="4"/>
  <c r="N223" i="4"/>
  <c r="O222" i="4"/>
  <c r="N222" i="4"/>
  <c r="O221" i="4"/>
  <c r="N221" i="4"/>
  <c r="O220" i="4"/>
  <c r="N220" i="4"/>
  <c r="O219" i="4"/>
  <c r="N219" i="4"/>
  <c r="O216" i="4"/>
  <c r="N216" i="4"/>
  <c r="O215" i="4"/>
  <c r="N215" i="4"/>
  <c r="O214" i="4"/>
  <c r="N214" i="4"/>
  <c r="O213" i="4"/>
  <c r="N213" i="4"/>
  <c r="O212" i="4"/>
  <c r="N212" i="4"/>
  <c r="O211" i="4"/>
  <c r="N211" i="4"/>
  <c r="O210" i="4"/>
  <c r="N210" i="4"/>
  <c r="O209" i="4"/>
  <c r="N209" i="4"/>
  <c r="O208" i="4"/>
  <c r="N208" i="4"/>
  <c r="O207" i="4"/>
  <c r="N207" i="4"/>
  <c r="O205" i="4"/>
  <c r="N205" i="4"/>
  <c r="O206" i="4"/>
  <c r="N206" i="4"/>
  <c r="O204" i="4"/>
  <c r="N204" i="4"/>
  <c r="O199" i="4"/>
  <c r="N199" i="4"/>
  <c r="O198" i="4"/>
  <c r="N198" i="4"/>
  <c r="O196" i="4"/>
  <c r="N196" i="4"/>
  <c r="O195" i="4"/>
  <c r="N195" i="4"/>
  <c r="O194" i="4"/>
  <c r="N194" i="4"/>
  <c r="O193" i="4"/>
  <c r="N193" i="4"/>
  <c r="O192" i="4"/>
  <c r="N192" i="4"/>
  <c r="O191" i="4"/>
  <c r="N191" i="4"/>
  <c r="O190" i="4"/>
  <c r="N190" i="4"/>
  <c r="O189" i="4"/>
  <c r="N189" i="4"/>
  <c r="O188" i="4"/>
  <c r="N188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53" i="4"/>
  <c r="N153" i="4"/>
  <c r="O169" i="4"/>
  <c r="N169" i="4"/>
  <c r="O168" i="4"/>
  <c r="N168" i="4"/>
  <c r="O167" i="4"/>
  <c r="N167" i="4"/>
  <c r="O166" i="4"/>
  <c r="N166" i="4"/>
  <c r="O165" i="4"/>
  <c r="N165" i="4"/>
  <c r="O162" i="4"/>
  <c r="N162" i="4"/>
  <c r="O161" i="4"/>
  <c r="N161" i="4"/>
  <c r="O160" i="4"/>
  <c r="N160" i="4"/>
  <c r="O159" i="4"/>
  <c r="N159" i="4"/>
  <c r="O158" i="4"/>
  <c r="N158" i="4"/>
  <c r="O156" i="4"/>
  <c r="N156" i="4"/>
  <c r="O154" i="4"/>
  <c r="N154" i="4"/>
  <c r="O155" i="4"/>
  <c r="N155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5" i="4"/>
  <c r="N135" i="4"/>
  <c r="O134" i="4"/>
  <c r="N134" i="4"/>
  <c r="O133" i="4"/>
  <c r="N133" i="4"/>
  <c r="O131" i="4"/>
  <c r="N131" i="4"/>
  <c r="O130" i="4"/>
  <c r="N130" i="4"/>
  <c r="O129" i="4"/>
  <c r="N129" i="4"/>
  <c r="O128" i="4"/>
  <c r="N128" i="4"/>
  <c r="O126" i="4"/>
  <c r="N126" i="4"/>
  <c r="O125" i="4"/>
  <c r="N125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2" i="4"/>
  <c r="N112" i="4"/>
  <c r="O110" i="4"/>
  <c r="N110" i="4"/>
  <c r="O109" i="4"/>
  <c r="N109" i="4"/>
  <c r="O108" i="4"/>
  <c r="N108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3" i="4"/>
  <c r="N93" i="4"/>
  <c r="O92" i="4"/>
  <c r="N92" i="4"/>
  <c r="O90" i="4"/>
  <c r="N90" i="4"/>
  <c r="O91" i="4"/>
  <c r="N91" i="4"/>
  <c r="O89" i="4"/>
  <c r="N89" i="4"/>
  <c r="O88" i="4"/>
  <c r="N88" i="4"/>
  <c r="O87" i="4"/>
  <c r="N87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2" i="4"/>
  <c r="N42" i="4"/>
  <c r="O41" i="4"/>
  <c r="N41" i="4"/>
  <c r="O40" i="4"/>
  <c r="N40" i="4"/>
  <c r="O38" i="4"/>
  <c r="N38" i="4"/>
  <c r="O37" i="4"/>
  <c r="N37" i="4"/>
  <c r="O36" i="4"/>
  <c r="N36" i="4"/>
  <c r="O34" i="4"/>
  <c r="N34" i="4"/>
  <c r="O33" i="4"/>
  <c r="N33" i="4"/>
  <c r="O32" i="4"/>
  <c r="N32" i="4"/>
  <c r="O29" i="4"/>
  <c r="N29" i="4"/>
  <c r="O28" i="4"/>
  <c r="N28" i="4"/>
  <c r="O27" i="4"/>
  <c r="N27" i="4"/>
  <c r="O26" i="4"/>
  <c r="N26" i="4"/>
  <c r="O25" i="4"/>
  <c r="N25" i="4"/>
  <c r="O24" i="4"/>
  <c r="N24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1" i="4"/>
  <c r="N11" i="4"/>
  <c r="O10" i="4"/>
  <c r="N10" i="4"/>
  <c r="O9" i="4"/>
  <c r="N9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3" i="2"/>
  <c r="Q23" i="2"/>
  <c r="S22" i="2"/>
  <c r="Q22" i="2"/>
  <c r="S21" i="2"/>
  <c r="Q21" i="2"/>
  <c r="S20" i="2"/>
  <c r="Q20" i="2"/>
  <c r="S19" i="2"/>
  <c r="Q19" i="2"/>
  <c r="B18" i="2"/>
  <c r="B17" i="2"/>
  <c r="O12" i="6" l="1"/>
  <c r="O11" i="6"/>
  <c r="L26" i="8"/>
  <c r="P1" i="5"/>
  <c r="P17" i="15"/>
  <c r="P18" i="15" s="1"/>
  <c r="P7" i="15"/>
  <c r="P8" i="15"/>
  <c r="P12" i="15"/>
  <c r="P16" i="15"/>
  <c r="P11" i="15"/>
  <c r="P9" i="15"/>
  <c r="P13" i="15"/>
  <c r="P10" i="15"/>
  <c r="P14" i="15"/>
  <c r="P15" i="15"/>
  <c r="O37" i="14"/>
  <c r="O71" i="9"/>
  <c r="G12" i="6"/>
  <c r="O29" i="6"/>
  <c r="G13" i="6"/>
  <c r="Q7" i="3"/>
  <c r="Q11" i="3"/>
  <c r="Q6" i="3"/>
  <c r="Q8" i="3"/>
  <c r="Q5" i="3"/>
  <c r="Q9" i="3"/>
  <c r="Q10" i="3"/>
  <c r="S24" i="2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O17" i="10"/>
  <c r="K12" i="11"/>
  <c r="K28" i="11"/>
  <c r="K29" i="11"/>
  <c r="O13" i="11"/>
  <c r="O28" i="11"/>
  <c r="O229" i="4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N11" i="3"/>
  <c r="P9" i="3" s="1"/>
  <c r="AG47" i="19"/>
  <c r="AG39" i="19"/>
  <c r="AG33" i="19"/>
  <c r="AG27" i="19"/>
  <c r="O14" i="16"/>
  <c r="O29" i="16"/>
  <c r="G46" i="16"/>
  <c r="K14" i="16"/>
  <c r="E17" i="12"/>
  <c r="K28" i="6"/>
  <c r="N17" i="5"/>
  <c r="O28" i="6"/>
  <c r="O30" i="6"/>
  <c r="O17" i="5"/>
  <c r="Q24" i="2"/>
  <c r="R21" i="2" s="1"/>
  <c r="K13" i="6"/>
  <c r="N71" i="9"/>
  <c r="N37" i="14"/>
  <c r="P5" i="14" s="1"/>
  <c r="C12" i="11"/>
  <c r="N17" i="10"/>
  <c r="K13" i="16"/>
  <c r="C46" i="6"/>
  <c r="C45" i="6"/>
  <c r="C28" i="11"/>
  <c r="C29" i="11"/>
  <c r="AF47" i="19"/>
  <c r="C14" i="11"/>
  <c r="C13" i="11"/>
  <c r="K29" i="6"/>
  <c r="AF33" i="19"/>
  <c r="B19" i="19"/>
  <c r="O17" i="15"/>
  <c r="G45" i="6"/>
  <c r="G13" i="11"/>
  <c r="G29" i="11"/>
  <c r="O11" i="3"/>
  <c r="C44" i="11"/>
  <c r="N229" i="4"/>
  <c r="E17" i="7"/>
  <c r="G44" i="11"/>
  <c r="N100" i="19"/>
  <c r="P9" i="5" l="1"/>
  <c r="P13" i="5"/>
  <c r="P17" i="5"/>
  <c r="P18" i="5" s="1"/>
  <c r="P15" i="5"/>
  <c r="P10" i="5"/>
  <c r="P14" i="5"/>
  <c r="P7" i="5"/>
  <c r="P11" i="5"/>
  <c r="P8" i="5"/>
  <c r="P12" i="5"/>
  <c r="P16" i="5"/>
  <c r="P68" i="9"/>
  <c r="P43" i="4"/>
  <c r="P123" i="4"/>
  <c r="P35" i="4"/>
  <c r="P85" i="4"/>
  <c r="P84" i="4"/>
  <c r="P111" i="4"/>
  <c r="P124" i="4"/>
  <c r="P202" i="4"/>
  <c r="P187" i="4"/>
  <c r="P80" i="4"/>
  <c r="P81" i="4"/>
  <c r="P201" i="4"/>
  <c r="P82" i="4"/>
  <c r="P94" i="4"/>
  <c r="P218" i="4"/>
  <c r="P197" i="4"/>
  <c r="P200" i="4"/>
  <c r="P157" i="4"/>
  <c r="P186" i="4"/>
  <c r="P113" i="4"/>
  <c r="P132" i="4"/>
  <c r="P61" i="4"/>
  <c r="P106" i="4"/>
  <c r="P31" i="4"/>
  <c r="P39" i="4"/>
  <c r="P72" i="4"/>
  <c r="P163" i="4"/>
  <c r="P226" i="4"/>
  <c r="P12" i="4"/>
  <c r="P164" i="4"/>
  <c r="P225" i="4"/>
  <c r="P127" i="4"/>
  <c r="P136" i="4"/>
  <c r="P60" i="4"/>
  <c r="P86" i="4"/>
  <c r="P23" i="4"/>
  <c r="P30" i="4"/>
  <c r="P203" i="4"/>
  <c r="P217" i="4"/>
  <c r="P83" i="4"/>
  <c r="P107" i="4"/>
  <c r="P110" i="4"/>
  <c r="P8" i="4"/>
  <c r="P80" i="19"/>
  <c r="P25" i="19"/>
  <c r="P5" i="9"/>
  <c r="R19" i="2"/>
  <c r="P102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P40" i="4"/>
  <c r="P210" i="4"/>
  <c r="P196" i="4"/>
  <c r="P171" i="4"/>
  <c r="P131" i="4"/>
  <c r="P220" i="4"/>
  <c r="P18" i="4"/>
  <c r="P42" i="4"/>
  <c r="P193" i="4"/>
  <c r="P125" i="4"/>
  <c r="P141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P95" i="4"/>
  <c r="P14" i="4"/>
  <c r="P168" i="4"/>
  <c r="P91" i="4"/>
  <c r="P62" i="4"/>
  <c r="P209" i="4"/>
  <c r="P170" i="4"/>
  <c r="P93" i="4"/>
  <c r="P134" i="4"/>
  <c r="P207" i="4"/>
  <c r="P214" i="4"/>
  <c r="P122" i="4"/>
  <c r="P198" i="4"/>
  <c r="P44" i="4"/>
  <c r="P51" i="4"/>
  <c r="P188" i="4"/>
  <c r="P76" i="4"/>
  <c r="P119" i="4"/>
  <c r="P162" i="4"/>
  <c r="P49" i="4"/>
  <c r="P135" i="4"/>
  <c r="P183" i="4"/>
  <c r="P158" i="4"/>
  <c r="P13" i="4"/>
  <c r="P103" i="4"/>
  <c r="P161" i="4"/>
  <c r="P151" i="4"/>
  <c r="P90" i="4"/>
  <c r="P184" i="4"/>
  <c r="P28" i="4"/>
  <c r="P19" i="4"/>
  <c r="P175" i="4"/>
  <c r="P32" i="4"/>
  <c r="P69" i="4"/>
  <c r="P109" i="4"/>
  <c r="P149" i="4"/>
  <c r="P144" i="4"/>
  <c r="P56" i="4"/>
  <c r="P152" i="4"/>
  <c r="P66" i="4"/>
  <c r="P224" i="4"/>
  <c r="P78" i="4"/>
  <c r="P52" i="4"/>
  <c r="P143" i="4"/>
  <c r="R23" i="2"/>
  <c r="R22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169" i="4"/>
  <c r="P41" i="19"/>
  <c r="P52" i="19"/>
  <c r="P48" i="19"/>
  <c r="P9" i="9"/>
  <c r="P130" i="4"/>
  <c r="P22" i="4"/>
  <c r="P39" i="19"/>
  <c r="P68" i="19"/>
  <c r="P97" i="19"/>
  <c r="P36" i="19"/>
  <c r="P159" i="4"/>
  <c r="P21" i="4"/>
  <c r="P194" i="4"/>
  <c r="P57" i="19"/>
  <c r="P24" i="19"/>
  <c r="P79" i="4"/>
  <c r="P33" i="19"/>
  <c r="P176" i="4"/>
  <c r="P93" i="19"/>
  <c r="P33" i="9"/>
  <c r="P75" i="4"/>
  <c r="P100" i="4"/>
  <c r="P27" i="4"/>
  <c r="P25" i="9"/>
  <c r="P92" i="19"/>
  <c r="P115" i="4"/>
  <c r="P10" i="4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29" i="4"/>
  <c r="P223" i="4"/>
  <c r="P213" i="4"/>
  <c r="P206" i="4"/>
  <c r="P192" i="4"/>
  <c r="P182" i="4"/>
  <c r="P174" i="4"/>
  <c r="P167" i="4"/>
  <c r="P156" i="4"/>
  <c r="P147" i="4"/>
  <c r="P139" i="4"/>
  <c r="P129" i="4"/>
  <c r="P118" i="4"/>
  <c r="P108" i="4"/>
  <c r="P98" i="4"/>
  <c r="P89" i="4"/>
  <c r="P74" i="4"/>
  <c r="P65" i="4"/>
  <c r="P55" i="4"/>
  <c r="P47" i="4"/>
  <c r="P37" i="4"/>
  <c r="P26" i="4"/>
  <c r="P17" i="4"/>
  <c r="P7" i="4"/>
  <c r="P63" i="4"/>
  <c r="P172" i="4"/>
  <c r="P126" i="4"/>
  <c r="P45" i="4"/>
  <c r="P211" i="4"/>
  <c r="P199" i="4"/>
  <c r="P104" i="4"/>
  <c r="P53" i="4"/>
  <c r="P15" i="4"/>
  <c r="P222" i="4"/>
  <c r="P212" i="4"/>
  <c r="P204" i="4"/>
  <c r="P191" i="4"/>
  <c r="P181" i="4"/>
  <c r="P173" i="4"/>
  <c r="P166" i="4"/>
  <c r="P154" i="4"/>
  <c r="P146" i="4"/>
  <c r="P138" i="4"/>
  <c r="P128" i="4"/>
  <c r="P117" i="4"/>
  <c r="P105" i="4"/>
  <c r="P97" i="4"/>
  <c r="P88" i="4"/>
  <c r="P73" i="4"/>
  <c r="P64" i="4"/>
  <c r="P54" i="4"/>
  <c r="P46" i="4"/>
  <c r="P36" i="4"/>
  <c r="P25" i="4"/>
  <c r="P16" i="4"/>
  <c r="P6" i="4"/>
  <c r="P180" i="4"/>
  <c r="P165" i="4"/>
  <c r="P145" i="4"/>
  <c r="P116" i="4"/>
  <c r="P96" i="4"/>
  <c r="P71" i="4"/>
  <c r="P24" i="4"/>
  <c r="P221" i="4"/>
  <c r="P190" i="4"/>
  <c r="P137" i="4"/>
  <c r="P34" i="4"/>
  <c r="P5" i="4"/>
  <c r="P155" i="4"/>
  <c r="P87" i="4"/>
  <c r="P195" i="4"/>
  <c r="P121" i="4"/>
  <c r="P41" i="4"/>
  <c r="P142" i="4"/>
  <c r="P58" i="4"/>
  <c r="P208" i="4"/>
  <c r="P185" i="4"/>
  <c r="P112" i="4"/>
  <c r="P29" i="4"/>
  <c r="P153" i="4"/>
  <c r="P92" i="4"/>
  <c r="P177" i="4"/>
  <c r="P101" i="4"/>
  <c r="P20" i="4"/>
  <c r="P11" i="4"/>
  <c r="P160" i="4"/>
  <c r="P77" i="4"/>
  <c r="P216" i="4"/>
  <c r="P227" i="4"/>
  <c r="P150" i="4"/>
  <c r="P68" i="4"/>
  <c r="P133" i="4"/>
  <c r="P50" i="4"/>
  <c r="P29" i="19"/>
  <c r="P114" i="4"/>
  <c r="P9" i="4"/>
  <c r="P140" i="4"/>
  <c r="P67" i="9"/>
  <c r="P228" i="4"/>
  <c r="P67" i="4"/>
  <c r="P38" i="4"/>
  <c r="P29" i="9"/>
  <c r="P70" i="4"/>
  <c r="P33" i="4"/>
  <c r="P89" i="19"/>
  <c r="P21" i="9"/>
  <c r="P42" i="19"/>
  <c r="P88" i="19"/>
  <c r="P219" i="4"/>
  <c r="P59" i="4"/>
  <c r="P76" i="19"/>
  <c r="P12" i="9"/>
  <c r="P59" i="9"/>
  <c r="P99" i="4"/>
  <c r="P148" i="4"/>
  <c r="P120" i="4"/>
  <c r="P179" i="4"/>
  <c r="P178" i="4"/>
  <c r="P31" i="19"/>
  <c r="P215" i="4"/>
  <c r="P57" i="4"/>
  <c r="P85" i="19"/>
  <c r="P30" i="19"/>
  <c r="P84" i="19"/>
  <c r="P205" i="4"/>
  <c r="P48" i="4"/>
  <c r="P65" i="19"/>
  <c r="P189" i="4"/>
  <c r="P26" i="19"/>
  <c r="P72" i="19"/>
  <c r="P73" i="19"/>
  <c r="P61" i="19"/>
  <c r="P37" i="14" l="1"/>
  <c r="R24" i="2"/>
  <c r="P71" i="9"/>
  <c r="P100" i="19"/>
</calcChain>
</file>

<file path=xl/sharedStrings.xml><?xml version="1.0" encoding="utf-8"?>
<sst xmlns="http://schemas.openxmlformats.org/spreadsheetml/2006/main" count="980" uniqueCount="508">
  <si>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</si>
  <si>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</si>
  <si>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</si>
  <si>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</si>
  <si>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</si>
  <si>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</si>
  <si>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</si>
  <si>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</si>
  <si>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</si>
  <si>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</si>
  <si>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</si>
  <si>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</si>
  <si>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</si>
  <si>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</si>
  <si>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</si>
  <si>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</si>
  <si>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</si>
  <si>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</si>
  <si>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</si>
  <si>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</si>
  <si>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</si>
  <si>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</si>
  <si>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</si>
  <si>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</si>
  <si>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</si>
  <si>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</si>
  <si>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</si>
  <si>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</si>
  <si>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</si>
  <si>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</si>
  <si>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</si>
  <si>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</si>
  <si>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</si>
  <si>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</si>
  <si>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</si>
  <si>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</si>
  <si>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</si>
  <si>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</si>
  <si>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</si>
  <si>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</si>
  <si>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</si>
  <si>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</si>
  <si>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</si>
  <si>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</si>
  <si>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</si>
  <si>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</si>
  <si>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</si>
  <si>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</si>
  <si>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</si>
  <si>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</si>
  <si>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</si>
  <si>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</si>
  <si>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</si>
  <si>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</si>
  <si>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</si>
  <si>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</si>
  <si>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</si>
  <si>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</si>
  <si>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</si>
  <si>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</si>
  <si>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</si>
  <si>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</si>
  <si>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</si>
  <si>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</si>
  <si>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</si>
  <si>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</si>
  <si>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</si>
  <si>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</si>
  <si>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</si>
  <si>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</si>
  <si>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</si>
  <si>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</si>
  <si>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</si>
  <si>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</si>
  <si>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</si>
  <si>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</si>
  <si>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</si>
  <si>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</si>
  <si>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</si>
  <si>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</si>
  <si>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</si>
  <si>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</si>
  <si>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</si>
  <si>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</si>
  <si>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</si>
  <si>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</si>
  <si>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</si>
  <si>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</si>
  <si>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</si>
  <si>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</si>
  <si>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</si>
  <si>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</si>
  <si>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</si>
  <si>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</si>
  <si>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</si>
  <si>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</si>
  <si>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</si>
  <si>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</si>
  <si>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</si>
  <si>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</si>
  <si>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</si>
  <si>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</si>
  <si>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</si>
  <si>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</si>
  <si>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</si>
  <si>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</si>
  <si>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</si>
  <si>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</si>
  <si>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</si>
  <si>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</si>
  <si>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</si>
  <si>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</si>
  <si>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</si>
  <si>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</si>
  <si>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</si>
  <si>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</si>
  <si>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</si>
  <si>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</si>
  <si>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</si>
  <si>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</si>
  <si>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</si>
  <si>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</si>
  <si>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</si>
  <si>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</si>
  <si>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</si>
  <si>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</si>
  <si>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</si>
  <si>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</si>
  <si>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</si>
  <si>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</si>
  <si>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</si>
  <si>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</si>
  <si>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</si>
  <si>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</si>
  <si>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</si>
  <si>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</si>
  <si>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</si>
  <si>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</si>
  <si>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</si>
  <si>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</si>
  <si>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</si>
  <si>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</si>
  <si>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</si>
  <si>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</si>
  <si>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</si>
  <si>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</si>
  <si>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</si>
  <si>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</si>
  <si>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</si>
  <si>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</si>
  <si>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</si>
  <si>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</si>
  <si>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</si>
  <si>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</si>
  <si>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</si>
  <si>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</si>
  <si>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</si>
  <si>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</si>
  <si>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</si>
  <si>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</si>
  <si>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</si>
  <si>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</si>
  <si>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</si>
  <si>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</si>
  <si>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</si>
  <si>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</si>
  <si>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</si>
  <si>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</si>
  <si>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</si>
  <si>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</si>
  <si>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</si>
  <si>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</si>
  <si>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</si>
  <si>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</si>
  <si>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</si>
  <si>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</si>
  <si>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</si>
  <si>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</si>
  <si>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</si>
  <si>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</si>
  <si>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</si>
  <si>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</si>
  <si>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</si>
  <si>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</si>
  <si>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</si>
  <si>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</si>
  <si>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</si>
  <si>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</si>
  <si>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</si>
  <si>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</si>
  <si>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</si>
  <si>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</si>
  <si>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</si>
  <si>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</si>
  <si>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</si>
  <si>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</si>
  <si>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</si>
  <si>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</si>
  <si>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</si>
  <si>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</si>
  <si>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</si>
  <si>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</si>
  <si>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</si>
  <si>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</si>
  <si>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</si>
  <si>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</si>
  <si>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</si>
  <si>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</si>
  <si>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</si>
  <si>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</si>
  <si>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</si>
  <si>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</si>
  <si>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</si>
  <si>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</si>
  <si>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</si>
  <si>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</si>
  <si>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</si>
  <si>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</si>
  <si>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</si>
  <si>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</si>
  <si>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</si>
  <si>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</si>
  <si>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</si>
  <si>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</si>
  <si>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</si>
  <si>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</si>
  <si>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</si>
  <si>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</si>
  <si>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</si>
  <si>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</si>
  <si>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</si>
  <si>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</si>
  <si>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</si>
  <si>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</si>
  <si>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</si>
  <si>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</si>
  <si>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</si>
  <si>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</si>
  <si>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</si>
  <si>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</si>
  <si>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</si>
  <si>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</si>
  <si>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</si>
  <si>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</si>
  <si>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</si>
  <si>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</si>
  <si>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</si>
  <si>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</si>
  <si>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</si>
  <si>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</si>
  <si>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</si>
  <si>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</si>
  <si>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</si>
  <si>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</si>
  <si>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</si>
  <si>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</si>
  <si>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</si>
  <si>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</si>
  <si>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</si>
  <si>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</si>
  <si>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</si>
  <si>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</si>
  <si>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</si>
  <si>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</si>
  <si>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</si>
  <si>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</si>
  <si>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</si>
  <si>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</si>
  <si>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</si>
  <si>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</si>
  <si>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</si>
  <si>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</si>
  <si>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</si>
  <si>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</si>
  <si>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</si>
  <si>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</si>
  <si>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</si>
  <si>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</si>
  <si>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</si>
  <si>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</si>
  <si>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</si>
  <si>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</si>
  <si>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</si>
  <si>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</si>
  <si>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</si>
  <si>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</si>
  <si>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</si>
  <si>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</si>
  <si>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</si>
  <si>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</si>
  <si>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</si>
  <si>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</si>
  <si>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</si>
  <si>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</si>
  <si>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</si>
  <si>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</si>
  <si>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</si>
  <si>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</si>
  <si>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</si>
  <si>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</si>
  <si>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</si>
  <si>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</si>
  <si>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</si>
  <si>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</si>
  <si>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</si>
  <si>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</si>
  <si>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</si>
  <si>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</si>
  <si>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</si>
  <si>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</si>
  <si>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</si>
  <si>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</si>
  <si>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</si>
  <si>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</si>
  <si>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</si>
  <si>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</si>
  <si>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</si>
  <si>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</si>
  <si>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</si>
  <si>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</si>
  <si>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</si>
  <si>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</si>
  <si>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</si>
  <si>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</si>
  <si>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</si>
  <si>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</si>
  <si>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</si>
  <si>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</si>
  <si>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</si>
  <si>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</si>
  <si>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</si>
  <si>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</si>
  <si>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</si>
  <si>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</si>
  <si>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</si>
  <si>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</si>
  <si>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</si>
  <si>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</si>
  <si>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</si>
  <si>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</si>
  <si>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</si>
  <si>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</si>
  <si>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</si>
  <si>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</si>
  <si>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</si>
  <si>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</si>
  <si>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</si>
  <si>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</si>
  <si>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</si>
  <si>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</si>
  <si>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</si>
  <si>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</si>
  <si>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</si>
  <si>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</si>
  <si>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</si>
  <si>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</si>
  <si>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</si>
  <si>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</si>
  <si>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</si>
  <si>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</si>
  <si>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</si>
  <si>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</si>
  <si>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</si>
  <si>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</si>
  <si>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</si>
  <si>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</si>
  <si>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</si>
  <si>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</si>
  <si>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</si>
  <si>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</si>
  <si>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</si>
  <si>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</si>
  <si>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</si>
  <si>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</si>
  <si>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</si>
  <si>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</si>
  <si>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</si>
  <si>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</si>
  <si>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</si>
  <si>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</si>
  <si>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</si>
  <si>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</si>
  <si>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</si>
  <si>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</si>
  <si>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</si>
  <si>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</si>
  <si>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</si>
  <si>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</si>
  <si>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</si>
  <si>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</si>
  <si>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</si>
  <si>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</si>
  <si>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</si>
  <si>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</si>
  <si>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</si>
  <si>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</si>
  <si>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</si>
  <si>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</si>
  <si>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</si>
  <si>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</si>
  <si>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</si>
  <si>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</si>
  <si>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</si>
  <si>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</si>
  <si>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</si>
  <si>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</si>
  <si>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</si>
  <si>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</si>
  <si>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</si>
  <si>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</si>
  <si>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</si>
  <si>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</si>
  <si>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</si>
  <si>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</si>
  <si>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</si>
  <si>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</si>
  <si>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</si>
  <si>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</si>
  <si>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</si>
  <si>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</si>
  <si>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</si>
  <si>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</si>
  <si>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</si>
  <si>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</si>
  <si>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</si>
  <si>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</si>
  <si>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</si>
  <si>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</si>
  <si>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</si>
  <si>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</si>
  <si>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</si>
  <si>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</si>
  <si>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</si>
  <si>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</si>
  <si>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</si>
  <si>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</si>
  <si>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</si>
  <si>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</si>
  <si>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</si>
  <si>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</si>
  <si>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</si>
  <si>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</si>
  <si>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</si>
  <si>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</si>
  <si>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</si>
  <si>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</si>
  <si>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</si>
  <si>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</si>
  <si>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</si>
  <si>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</si>
  <si>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</si>
  <si>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</si>
  <si>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</si>
  <si>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</si>
  <si>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</si>
  <si>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</si>
  <si>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</si>
  <si>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</si>
  <si>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</si>
  <si>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</si>
  <si>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</si>
  <si>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</si>
  <si>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</si>
  <si>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</si>
  <si>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% Canais de entrada JAN/24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</si>
  <si>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</si>
  <si>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</si>
  <si>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</si>
  <si>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</si>
  <si>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</si>
  <si>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</si>
  <si>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</si>
  <si>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</si>
  <si>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</si>
  <si>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% em relação ao todo de JAN/24 (excetuando-se denúncias)</t>
  </si>
  <si>
    <t>ASSUNTO (Guia Portal 156)</t>
  </si>
  <si>
    <t>Unidades - variação dos 10 mais demandados de 2024 (MÉDIA)</t>
  </si>
  <si>
    <t>Secretaria Executiva de Limpeza Urbana</t>
  </si>
  <si>
    <t>Companhia de Engenharia de Tráfego</t>
  </si>
  <si>
    <t>São Paulo Transportes</t>
  </si>
  <si>
    <t>Agência Reguladora de Serviços Públicos do Município</t>
  </si>
  <si>
    <t>Subprefeituras PMSP</t>
  </si>
  <si>
    <t>Subprefeituras - variação dos 10 mais demandados de 2024 (MÉDIA)</t>
  </si>
  <si>
    <t>% Total JAN/24 dentro do STATUS</t>
  </si>
  <si>
    <t>% Total 2024</t>
  </si>
  <si>
    <t>Secretaria Executiva de Mudanças Climáticas***</t>
  </si>
  <si>
    <t>Unidades PMSP - JANEIRO 2024</t>
  </si>
  <si>
    <t>SMT - Secretaria Municipal de Mobilidade e Trânsito</t>
  </si>
  <si>
    <t>SVMA</t>
  </si>
  <si>
    <t>SMIT</t>
  </si>
  <si>
    <t>Unidades - 10 mais solicitadas de 2024 (Média)</t>
  </si>
  <si>
    <t>Assuntos - 10 mais solicitados de 2024 (Média)</t>
  </si>
  <si>
    <t>Assuntos - variação dos 10 mais solicitados de 2024 (MÉDIA)</t>
  </si>
  <si>
    <t>Assuntos - 10 mais solicitados dos 3 últimos meses (Média)</t>
  </si>
  <si>
    <t>10 assuntos mais solicitados de JANEIRO/2024</t>
  </si>
  <si>
    <t>Unidades - 10 mais solicitadas dos 3 últimos meses (Média)</t>
  </si>
  <si>
    <t>10 unidades mais solicitadas de JANEIRO/24</t>
  </si>
  <si>
    <t>Subprefeituras - 10 mais solicitadas de 2024 (Média)</t>
  </si>
  <si>
    <t>Georreferenciamento das 3 Subprefeituras mais solicitadas em JAN/24 e os assuntos mais demandados em cada uma das subprefeituras</t>
  </si>
  <si>
    <t>Total deferidas</t>
  </si>
  <si>
    <t>Total indeferidas</t>
  </si>
  <si>
    <t>Irregularidade da contratação e/ou gestão de serviço público</t>
  </si>
  <si>
    <t>Ilegalidade na gestão pública municipal</t>
  </si>
  <si>
    <t>Desvio de verbas, materiais e bens públicos</t>
  </si>
  <si>
    <t>Denunciar conduta inadequada de Agente Público</t>
  </si>
  <si>
    <t>Assédio sexual</t>
  </si>
  <si>
    <t>Assédio moral</t>
  </si>
  <si>
    <t>Denúncias* (exceto canceladas)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</si>
</sst>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4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i/>
      <sz val="10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44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4">
    <xf numFmtId="0" fontId="0" fillId="0" borderId="0"/>
    <xf numFmtId="0" fontId="5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ont="0" applyBorder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1">
    <xf numFmtId="0" fontId="0" fillId="0" borderId="0" xfId="0"/>
    <xf numFmtId="0" fontId="6" fillId="0" borderId="0" xfId="0" applyFont="1"/>
    <xf numFmtId="1" fontId="0" fillId="0" borderId="0" xfId="0" applyNumberFormat="1"/>
    <xf numFmtId="165" fontId="0" fillId="0" borderId="0" xfId="0" applyNumberFormat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7" fillId="0" borderId="5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3" fontId="7" fillId="0" borderId="7" xfId="0" applyNumberFormat="1" applyFont="1" applyBorder="1" applyAlignment="1">
      <alignment horizontal="center"/>
    </xf>
    <xf numFmtId="2" fontId="0" fillId="0" borderId="0" xfId="0" applyNumberFormat="1"/>
    <xf numFmtId="0" fontId="8" fillId="0" borderId="10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3" fontId="7" fillId="0" borderId="12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/>
    </xf>
    <xf numFmtId="17" fontId="6" fillId="5" borderId="13" xfId="0" applyNumberFormat="1" applyFont="1" applyFill="1" applyBorder="1" applyAlignment="1">
      <alignment horizontal="center" vertical="center"/>
    </xf>
    <xf numFmtId="17" fontId="6" fillId="5" borderId="14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6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1" fontId="6" fillId="5" borderId="3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0" fontId="14" fillId="0" borderId="0" xfId="0" applyFont="1"/>
    <xf numFmtId="3" fontId="14" fillId="0" borderId="0" xfId="0" applyNumberFormat="1" applyFont="1"/>
    <xf numFmtId="3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17" fontId="6" fillId="6" borderId="30" xfId="0" applyNumberFormat="1" applyFont="1" applyFill="1" applyBorder="1" applyAlignment="1">
      <alignment horizontal="center" vertical="center"/>
    </xf>
    <xf numFmtId="17" fontId="6" fillId="6" borderId="3" xfId="0" applyNumberFormat="1" applyFont="1" applyFill="1" applyBorder="1" applyAlignment="1">
      <alignment horizontal="center" vertical="center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9" xfId="0" applyNumberFormat="1" applyFont="1" applyFill="1" applyBorder="1" applyAlignment="1">
      <alignment horizontal="center" vertical="center"/>
    </xf>
    <xf numFmtId="17" fontId="6" fillId="5" borderId="11" xfId="0" applyNumberFormat="1" applyFont="1" applyFill="1" applyBorder="1" applyAlignment="1">
      <alignment horizontal="center" vertical="center"/>
    </xf>
    <xf numFmtId="1" fontId="6" fillId="5" borderId="29" xfId="0" applyNumberFormat="1" applyFont="1" applyFill="1" applyBorder="1" applyAlignment="1">
      <alignment horizontal="center" vertical="center"/>
    </xf>
    <xf numFmtId="0" fontId="0" fillId="0" borderId="0" xfId="4" applyFont="1"/>
    <xf numFmtId="0" fontId="8" fillId="6" borderId="41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29" xfId="4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8" applyFont="1"/>
    <xf numFmtId="0" fontId="6" fillId="0" borderId="0" xfId="8" applyFont="1" applyAlignment="1">
      <alignment horizontal="center" vertical="center"/>
    </xf>
    <xf numFmtId="1" fontId="7" fillId="0" borderId="0" xfId="0" applyNumberFormat="1" applyFont="1"/>
    <xf numFmtId="0" fontId="15" fillId="0" borderId="0" xfId="0" applyFont="1"/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35" xfId="0" applyFont="1" applyBorder="1"/>
    <xf numFmtId="1" fontId="7" fillId="0" borderId="20" xfId="0" applyNumberFormat="1" applyFont="1" applyBorder="1"/>
    <xf numFmtId="0" fontId="7" fillId="0" borderId="20" xfId="0" applyFont="1" applyBorder="1"/>
    <xf numFmtId="0" fontId="7" fillId="0" borderId="23" xfId="0" applyFont="1" applyBorder="1"/>
    <xf numFmtId="0" fontId="7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17" fontId="6" fillId="6" borderId="29" xfId="0" applyNumberFormat="1" applyFont="1" applyFill="1" applyBorder="1" applyAlignment="1">
      <alignment horizontal="center"/>
    </xf>
    <xf numFmtId="17" fontId="6" fillId="5" borderId="3" xfId="0" applyNumberFormat="1" applyFont="1" applyFill="1" applyBorder="1"/>
    <xf numFmtId="1" fontId="6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right"/>
    </xf>
    <xf numFmtId="1" fontId="8" fillId="5" borderId="29" xfId="0" applyNumberFormat="1" applyFont="1" applyFill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16" fillId="0" borderId="0" xfId="0" applyFont="1"/>
    <xf numFmtId="17" fontId="6" fillId="5" borderId="3" xfId="0" applyNumberFormat="1" applyFont="1" applyFill="1" applyBorder="1" applyAlignment="1">
      <alignment horizontal="center"/>
    </xf>
    <xf numFmtId="0" fontId="16" fillId="0" borderId="0" xfId="4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8" applyFont="1" applyAlignment="1">
      <alignment horizontal="center"/>
    </xf>
    <xf numFmtId="0" fontId="6" fillId="0" borderId="0" xfId="0" applyFont="1" applyAlignment="1">
      <alignment horizontal="left"/>
    </xf>
    <xf numFmtId="0" fontId="6" fillId="5" borderId="3" xfId="0" applyFont="1" applyFill="1" applyBorder="1" applyAlignment="1">
      <alignment horizontal="left"/>
    </xf>
    <xf numFmtId="17" fontId="6" fillId="5" borderId="14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/>
    </xf>
    <xf numFmtId="17" fontId="6" fillId="5" borderId="30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3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1" fontId="6" fillId="5" borderId="5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" fontId="6" fillId="5" borderId="30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1" fontId="6" fillId="0" borderId="42" xfId="0" applyNumberFormat="1" applyFont="1" applyBorder="1" applyAlignment="1">
      <alignment horizontal="center"/>
    </xf>
    <xf numFmtId="1" fontId="6" fillId="0" borderId="5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8" applyFont="1" applyAlignment="1">
      <alignment horizontal="left"/>
    </xf>
    <xf numFmtId="0" fontId="0" fillId="0" borderId="0" xfId="0" applyAlignment="1">
      <alignment horizontal="left"/>
    </xf>
    <xf numFmtId="17" fontId="10" fillId="5" borderId="3" xfId="0" applyNumberFormat="1" applyFont="1" applyFill="1" applyBorder="1" applyAlignment="1">
      <alignment horizontal="center" vertical="center"/>
    </xf>
    <xf numFmtId="17" fontId="10" fillId="5" borderId="11" xfId="0" applyNumberFormat="1" applyFont="1" applyFill="1" applyBorder="1" applyAlignment="1">
      <alignment horizontal="center" vertical="center"/>
    </xf>
    <xf numFmtId="17" fontId="10" fillId="5" borderId="30" xfId="0" applyNumberFormat="1" applyFont="1" applyFill="1" applyBorder="1" applyAlignment="1">
      <alignment horizontal="center" vertical="center"/>
    </xf>
    <xf numFmtId="165" fontId="10" fillId="5" borderId="31" xfId="0" applyNumberFormat="1" applyFont="1" applyFill="1" applyBorder="1" applyAlignment="1">
      <alignment horizontal="center" wrapText="1"/>
    </xf>
    <xf numFmtId="0" fontId="7" fillId="0" borderId="5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5" borderId="29" xfId="0" applyFont="1" applyFill="1" applyBorder="1" applyAlignment="1">
      <alignment horizontal="left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17" fontId="6" fillId="5" borderId="56" xfId="0" applyNumberFormat="1" applyFont="1" applyFill="1" applyBorder="1" applyAlignment="1">
      <alignment horizontal="center" vertical="center"/>
    </xf>
    <xf numFmtId="17" fontId="6" fillId="5" borderId="57" xfId="0" applyNumberFormat="1" applyFont="1" applyFill="1" applyBorder="1" applyAlignment="1">
      <alignment horizontal="center" vertical="center"/>
    </xf>
    <xf numFmtId="1" fontId="16" fillId="0" borderId="0" xfId="0" applyNumberFormat="1" applyFont="1"/>
    <xf numFmtId="0" fontId="22" fillId="0" borderId="0" xfId="0" applyFont="1"/>
    <xf numFmtId="3" fontId="7" fillId="0" borderId="32" xfId="0" applyNumberFormat="1" applyFont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23" fillId="0" borderId="61" xfId="0" applyFont="1" applyBorder="1" applyAlignment="1">
      <alignment horizontal="center" vertical="center" wrapText="1"/>
    </xf>
    <xf numFmtId="17" fontId="10" fillId="6" borderId="2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17" fontId="10" fillId="6" borderId="31" xfId="0" applyNumberFormat="1" applyFont="1" applyFill="1" applyBorder="1" applyAlignment="1">
      <alignment horizontal="center" vertical="center" wrapText="1"/>
    </xf>
    <xf numFmtId="17" fontId="10" fillId="5" borderId="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2" fontId="24" fillId="5" borderId="2" xfId="0" applyNumberFormat="1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horizontal="center"/>
    </xf>
    <xf numFmtId="0" fontId="25" fillId="7" borderId="62" xfId="0" applyFont="1" applyFill="1" applyBorder="1"/>
    <xf numFmtId="0" fontId="25" fillId="7" borderId="59" xfId="0" applyFont="1" applyFill="1" applyBorder="1"/>
    <xf numFmtId="0" fontId="25" fillId="7" borderId="2" xfId="0" applyFont="1" applyFill="1" applyBorder="1"/>
    <xf numFmtId="1" fontId="25" fillId="7" borderId="14" xfId="0" applyNumberFormat="1" applyFont="1" applyFill="1" applyBorder="1"/>
    <xf numFmtId="2" fontId="25" fillId="7" borderId="2" xfId="0" applyNumberFormat="1" applyFont="1" applyFill="1" applyBorder="1"/>
    <xf numFmtId="2" fontId="25" fillId="7" borderId="31" xfId="0" applyNumberFormat="1" applyFont="1" applyFill="1" applyBorder="1"/>
    <xf numFmtId="0" fontId="25" fillId="0" borderId="32" xfId="0" applyFont="1" applyBorder="1" applyAlignment="1">
      <alignment vertical="center"/>
    </xf>
    <xf numFmtId="0" fontId="25" fillId="0" borderId="33" xfId="0" applyFont="1" applyBorder="1"/>
    <xf numFmtId="0" fontId="25" fillId="0" borderId="18" xfId="0" applyFont="1" applyBorder="1"/>
    <xf numFmtId="0" fontId="25" fillId="0" borderId="21" xfId="0" applyFont="1" applyBorder="1"/>
    <xf numFmtId="0" fontId="23" fillId="0" borderId="32" xfId="0" applyFont="1" applyBorder="1"/>
    <xf numFmtId="1" fontId="23" fillId="0" borderId="4" xfId="0" applyNumberFormat="1" applyFont="1" applyBorder="1"/>
    <xf numFmtId="2" fontId="23" fillId="0" borderId="5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35" xfId="0" applyFont="1" applyBorder="1"/>
    <xf numFmtId="0" fontId="25" fillId="0" borderId="20" xfId="0" applyFont="1" applyBorder="1"/>
    <xf numFmtId="0" fontId="25" fillId="0" borderId="24" xfId="0" applyFont="1" applyBorder="1"/>
    <xf numFmtId="0" fontId="23" fillId="0" borderId="34" xfId="0" applyFont="1" applyBorder="1"/>
    <xf numFmtId="1" fontId="23" fillId="0" borderId="6" xfId="0" applyNumberFormat="1" applyFont="1" applyBorder="1"/>
    <xf numFmtId="2" fontId="23" fillId="0" borderId="63" xfId="0" applyNumberFormat="1" applyFont="1" applyBorder="1"/>
    <xf numFmtId="0" fontId="25" fillId="0" borderId="64" xfId="0" applyFont="1" applyBorder="1" applyAlignment="1">
      <alignment horizontal="left"/>
    </xf>
    <xf numFmtId="0" fontId="25" fillId="0" borderId="37" xfId="0" applyFont="1" applyBorder="1"/>
    <xf numFmtId="0" fontId="25" fillId="0" borderId="38" xfId="0" applyFont="1" applyBorder="1"/>
    <xf numFmtId="0" fontId="25" fillId="0" borderId="39" xfId="0" applyFont="1" applyBorder="1"/>
    <xf numFmtId="0" fontId="23" fillId="0" borderId="36" xfId="0" applyFont="1" applyBorder="1"/>
    <xf numFmtId="1" fontId="23" fillId="0" borderId="8" xfId="0" applyNumberFormat="1" applyFont="1" applyBorder="1"/>
    <xf numFmtId="2" fontId="23" fillId="7" borderId="15" xfId="0" applyNumberFormat="1" applyFont="1" applyFill="1" applyBorder="1"/>
    <xf numFmtId="0" fontId="26" fillId="5" borderId="3" xfId="0" applyFont="1" applyFill="1" applyBorder="1" applyAlignment="1">
      <alignment horizontal="left" wrapText="1"/>
    </xf>
    <xf numFmtId="0" fontId="25" fillId="5" borderId="65" xfId="0" applyFont="1" applyFill="1" applyBorder="1"/>
    <xf numFmtId="0" fontId="25" fillId="5" borderId="66" xfId="0" applyFont="1" applyFill="1" applyBorder="1"/>
    <xf numFmtId="0" fontId="25" fillId="5" borderId="41" xfId="0" applyFont="1" applyFill="1" applyBorder="1"/>
    <xf numFmtId="1" fontId="23" fillId="8" borderId="3" xfId="0" applyNumberFormat="1" applyFont="1" applyFill="1" applyBorder="1"/>
    <xf numFmtId="2" fontId="23" fillId="5" borderId="63" xfId="0" applyNumberFormat="1" applyFont="1" applyFill="1" applyBorder="1"/>
    <xf numFmtId="2" fontId="23" fillId="7" borderId="63" xfId="0" applyNumberFormat="1" applyFont="1" applyFill="1" applyBorder="1"/>
    <xf numFmtId="0" fontId="23" fillId="9" borderId="3" xfId="0" applyFont="1" applyFill="1" applyBorder="1" applyAlignment="1">
      <alignment horizontal="left"/>
    </xf>
    <xf numFmtId="0" fontId="23" fillId="9" borderId="66" xfId="0" applyFont="1" applyFill="1" applyBorder="1"/>
    <xf numFmtId="0" fontId="23" fillId="0" borderId="10" xfId="0" applyFont="1" applyBorder="1"/>
    <xf numFmtId="1" fontId="23" fillId="0" borderId="0" xfId="0" applyNumberFormat="1" applyFont="1"/>
    <xf numFmtId="2" fontId="23" fillId="7" borderId="3" xfId="0" applyNumberFormat="1" applyFont="1" applyFill="1" applyBorder="1"/>
    <xf numFmtId="0" fontId="25" fillId="7" borderId="64" xfId="0" applyFont="1" applyFill="1" applyBorder="1"/>
    <xf numFmtId="0" fontId="25" fillId="7" borderId="15" xfId="0" applyFont="1" applyFill="1" applyBorder="1"/>
    <xf numFmtId="0" fontId="25" fillId="7" borderId="0" xfId="0" applyFont="1" applyFill="1"/>
    <xf numFmtId="0" fontId="25" fillId="7" borderId="42" xfId="0" applyFont="1" applyFill="1" applyBorder="1"/>
    <xf numFmtId="1" fontId="25" fillId="7" borderId="55" xfId="0" applyNumberFormat="1" applyFont="1" applyFill="1" applyBorder="1"/>
    <xf numFmtId="2" fontId="25" fillId="7" borderId="42" xfId="0" applyNumberFormat="1" applyFont="1" applyFill="1" applyBorder="1"/>
    <xf numFmtId="2" fontId="25" fillId="7" borderId="54" xfId="0" applyNumberFormat="1" applyFont="1" applyFill="1" applyBorder="1"/>
    <xf numFmtId="0" fontId="23" fillId="0" borderId="3" xfId="0" applyFont="1" applyBorder="1" applyAlignment="1">
      <alignment horizontal="center"/>
    </xf>
    <xf numFmtId="0" fontId="25" fillId="7" borderId="31" xfId="0" applyFont="1" applyFill="1" applyBorder="1"/>
    <xf numFmtId="0" fontId="25" fillId="7" borderId="6" xfId="0" applyFont="1" applyFill="1" applyBorder="1"/>
    <xf numFmtId="1" fontId="25" fillId="7" borderId="22" xfId="0" applyNumberFormat="1" applyFont="1" applyFill="1" applyBorder="1"/>
    <xf numFmtId="2" fontId="25" fillId="7" borderId="6" xfId="0" applyNumberFormat="1" applyFont="1" applyFill="1" applyBorder="1"/>
    <xf numFmtId="2" fontId="25" fillId="7" borderId="7" xfId="0" applyNumberFormat="1" applyFont="1" applyFill="1" applyBorder="1"/>
    <xf numFmtId="0" fontId="25" fillId="0" borderId="64" xfId="0" applyFont="1" applyBorder="1"/>
    <xf numFmtId="0" fontId="25" fillId="0" borderId="56" xfId="0" applyFont="1" applyBorder="1"/>
    <xf numFmtId="0" fontId="25" fillId="0" borderId="57" xfId="0" applyFont="1" applyBorder="1"/>
    <xf numFmtId="0" fontId="25" fillId="0" borderId="58" xfId="0" applyFont="1" applyBorder="1"/>
    <xf numFmtId="0" fontId="23" fillId="0" borderId="63" xfId="0" applyFont="1" applyBorder="1"/>
    <xf numFmtId="1" fontId="23" fillId="0" borderId="25" xfId="0" applyNumberFormat="1" applyFont="1" applyBorder="1"/>
    <xf numFmtId="2" fontId="23" fillId="7" borderId="28" xfId="0" applyNumberFormat="1" applyFont="1" applyFill="1" applyBorder="1"/>
    <xf numFmtId="0" fontId="23" fillId="7" borderId="42" xfId="0" applyFont="1" applyFill="1" applyBorder="1"/>
    <xf numFmtId="1" fontId="23" fillId="7" borderId="0" xfId="0" applyNumberFormat="1" applyFont="1" applyFill="1"/>
    <xf numFmtId="2" fontId="23" fillId="7" borderId="47" xfId="0" applyNumberFormat="1" applyFont="1" applyFill="1" applyBorder="1"/>
    <xf numFmtId="2" fontId="23" fillId="7" borderId="54" xfId="0" applyNumberFormat="1" applyFont="1" applyFill="1" applyBorder="1"/>
    <xf numFmtId="0" fontId="23" fillId="0" borderId="8" xfId="0" applyFont="1" applyBorder="1"/>
    <xf numFmtId="1" fontId="23" fillId="0" borderId="3" xfId="0" applyNumberFormat="1" applyFont="1" applyBorder="1"/>
    <xf numFmtId="2" fontId="23" fillId="0" borderId="9" xfId="0" applyNumberFormat="1" applyFont="1" applyBorder="1"/>
    <xf numFmtId="165" fontId="0" fillId="0" borderId="0" xfId="0" applyNumberFormat="1" applyAlignment="1">
      <alignment horizontal="center" vertical="center"/>
    </xf>
    <xf numFmtId="3" fontId="7" fillId="0" borderId="16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60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27" fillId="5" borderId="3" xfId="0" applyFont="1" applyFill="1" applyBorder="1" applyAlignment="1">
      <alignment horizontal="left" vertical="center" wrapText="1"/>
    </xf>
    <xf numFmtId="17" fontId="27" fillId="5" borderId="3" xfId="0" applyNumberFormat="1" applyFont="1" applyFill="1" applyBorder="1" applyAlignment="1">
      <alignment horizontal="center" vertical="center" wrapText="1"/>
    </xf>
    <xf numFmtId="1" fontId="27" fillId="5" borderId="29" xfId="0" applyNumberFormat="1" applyFont="1" applyFill="1" applyBorder="1" applyAlignment="1">
      <alignment horizontal="center" vertical="center" wrapText="1"/>
    </xf>
    <xf numFmtId="165" fontId="27" fillId="5" borderId="3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4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1" fontId="26" fillId="0" borderId="55" xfId="0" applyNumberFormat="1" applyFont="1" applyBorder="1" applyAlignment="1">
      <alignment horizontal="center" vertical="center"/>
    </xf>
    <xf numFmtId="165" fontId="26" fillId="0" borderId="42" xfId="0" applyNumberFormat="1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9" fillId="7" borderId="68" xfId="0" applyFont="1" applyFill="1" applyBorder="1" applyAlignment="1">
      <alignment horizontal="center" vertical="center" wrapText="1"/>
    </xf>
    <xf numFmtId="17" fontId="29" fillId="0" borderId="67" xfId="0" applyNumberFormat="1" applyFont="1" applyBorder="1" applyAlignment="1">
      <alignment horizontal="center" vertical="center" wrapText="1"/>
    </xf>
    <xf numFmtId="17" fontId="8" fillId="0" borderId="52" xfId="0" applyNumberFormat="1" applyFont="1" applyBorder="1" applyAlignment="1">
      <alignment horizontal="center" vertical="center" wrapText="1"/>
    </xf>
    <xf numFmtId="0" fontId="26" fillId="0" borderId="6" xfId="10" applyFont="1" applyBorder="1" applyAlignment="1" applyProtection="1">
      <alignment horizontal="center" wrapText="1"/>
    </xf>
    <xf numFmtId="0" fontId="26" fillId="0" borderId="20" xfId="0" applyFont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/>
    </xf>
    <xf numFmtId="0" fontId="0" fillId="7" borderId="69" xfId="0" applyFill="1" applyBorder="1"/>
    <xf numFmtId="0" fontId="26" fillId="0" borderId="4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11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65" fontId="26" fillId="0" borderId="6" xfId="0" applyNumberFormat="1" applyFont="1" applyBorder="1" applyAlignment="1">
      <alignment horizontal="center" vertical="center"/>
    </xf>
    <xf numFmtId="0" fontId="29" fillId="5" borderId="69" xfId="0" applyFont="1" applyFill="1" applyBorder="1" applyAlignment="1">
      <alignment horizontal="justify" vertical="center" wrapText="1"/>
    </xf>
    <xf numFmtId="0" fontId="29" fillId="5" borderId="19" xfId="0" applyFont="1" applyFill="1" applyBorder="1" applyAlignment="1">
      <alignment horizontal="center" vertical="center" wrapText="1"/>
    </xf>
    <xf numFmtId="0" fontId="29" fillId="5" borderId="53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0" fontId="30" fillId="0" borderId="0" xfId="0" applyFont="1" applyAlignment="1">
      <alignment horizontal="center" vertical="center"/>
    </xf>
    <xf numFmtId="0" fontId="29" fillId="13" borderId="74" xfId="0" applyFont="1" applyFill="1" applyBorder="1" applyAlignment="1">
      <alignment horizontal="justify" vertical="center" wrapText="1"/>
    </xf>
    <xf numFmtId="0" fontId="29" fillId="13" borderId="75" xfId="0" applyFont="1" applyFill="1" applyBorder="1" applyAlignment="1">
      <alignment horizontal="center" vertical="center" wrapText="1"/>
    </xf>
    <xf numFmtId="0" fontId="29" fillId="13" borderId="76" xfId="0" applyFont="1" applyFill="1" applyBorder="1" applyAlignment="1">
      <alignment horizontal="center" vertical="center" wrapText="1"/>
    </xf>
    <xf numFmtId="0" fontId="31" fillId="13" borderId="77" xfId="0" applyFont="1" applyFill="1" applyBorder="1" applyAlignment="1">
      <alignment horizontal="right" vertical="center" wrapText="1"/>
    </xf>
    <xf numFmtId="0" fontId="31" fillId="13" borderId="78" xfId="0" applyFont="1" applyFill="1" applyBorder="1" applyAlignment="1">
      <alignment horizontal="center" vertical="center" wrapText="1"/>
    </xf>
    <xf numFmtId="0" fontId="31" fillId="13" borderId="79" xfId="0" applyFont="1" applyFill="1" applyBorder="1" applyAlignment="1">
      <alignment horizontal="center" vertical="center" wrapText="1"/>
    </xf>
    <xf numFmtId="0" fontId="31" fillId="13" borderId="80" xfId="0" applyFont="1" applyFill="1" applyBorder="1" applyAlignment="1">
      <alignment horizontal="center" vertical="center" wrapText="1"/>
    </xf>
    <xf numFmtId="0" fontId="31" fillId="13" borderId="81" xfId="0" applyFont="1" applyFill="1" applyBorder="1" applyAlignment="1">
      <alignment horizontal="center" vertical="center" wrapText="1"/>
    </xf>
    <xf numFmtId="0" fontId="31" fillId="13" borderId="82" xfId="0" applyFont="1" applyFill="1" applyBorder="1" applyAlignment="1">
      <alignment horizontal="right" vertical="center" wrapText="1"/>
    </xf>
    <xf numFmtId="0" fontId="31" fillId="13" borderId="83" xfId="0" applyFont="1" applyFill="1" applyBorder="1" applyAlignment="1">
      <alignment horizontal="center" vertical="center" wrapText="1"/>
    </xf>
    <xf numFmtId="0" fontId="31" fillId="13" borderId="84" xfId="0" applyFont="1" applyFill="1" applyBorder="1" applyAlignment="1">
      <alignment horizontal="center" vertical="center" wrapText="1"/>
    </xf>
    <xf numFmtId="0" fontId="31" fillId="13" borderId="85" xfId="0" applyFont="1" applyFill="1" applyBorder="1" applyAlignment="1">
      <alignment horizontal="center" vertical="center" wrapText="1"/>
    </xf>
    <xf numFmtId="0" fontId="31" fillId="13" borderId="8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0" fillId="7" borderId="68" xfId="0" applyFill="1" applyBorder="1"/>
    <xf numFmtId="0" fontId="0" fillId="7" borderId="67" xfId="0" applyFill="1" applyBorder="1"/>
    <xf numFmtId="0" fontId="0" fillId="7" borderId="52" xfId="0" applyFill="1" applyBorder="1"/>
    <xf numFmtId="0" fontId="26" fillId="0" borderId="6" xfId="10" applyFont="1" applyBorder="1" applyAlignment="1" applyProtection="1">
      <alignment horizontal="center" vertical="center" wrapText="1"/>
    </xf>
    <xf numFmtId="0" fontId="29" fillId="18" borderId="89" xfId="0" applyFont="1" applyFill="1" applyBorder="1" applyAlignment="1">
      <alignment horizontal="justify" vertical="center" wrapText="1"/>
    </xf>
    <xf numFmtId="0" fontId="29" fillId="18" borderId="90" xfId="0" applyFont="1" applyFill="1" applyBorder="1" applyAlignment="1">
      <alignment horizontal="center" vertical="center" wrapText="1"/>
    </xf>
    <xf numFmtId="0" fontId="29" fillId="18" borderId="91" xfId="0" applyFont="1" applyFill="1" applyBorder="1" applyAlignment="1">
      <alignment horizontal="center" vertical="center" wrapText="1"/>
    </xf>
    <xf numFmtId="0" fontId="29" fillId="18" borderId="92" xfId="0" applyFont="1" applyFill="1" applyBorder="1" applyAlignment="1">
      <alignment horizontal="center" vertical="center" wrapText="1"/>
    </xf>
    <xf numFmtId="0" fontId="29" fillId="19" borderId="93" xfId="0" applyFont="1" applyFill="1" applyBorder="1" applyAlignment="1">
      <alignment horizontal="justify" vertical="center" wrapText="1"/>
    </xf>
    <xf numFmtId="0" fontId="29" fillId="19" borderId="91" xfId="0" applyFont="1" applyFill="1" applyBorder="1" applyAlignment="1">
      <alignment horizontal="center" vertical="center" wrapText="1"/>
    </xf>
    <xf numFmtId="0" fontId="29" fillId="19" borderId="92" xfId="0" applyFont="1" applyFill="1" applyBorder="1" applyAlignment="1">
      <alignment horizontal="center" vertical="center" wrapText="1"/>
    </xf>
    <xf numFmtId="0" fontId="31" fillId="19" borderId="94" xfId="0" applyFont="1" applyFill="1" applyBorder="1" applyAlignment="1">
      <alignment horizontal="right" vertical="center" wrapText="1"/>
    </xf>
    <xf numFmtId="0" fontId="31" fillId="19" borderId="95" xfId="0" applyFont="1" applyFill="1" applyBorder="1" applyAlignment="1">
      <alignment horizontal="center" vertical="center" wrapText="1"/>
    </xf>
    <xf numFmtId="0" fontId="31" fillId="19" borderId="96" xfId="0" applyFont="1" applyFill="1" applyBorder="1" applyAlignment="1">
      <alignment horizontal="center" vertical="center" wrapText="1"/>
    </xf>
    <xf numFmtId="0" fontId="31" fillId="19" borderId="97" xfId="0" applyFont="1" applyFill="1" applyBorder="1" applyAlignment="1">
      <alignment horizontal="center" vertical="center" wrapText="1"/>
    </xf>
    <xf numFmtId="0" fontId="31" fillId="19" borderId="98" xfId="0" applyFont="1" applyFill="1" applyBorder="1" applyAlignment="1">
      <alignment horizontal="center" vertical="center" wrapText="1"/>
    </xf>
    <xf numFmtId="0" fontId="31" fillId="19" borderId="99" xfId="0" applyFont="1" applyFill="1" applyBorder="1" applyAlignment="1">
      <alignment horizontal="right" vertical="center" wrapText="1"/>
    </xf>
    <xf numFmtId="0" fontId="31" fillId="19" borderId="100" xfId="0" applyFont="1" applyFill="1" applyBorder="1" applyAlignment="1">
      <alignment horizontal="center" vertical="center" wrapText="1"/>
    </xf>
    <xf numFmtId="0" fontId="31" fillId="19" borderId="101" xfId="0" applyFont="1" applyFill="1" applyBorder="1" applyAlignment="1">
      <alignment horizontal="center" vertical="center" wrapText="1"/>
    </xf>
    <xf numFmtId="0" fontId="31" fillId="19" borderId="102" xfId="0" applyFont="1" applyFill="1" applyBorder="1" applyAlignment="1">
      <alignment horizontal="center" vertical="center" wrapText="1"/>
    </xf>
    <xf numFmtId="0" fontId="29" fillId="18" borderId="103" xfId="0" applyFont="1" applyFill="1" applyBorder="1" applyAlignment="1">
      <alignment horizontal="justify" vertical="center" wrapText="1"/>
    </xf>
    <xf numFmtId="0" fontId="32" fillId="18" borderId="104" xfId="0" applyFont="1" applyFill="1" applyBorder="1" applyAlignment="1">
      <alignment vertical="center" wrapText="1"/>
    </xf>
    <xf numFmtId="0" fontId="0" fillId="18" borderId="105" xfId="0" applyFill="1" applyBorder="1" applyAlignment="1">
      <alignment horizontal="center"/>
    </xf>
    <xf numFmtId="0" fontId="0" fillId="18" borderId="106" xfId="0" applyFill="1" applyBorder="1" applyAlignment="1">
      <alignment horizontal="center"/>
    </xf>
    <xf numFmtId="0" fontId="0" fillId="18" borderId="107" xfId="0" applyFill="1" applyBorder="1" applyAlignment="1">
      <alignment horizontal="center"/>
    </xf>
    <xf numFmtId="0" fontId="0" fillId="7" borderId="19" xfId="0" applyFill="1" applyBorder="1"/>
    <xf numFmtId="0" fontId="0" fillId="7" borderId="53" xfId="0" applyFill="1" applyBorder="1"/>
    <xf numFmtId="0" fontId="29" fillId="21" borderId="109" xfId="0" applyFont="1" applyFill="1" applyBorder="1" applyAlignment="1">
      <alignment horizontal="justify" vertical="center" wrapText="1"/>
    </xf>
    <xf numFmtId="0" fontId="29" fillId="21" borderId="110" xfId="0" applyFont="1" applyFill="1" applyBorder="1" applyAlignment="1">
      <alignment horizontal="center" vertical="center" wrapText="1"/>
    </xf>
    <xf numFmtId="0" fontId="29" fillId="21" borderId="111" xfId="0" applyFont="1" applyFill="1" applyBorder="1" applyAlignment="1">
      <alignment horizontal="center" vertical="center" wrapText="1"/>
    </xf>
    <xf numFmtId="0" fontId="29" fillId="21" borderId="112" xfId="0" applyFont="1" applyFill="1" applyBorder="1" applyAlignment="1">
      <alignment horizontal="center" vertical="center" wrapText="1"/>
    </xf>
    <xf numFmtId="0" fontId="29" fillId="22" borderId="113" xfId="0" applyFont="1" applyFill="1" applyBorder="1" applyAlignment="1">
      <alignment horizontal="justify" vertical="center" wrapText="1"/>
    </xf>
    <xf numFmtId="0" fontId="29" fillId="22" borderId="112" xfId="0" applyFont="1" applyFill="1" applyBorder="1" applyAlignment="1">
      <alignment horizontal="center" vertical="center" wrapText="1"/>
    </xf>
    <xf numFmtId="0" fontId="29" fillId="22" borderId="114" xfId="0" applyFont="1" applyFill="1" applyBorder="1" applyAlignment="1">
      <alignment horizontal="center" vertical="center" wrapText="1"/>
    </xf>
    <xf numFmtId="0" fontId="31" fillId="22" borderId="115" xfId="0" applyFont="1" applyFill="1" applyBorder="1" applyAlignment="1">
      <alignment horizontal="right" vertical="center" wrapText="1"/>
    </xf>
    <xf numFmtId="0" fontId="31" fillId="22" borderId="116" xfId="0" applyFont="1" applyFill="1" applyBorder="1" applyAlignment="1">
      <alignment horizontal="center" vertical="center" wrapText="1"/>
    </xf>
    <xf numFmtId="0" fontId="31" fillId="22" borderId="117" xfId="0" applyFont="1" applyFill="1" applyBorder="1" applyAlignment="1">
      <alignment horizontal="center" vertical="center" wrapText="1"/>
    </xf>
    <xf numFmtId="0" fontId="31" fillId="22" borderId="118" xfId="0" applyFont="1" applyFill="1" applyBorder="1" applyAlignment="1">
      <alignment horizontal="center" vertical="center" wrapText="1"/>
    </xf>
    <xf numFmtId="0" fontId="31" fillId="22" borderId="119" xfId="0" applyFont="1" applyFill="1" applyBorder="1" applyAlignment="1">
      <alignment horizontal="center" vertical="center" wrapText="1"/>
    </xf>
    <xf numFmtId="0" fontId="31" fillId="22" borderId="120" xfId="0" applyFont="1" applyFill="1" applyBorder="1" applyAlignment="1">
      <alignment horizontal="right" vertical="center" wrapText="1"/>
    </xf>
    <xf numFmtId="0" fontId="31" fillId="22" borderId="121" xfId="0" applyFont="1" applyFill="1" applyBorder="1" applyAlignment="1">
      <alignment horizontal="center" vertical="center" wrapText="1"/>
    </xf>
    <xf numFmtId="0" fontId="31" fillId="22" borderId="122" xfId="0" applyFont="1" applyFill="1" applyBorder="1" applyAlignment="1">
      <alignment horizontal="center" vertical="center" wrapText="1"/>
    </xf>
    <xf numFmtId="0" fontId="31" fillId="22" borderId="123" xfId="0" applyFont="1" applyFill="1" applyBorder="1" applyAlignment="1">
      <alignment horizontal="center" vertical="center" wrapText="1"/>
    </xf>
    <xf numFmtId="0" fontId="31" fillId="22" borderId="124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horizontal="left" vertical="center" wrapText="1"/>
    </xf>
    <xf numFmtId="17" fontId="8" fillId="0" borderId="0" xfId="0" applyNumberFormat="1" applyFont="1" applyAlignment="1">
      <alignment horizontal="center"/>
    </xf>
    <xf numFmtId="0" fontId="26" fillId="0" borderId="6" xfId="0" applyFont="1" applyBorder="1" applyAlignment="1">
      <alignment horizontal="center"/>
    </xf>
    <xf numFmtId="1" fontId="26" fillId="0" borderId="25" xfId="0" applyNumberFormat="1" applyFont="1" applyBorder="1" applyAlignment="1">
      <alignment horizontal="center" vertical="center"/>
    </xf>
    <xf numFmtId="165" fontId="26" fillId="0" borderId="2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1" fontId="26" fillId="0" borderId="60" xfId="0" applyNumberFormat="1" applyFont="1" applyBorder="1" applyAlignment="1">
      <alignment horizontal="center" vertical="center"/>
    </xf>
    <xf numFmtId="165" fontId="26" fillId="0" borderId="8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7" fillId="5" borderId="10" xfId="0" applyFont="1" applyFill="1" applyBorder="1" applyAlignment="1">
      <alignment horizontal="right" vertical="center" wrapText="1"/>
    </xf>
    <xf numFmtId="0" fontId="27" fillId="5" borderId="10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1" fontId="27" fillId="5" borderId="60" xfId="0" applyNumberFormat="1" applyFont="1" applyFill="1" applyBorder="1" applyAlignment="1">
      <alignment horizontal="center" vertical="center"/>
    </xf>
    <xf numFmtId="165" fontId="27" fillId="5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8" fillId="23" borderId="125" xfId="0" applyFont="1" applyFill="1" applyBorder="1" applyAlignment="1">
      <alignment wrapText="1"/>
    </xf>
    <xf numFmtId="0" fontId="8" fillId="23" borderId="125" xfId="0" applyFont="1" applyFill="1" applyBorder="1"/>
    <xf numFmtId="0" fontId="5" fillId="9" borderId="1" xfId="1" applyFill="1" applyAlignment="1">
      <alignment horizontal="left" wrapText="1"/>
    </xf>
    <xf numFmtId="0" fontId="5" fillId="9" borderId="1" xfId="1" applyFill="1"/>
    <xf numFmtId="0" fontId="5" fillId="0" borderId="1" xfId="1" applyAlignment="1">
      <alignment horizontal="left" wrapText="1"/>
    </xf>
    <xf numFmtId="0" fontId="5" fillId="8" borderId="1" xfId="1" applyFill="1" applyAlignment="1">
      <alignment horizontal="left" wrapText="1"/>
    </xf>
    <xf numFmtId="0" fontId="8" fillId="23" borderId="126" xfId="0" applyFont="1" applyFill="1" applyBorder="1" applyAlignment="1">
      <alignment horizontal="left" wrapText="1"/>
    </xf>
    <xf numFmtId="0" fontId="8" fillId="23" borderId="126" xfId="0" applyFont="1" applyFill="1" applyBorder="1"/>
    <xf numFmtId="0" fontId="7" fillId="0" borderId="128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5" borderId="127" xfId="0" applyNumberFormat="1" applyFont="1" applyFill="1" applyBorder="1" applyAlignment="1">
      <alignment horizontal="center" vertical="center"/>
    </xf>
    <xf numFmtId="1" fontId="19" fillId="0" borderId="0" xfId="0" applyNumberFormat="1" applyFont="1"/>
    <xf numFmtId="0" fontId="21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1" fontId="34" fillId="0" borderId="0" xfId="0" applyNumberFormat="1" applyFont="1"/>
    <xf numFmtId="0" fontId="35" fillId="0" borderId="0" xfId="0" applyFont="1" applyAlignment="1">
      <alignment wrapText="1"/>
    </xf>
    <xf numFmtId="0" fontId="35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1" fontId="34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2" fontId="37" fillId="0" borderId="0" xfId="0" applyNumberFormat="1" applyFont="1"/>
    <xf numFmtId="0" fontId="6" fillId="5" borderId="127" xfId="0" applyFont="1" applyFill="1" applyBorder="1" applyAlignment="1">
      <alignment horizontal="right"/>
    </xf>
    <xf numFmtId="0" fontId="38" fillId="0" borderId="0" xfId="0" applyFont="1" applyAlignment="1">
      <alignment wrapText="1"/>
    </xf>
    <xf numFmtId="0" fontId="39" fillId="0" borderId="0" xfId="0" applyFont="1" applyAlignment="1">
      <alignment wrapText="1"/>
    </xf>
    <xf numFmtId="3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0" fontId="39" fillId="0" borderId="0" xfId="0" applyFont="1"/>
    <xf numFmtId="0" fontId="38" fillId="0" borderId="0" xfId="0" applyFont="1"/>
    <xf numFmtId="1" fontId="38" fillId="0" borderId="0" xfId="0" applyNumberFormat="1" applyFont="1"/>
    <xf numFmtId="2" fontId="38" fillId="0" borderId="0" xfId="0" applyNumberFormat="1" applyFont="1"/>
    <xf numFmtId="0" fontId="38" fillId="0" borderId="0" xfId="0" applyFont="1" applyAlignment="1">
      <alignment horizontal="center" vertical="center"/>
    </xf>
    <xf numFmtId="0" fontId="38" fillId="0" borderId="0" xfId="4" applyFont="1" applyAlignment="1">
      <alignment horizontal="center" vertical="center"/>
    </xf>
    <xf numFmtId="0" fontId="0" fillId="24" borderId="0" xfId="0" applyFill="1"/>
    <xf numFmtId="0" fontId="39" fillId="0" borderId="0" xfId="0" applyFont="1" applyAlignment="1">
      <alignment horizontal="center" vertical="center" wrapText="1"/>
    </xf>
    <xf numFmtId="1" fontId="37" fillId="0" borderId="0" xfId="0" applyNumberFormat="1" applyFont="1"/>
    <xf numFmtId="0" fontId="39" fillId="0" borderId="0" xfId="0" applyFont="1" applyAlignment="1">
      <alignment horizontal="center" vertical="center"/>
    </xf>
    <xf numFmtId="0" fontId="43" fillId="0" borderId="0" xfId="0" applyFont="1"/>
    <xf numFmtId="17" fontId="37" fillId="0" borderId="0" xfId="0" applyNumberFormat="1" applyFont="1"/>
    <xf numFmtId="2" fontId="37" fillId="0" borderId="0" xfId="0" applyNumberFormat="1" applyFont="1" applyAlignment="1">
      <alignment horizontal="center"/>
    </xf>
    <xf numFmtId="0" fontId="39" fillId="0" borderId="0" xfId="0" applyFont="1" applyAlignment="1">
      <alignment horizontal="center" wrapText="1"/>
    </xf>
    <xf numFmtId="1" fontId="7" fillId="0" borderId="21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0" fontId="7" fillId="0" borderId="128" xfId="4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/>
    </xf>
    <xf numFmtId="0" fontId="44" fillId="0" borderId="0" xfId="0" applyFont="1" applyAlignment="1">
      <alignment horizontal="right"/>
    </xf>
    <xf numFmtId="0" fontId="44" fillId="0" borderId="0" xfId="0" applyFont="1"/>
    <xf numFmtId="0" fontId="38" fillId="0" borderId="0" xfId="4" applyFont="1"/>
    <xf numFmtId="0" fontId="7" fillId="0" borderId="131" xfId="0" applyFont="1" applyBorder="1" applyAlignment="1">
      <alignment horizontal="left"/>
    </xf>
    <xf numFmtId="0" fontId="7" fillId="0" borderId="132" xfId="0" applyFont="1" applyBorder="1" applyAlignment="1">
      <alignment horizontal="left"/>
    </xf>
    <xf numFmtId="0" fontId="7" fillId="0" borderId="133" xfId="0" applyFont="1" applyBorder="1" applyAlignment="1">
      <alignment horizontal="center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2" fontId="7" fillId="0" borderId="134" xfId="0" applyNumberFormat="1" applyFont="1" applyBorder="1" applyAlignment="1">
      <alignment horizontal="center"/>
    </xf>
    <xf numFmtId="0" fontId="6" fillId="0" borderId="13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26" borderId="138" xfId="0" applyFont="1" applyFill="1" applyBorder="1" applyAlignment="1">
      <alignment horizontal="center"/>
    </xf>
    <xf numFmtId="0" fontId="46" fillId="27" borderId="129" xfId="0" applyFont="1" applyFill="1" applyBorder="1" applyAlignment="1">
      <alignment horizontal="center"/>
    </xf>
    <xf numFmtId="0" fontId="46" fillId="27" borderId="139" xfId="0" applyFont="1" applyFill="1" applyBorder="1" applyAlignment="1">
      <alignment horizontal="center"/>
    </xf>
    <xf numFmtId="0" fontId="46" fillId="27" borderId="130" xfId="0" applyFont="1" applyFill="1" applyBorder="1" applyAlignment="1">
      <alignment horizontal="center"/>
    </xf>
    <xf numFmtId="0" fontId="7" fillId="0" borderId="140" xfId="0" applyFont="1" applyBorder="1" applyAlignment="1"/>
    <xf numFmtId="0" fontId="0" fillId="0" borderId="140" xfId="0" applyBorder="1" applyAlignment="1">
      <alignment horizontal="center"/>
    </xf>
    <xf numFmtId="0" fontId="0" fillId="0" borderId="128" xfId="0" applyBorder="1" applyAlignment="1">
      <alignment horizontal="left"/>
    </xf>
    <xf numFmtId="0" fontId="0" fillId="0" borderId="128" xfId="0" applyBorder="1" applyAlignment="1">
      <alignment horizontal="center"/>
    </xf>
    <xf numFmtId="0" fontId="7" fillId="0" borderId="128" xfId="0" applyFont="1" applyBorder="1" applyAlignment="1"/>
    <xf numFmtId="0" fontId="7" fillId="0" borderId="141" xfId="0" applyFont="1" applyBorder="1" applyAlignment="1"/>
    <xf numFmtId="0" fontId="0" fillId="0" borderId="141" xfId="0" applyBorder="1" applyAlignment="1">
      <alignment horizontal="center"/>
    </xf>
    <xf numFmtId="0" fontId="47" fillId="0" borderId="128" xfId="0" applyFont="1" applyBorder="1" applyAlignment="1">
      <alignment horizontal="left"/>
    </xf>
    <xf numFmtId="0" fontId="7" fillId="0" borderId="128" xfId="0" applyFont="1" applyFill="1" applyBorder="1" applyAlignment="1"/>
    <xf numFmtId="0" fontId="6" fillId="26" borderId="140" xfId="0" applyFont="1" applyFill="1" applyBorder="1" applyAlignment="1">
      <alignment horizontal="center"/>
    </xf>
    <xf numFmtId="0" fontId="46" fillId="27" borderId="14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wrapText="1"/>
    </xf>
    <xf numFmtId="17" fontId="40" fillId="0" borderId="0" xfId="0" applyNumberFormat="1" applyFont="1" applyFill="1" applyBorder="1"/>
    <xf numFmtId="17" fontId="40" fillId="0" borderId="0" xfId="0" applyNumberFormat="1" applyFont="1" applyFill="1" applyBorder="1" applyAlignment="1">
      <alignment horizontal="center" vertical="center"/>
    </xf>
    <xf numFmtId="17" fontId="40" fillId="0" borderId="0" xfId="0" applyNumberFormat="1" applyFont="1" applyFill="1" applyBorder="1" applyAlignment="1">
      <alignment horizontal="center" vertical="center" wrapText="1"/>
    </xf>
    <xf numFmtId="1" fontId="40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167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1" fontId="40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37" fillId="0" borderId="0" xfId="0" applyFont="1" applyFill="1"/>
    <xf numFmtId="1" fontId="37" fillId="0" borderId="0" xfId="0" applyNumberFormat="1" applyFont="1" applyFill="1"/>
    <xf numFmtId="0" fontId="36" fillId="0" borderId="0" xfId="0" applyFont="1"/>
    <xf numFmtId="17" fontId="48" fillId="0" borderId="0" xfId="0" applyNumberFormat="1" applyFont="1" applyBorder="1" applyAlignment="1">
      <alignment horizontal="center" vertical="center"/>
    </xf>
    <xf numFmtId="0" fontId="48" fillId="0" borderId="0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6" fillId="27" borderId="128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165" fontId="50" fillId="0" borderId="0" xfId="0" applyNumberFormat="1" applyFont="1" applyAlignment="1">
      <alignment horizontal="center" vertical="center"/>
    </xf>
    <xf numFmtId="0" fontId="36" fillId="0" borderId="0" xfId="0" applyFont="1" applyFill="1" applyBorder="1"/>
    <xf numFmtId="165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1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36" fillId="0" borderId="20" xfId="0" applyFont="1" applyBorder="1" applyAlignment="1">
      <alignment horizontal="center" vertical="center"/>
    </xf>
    <xf numFmtId="0" fontId="36" fillId="0" borderId="6" xfId="0" applyFont="1" applyBorder="1"/>
    <xf numFmtId="0" fontId="36" fillId="0" borderId="20" xfId="0" applyFont="1" applyFill="1" applyBorder="1" applyAlignment="1">
      <alignment horizontal="center"/>
    </xf>
    <xf numFmtId="3" fontId="51" fillId="0" borderId="0" xfId="0" applyNumberFormat="1" applyFont="1" applyAlignment="1">
      <alignment horizontal="center" vertical="center"/>
    </xf>
    <xf numFmtId="165" fontId="38" fillId="0" borderId="0" xfId="0" applyNumberFormat="1" applyFont="1"/>
    <xf numFmtId="3" fontId="38" fillId="0" borderId="0" xfId="0" applyNumberFormat="1" applyFont="1"/>
    <xf numFmtId="0" fontId="26" fillId="0" borderId="5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8" xfId="0" applyFont="1" applyBorder="1" applyAlignment="1">
      <alignment horizontal="center" vertical="center"/>
    </xf>
    <xf numFmtId="0" fontId="36" fillId="0" borderId="42" xfId="0" applyFont="1" applyBorder="1"/>
    <xf numFmtId="0" fontId="36" fillId="0" borderId="19" xfId="0" applyFont="1" applyBorder="1" applyAlignment="1">
      <alignment horizontal="center" vertical="center"/>
    </xf>
    <xf numFmtId="0" fontId="36" fillId="0" borderId="53" xfId="4" applyFont="1" applyBorder="1" applyAlignment="1">
      <alignment horizontal="center" vertical="center"/>
    </xf>
    <xf numFmtId="0" fontId="36" fillId="0" borderId="24" xfId="4" applyFont="1" applyBorder="1" applyAlignment="1">
      <alignment horizontal="center" vertical="center"/>
    </xf>
    <xf numFmtId="0" fontId="33" fillId="0" borderId="144" xfId="0" applyFont="1" applyBorder="1" applyAlignment="1">
      <alignment horizontal="center"/>
    </xf>
    <xf numFmtId="0" fontId="33" fillId="0" borderId="145" xfId="0" applyFont="1" applyBorder="1" applyAlignment="1">
      <alignment horizontal="center"/>
    </xf>
    <xf numFmtId="0" fontId="33" fillId="0" borderId="146" xfId="0" applyFont="1" applyBorder="1" applyAlignment="1">
      <alignment horizontal="center"/>
    </xf>
    <xf numFmtId="1" fontId="8" fillId="0" borderId="144" xfId="0" applyNumberFormat="1" applyFont="1" applyBorder="1" applyAlignment="1">
      <alignment horizontal="center" vertical="center"/>
    </xf>
    <xf numFmtId="1" fontId="8" fillId="0" borderId="145" xfId="0" applyNumberFormat="1" applyFont="1" applyBorder="1" applyAlignment="1">
      <alignment horizontal="center" vertical="center"/>
    </xf>
    <xf numFmtId="1" fontId="8" fillId="0" borderId="146" xfId="0" applyNumberFormat="1" applyFont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Alignment="1">
      <alignment wrapText="1"/>
    </xf>
    <xf numFmtId="0" fontId="7" fillId="0" borderId="149" xfId="0" applyFont="1" applyBorder="1" applyAlignment="1">
      <alignment horizontal="center"/>
    </xf>
    <xf numFmtId="0" fontId="6" fillId="5" borderId="150" xfId="0" applyFont="1" applyFill="1" applyBorder="1" applyAlignment="1">
      <alignment horizontal="center" vertical="center"/>
    </xf>
    <xf numFmtId="17" fontId="6" fillId="5" borderId="151" xfId="0" applyNumberFormat="1" applyFont="1" applyFill="1" applyBorder="1" applyAlignment="1">
      <alignment horizontal="center" vertical="center"/>
    </xf>
    <xf numFmtId="17" fontId="6" fillId="5" borderId="152" xfId="0" applyNumberFormat="1" applyFont="1" applyFill="1" applyBorder="1" applyAlignment="1">
      <alignment horizontal="center" vertical="center"/>
    </xf>
    <xf numFmtId="17" fontId="6" fillId="5" borderId="153" xfId="0" applyNumberFormat="1" applyFont="1" applyFill="1" applyBorder="1" applyAlignment="1">
      <alignment horizontal="center" vertical="center"/>
    </xf>
    <xf numFmtId="17" fontId="6" fillId="5" borderId="154" xfId="0" applyNumberFormat="1" applyFont="1" applyFill="1" applyBorder="1" applyAlignment="1">
      <alignment horizontal="center" vertical="center"/>
    </xf>
    <xf numFmtId="17" fontId="6" fillId="5" borderId="155" xfId="0" applyNumberFormat="1" applyFont="1" applyFill="1" applyBorder="1" applyAlignment="1">
      <alignment horizontal="center" vertical="center"/>
    </xf>
    <xf numFmtId="1" fontId="20" fillId="5" borderId="156" xfId="0" applyNumberFormat="1" applyFont="1" applyFill="1" applyBorder="1" applyAlignment="1">
      <alignment horizontal="center" vertical="center" wrapText="1"/>
    </xf>
    <xf numFmtId="2" fontId="6" fillId="5" borderId="157" xfId="0" applyNumberFormat="1" applyFont="1" applyFill="1" applyBorder="1" applyAlignment="1">
      <alignment horizontal="center" vertical="center"/>
    </xf>
    <xf numFmtId="0" fontId="6" fillId="5" borderId="159" xfId="0" applyFont="1" applyFill="1" applyBorder="1" applyAlignment="1">
      <alignment horizontal="center" vertical="center"/>
    </xf>
    <xf numFmtId="1" fontId="6" fillId="5" borderId="159" xfId="0" applyNumberFormat="1" applyFont="1" applyFill="1" applyBorder="1" applyAlignment="1">
      <alignment horizontal="center" vertical="center"/>
    </xf>
    <xf numFmtId="1" fontId="6" fillId="5" borderId="158" xfId="0" applyNumberFormat="1" applyFont="1" applyFill="1" applyBorder="1" applyAlignment="1">
      <alignment horizontal="center"/>
    </xf>
    <xf numFmtId="1" fontId="6" fillId="5" borderId="160" xfId="0" applyNumberFormat="1" applyFont="1" applyFill="1" applyBorder="1" applyAlignment="1">
      <alignment horizontal="center"/>
    </xf>
    <xf numFmtId="1" fontId="6" fillId="5" borderId="148" xfId="0" applyNumberFormat="1" applyFont="1" applyFill="1" applyBorder="1" applyAlignment="1">
      <alignment horizontal="center"/>
    </xf>
    <xf numFmtId="17" fontId="52" fillId="5" borderId="57" xfId="0" applyNumberFormat="1" applyFont="1" applyFill="1" applyBorder="1" applyAlignment="1">
      <alignment horizontal="center" vertical="center"/>
    </xf>
    <xf numFmtId="17" fontId="52" fillId="5" borderId="58" xfId="0" applyNumberFormat="1" applyFont="1" applyFill="1" applyBorder="1" applyAlignment="1">
      <alignment horizontal="center" vertical="center"/>
    </xf>
    <xf numFmtId="1" fontId="52" fillId="0" borderId="4" xfId="0" applyNumberFormat="1" applyFont="1" applyBorder="1" applyAlignment="1">
      <alignment horizontal="center" vertical="center"/>
    </xf>
    <xf numFmtId="2" fontId="49" fillId="5" borderId="4" xfId="0" applyNumberFormat="1" applyFont="1" applyFill="1" applyBorder="1" applyAlignment="1">
      <alignment horizontal="center" vertical="center"/>
    </xf>
    <xf numFmtId="1" fontId="52" fillId="0" borderId="6" xfId="0" applyNumberFormat="1" applyFont="1" applyBorder="1" applyAlignment="1">
      <alignment horizontal="center" vertical="center"/>
    </xf>
    <xf numFmtId="1" fontId="52" fillId="0" borderId="22" xfId="0" applyNumberFormat="1" applyFont="1" applyBorder="1" applyAlignment="1">
      <alignment horizontal="center" vertical="center"/>
    </xf>
    <xf numFmtId="1" fontId="52" fillId="0" borderId="8" xfId="0" applyNumberFormat="1" applyFont="1" applyBorder="1" applyAlignment="1">
      <alignment horizontal="center" vertical="center"/>
    </xf>
    <xf numFmtId="1" fontId="52" fillId="0" borderId="60" xfId="0" applyNumberFormat="1" applyFont="1" applyBorder="1" applyAlignment="1">
      <alignment horizontal="center" vertical="center"/>
    </xf>
    <xf numFmtId="2" fontId="49" fillId="5" borderId="2" xfId="0" applyNumberFormat="1" applyFont="1" applyFill="1" applyBorder="1" applyAlignment="1">
      <alignment horizontal="center" vertical="center"/>
    </xf>
    <xf numFmtId="0" fontId="52" fillId="5" borderId="3" xfId="0" applyFont="1" applyFill="1" applyBorder="1" applyAlignment="1">
      <alignment horizontal="center"/>
    </xf>
    <xf numFmtId="1" fontId="52" fillId="5" borderId="11" xfId="0" applyNumberFormat="1" applyFont="1" applyFill="1" applyBorder="1" applyAlignment="1">
      <alignment horizontal="center"/>
    </xf>
    <xf numFmtId="1" fontId="52" fillId="5" borderId="51" xfId="0" applyNumberFormat="1" applyFont="1" applyFill="1" applyBorder="1" applyAlignment="1">
      <alignment horizontal="center" vertical="center"/>
    </xf>
    <xf numFmtId="1" fontId="52" fillId="5" borderId="29" xfId="0" applyNumberFormat="1" applyFont="1" applyFill="1" applyBorder="1" applyAlignment="1">
      <alignment horizontal="center" vertical="center"/>
    </xf>
    <xf numFmtId="2" fontId="49" fillId="5" borderId="127" xfId="0" applyNumberFormat="1" applyFont="1" applyFill="1" applyBorder="1" applyAlignment="1">
      <alignment horizontal="center" vertical="center"/>
    </xf>
    <xf numFmtId="1" fontId="36" fillId="0" borderId="0" xfId="0" applyNumberFormat="1" applyFont="1"/>
    <xf numFmtId="2" fontId="8" fillId="5" borderId="10" xfId="4" applyNumberFormat="1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0" xfId="4" applyFont="1" applyFill="1" applyBorder="1" applyAlignment="1">
      <alignment horizontal="center" vertical="center"/>
    </xf>
    <xf numFmtId="0" fontId="49" fillId="0" borderId="6" xfId="4" applyFont="1" applyFill="1" applyBorder="1" applyAlignment="1">
      <alignment horizontal="center" vertical="center"/>
    </xf>
    <xf numFmtId="1" fontId="49" fillId="0" borderId="34" xfId="0" applyNumberFormat="1" applyFont="1" applyFill="1" applyBorder="1" applyAlignment="1">
      <alignment horizontal="center" vertical="center"/>
    </xf>
    <xf numFmtId="2" fontId="49" fillId="0" borderId="161" xfId="4" applyNumberFormat="1" applyFont="1" applyFill="1" applyBorder="1" applyAlignment="1">
      <alignment horizontal="center" vertical="center"/>
    </xf>
    <xf numFmtId="0" fontId="0" fillId="0" borderId="0" xfId="0" applyFill="1"/>
    <xf numFmtId="0" fontId="26" fillId="0" borderId="48" xfId="0" applyFont="1" applyBorder="1" applyAlignment="1">
      <alignment horizontal="center" vertical="center"/>
    </xf>
    <xf numFmtId="165" fontId="54" fillId="0" borderId="0" xfId="0" applyNumberFormat="1" applyFont="1" applyFill="1" applyBorder="1" applyAlignment="1">
      <alignment horizontal="center" vertical="center"/>
    </xf>
    <xf numFmtId="165" fontId="54" fillId="0" borderId="0" xfId="0" applyNumberFormat="1" applyFont="1" applyFill="1" applyBorder="1" applyAlignment="1">
      <alignment horizontal="center"/>
    </xf>
    <xf numFmtId="0" fontId="41" fillId="0" borderId="0" xfId="10" applyFont="1" applyFill="1" applyBorder="1" applyAlignment="1" applyProtection="1">
      <alignment horizontal="center" wrapText="1"/>
    </xf>
    <xf numFmtId="1" fontId="41" fillId="0" borderId="0" xfId="0" applyNumberFormat="1" applyFont="1" applyFill="1" applyBorder="1" applyAlignment="1">
      <alignment horizontal="center" vertical="center"/>
    </xf>
    <xf numFmtId="0" fontId="29" fillId="15" borderId="163" xfId="0" applyFont="1" applyFill="1" applyBorder="1" applyAlignment="1">
      <alignment horizontal="left" vertical="center"/>
    </xf>
    <xf numFmtId="0" fontId="29" fillId="15" borderId="164" xfId="0" applyFont="1" applyFill="1" applyBorder="1" applyAlignment="1">
      <alignment horizontal="center" vertical="center"/>
    </xf>
    <xf numFmtId="0" fontId="29" fillId="15" borderId="165" xfId="0" applyFont="1" applyFill="1" applyBorder="1" applyAlignment="1">
      <alignment horizontal="center" vertical="center"/>
    </xf>
    <xf numFmtId="0" fontId="29" fillId="15" borderId="165" xfId="0" applyFont="1" applyFill="1" applyBorder="1" applyAlignment="1">
      <alignment horizontal="center" vertical="center" wrapText="1"/>
    </xf>
    <xf numFmtId="0" fontId="29" fillId="15" borderId="162" xfId="0" applyFont="1" applyFill="1" applyBorder="1" applyAlignment="1">
      <alignment horizontal="center" vertical="center" wrapText="1"/>
    </xf>
    <xf numFmtId="0" fontId="29" fillId="16" borderId="166" xfId="0" applyFont="1" applyFill="1" applyBorder="1" applyAlignment="1">
      <alignment horizontal="justify" vertical="center" wrapText="1"/>
    </xf>
    <xf numFmtId="0" fontId="29" fillId="16" borderId="167" xfId="0" applyFont="1" applyFill="1" applyBorder="1" applyAlignment="1">
      <alignment horizontal="center" vertical="center" wrapText="1"/>
    </xf>
    <xf numFmtId="0" fontId="31" fillId="16" borderId="170" xfId="0" applyFont="1" applyFill="1" applyBorder="1" applyAlignment="1">
      <alignment horizontal="right" vertical="center" wrapText="1"/>
    </xf>
    <xf numFmtId="0" fontId="31" fillId="16" borderId="171" xfId="0" applyFont="1" applyFill="1" applyBorder="1" applyAlignment="1">
      <alignment horizontal="center" vertical="center" wrapText="1"/>
    </xf>
    <xf numFmtId="0" fontId="31" fillId="16" borderId="172" xfId="0" applyFont="1" applyFill="1" applyBorder="1" applyAlignment="1">
      <alignment horizontal="center" vertical="center" wrapText="1"/>
    </xf>
    <xf numFmtId="0" fontId="31" fillId="16" borderId="173" xfId="0" applyFont="1" applyFill="1" applyBorder="1" applyAlignment="1">
      <alignment horizontal="center" vertical="center" wrapText="1"/>
    </xf>
    <xf numFmtId="0" fontId="31" fillId="16" borderId="174" xfId="0" applyFont="1" applyFill="1" applyBorder="1" applyAlignment="1">
      <alignment horizontal="center" vertical="center" wrapText="1"/>
    </xf>
    <xf numFmtId="0" fontId="31" fillId="16" borderId="175" xfId="0" applyFont="1" applyFill="1" applyBorder="1" applyAlignment="1">
      <alignment horizontal="center" vertical="center" wrapText="1"/>
    </xf>
    <xf numFmtId="0" fontId="31" fillId="25" borderId="176" xfId="0" applyFont="1" applyFill="1" applyBorder="1" applyAlignment="1">
      <alignment horizontal="center" vertical="center" wrapText="1"/>
    </xf>
    <xf numFmtId="0" fontId="31" fillId="16" borderId="177" xfId="0" applyFont="1" applyFill="1" applyBorder="1" applyAlignment="1">
      <alignment horizontal="center" vertical="center" wrapText="1"/>
    </xf>
    <xf numFmtId="0" fontId="31" fillId="16" borderId="180" xfId="0" applyFont="1" applyFill="1" applyBorder="1" applyAlignment="1">
      <alignment horizontal="right" vertical="center" wrapText="1"/>
    </xf>
    <xf numFmtId="0" fontId="31" fillId="16" borderId="181" xfId="0" applyFont="1" applyFill="1" applyBorder="1" applyAlignment="1">
      <alignment horizontal="center" vertical="center" wrapText="1"/>
    </xf>
    <xf numFmtId="0" fontId="31" fillId="16" borderId="182" xfId="0" applyFont="1" applyFill="1" applyBorder="1" applyAlignment="1">
      <alignment horizontal="center" vertical="center" wrapText="1"/>
    </xf>
    <xf numFmtId="0" fontId="31" fillId="16" borderId="183" xfId="0" applyFont="1" applyFill="1" applyBorder="1" applyAlignment="1">
      <alignment horizontal="center" vertical="center" wrapText="1"/>
    </xf>
    <xf numFmtId="0" fontId="31" fillId="16" borderId="184" xfId="0" applyFont="1" applyFill="1" applyBorder="1" applyAlignment="1">
      <alignment horizontal="center" vertical="center" wrapText="1"/>
    </xf>
    <xf numFmtId="0" fontId="31" fillId="25" borderId="185" xfId="0" applyFont="1" applyFill="1" applyBorder="1" applyAlignment="1">
      <alignment horizontal="center" vertical="center" wrapText="1"/>
    </xf>
    <xf numFmtId="0" fontId="31" fillId="16" borderId="18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7" fontId="6" fillId="5" borderId="29" xfId="0" applyNumberFormat="1" applyFont="1" applyFill="1" applyBorder="1"/>
    <xf numFmtId="0" fontId="8" fillId="5" borderId="189" xfId="4" applyFont="1" applyFill="1" applyBorder="1" applyAlignment="1">
      <alignment horizontal="center" vertical="center"/>
    </xf>
    <xf numFmtId="1" fontId="8" fillId="5" borderId="19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2" fontId="6" fillId="5" borderId="191" xfId="0" applyNumberFormat="1" applyFont="1" applyFill="1" applyBorder="1" applyAlignment="1">
      <alignment horizontal="center" vertical="center"/>
    </xf>
    <xf numFmtId="0" fontId="24" fillId="4" borderId="127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horizontal="center" vertical="center"/>
    </xf>
    <xf numFmtId="1" fontId="50" fillId="0" borderId="0" xfId="0" applyNumberFormat="1" applyFont="1" applyFill="1" applyBorder="1" applyAlignment="1">
      <alignment horizontal="center" vertical="center"/>
    </xf>
    <xf numFmtId="0" fontId="36" fillId="0" borderId="45" xfId="4" applyFont="1" applyFill="1" applyBorder="1" applyAlignment="1">
      <alignment horizontal="center" vertical="center"/>
    </xf>
    <xf numFmtId="0" fontId="0" fillId="0" borderId="0" xfId="4" applyFont="1" applyFill="1"/>
    <xf numFmtId="0" fontId="6" fillId="5" borderId="127" xfId="0" applyFont="1" applyFill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34" xfId="0" applyFont="1" applyBorder="1" applyAlignment="1">
      <alignment horizontal="center"/>
    </xf>
    <xf numFmtId="0" fontId="7" fillId="0" borderId="135" xfId="0" applyFont="1" applyBorder="1" applyAlignment="1">
      <alignment horizontal="center"/>
    </xf>
    <xf numFmtId="0" fontId="7" fillId="0" borderId="136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6" fillId="5" borderId="127" xfId="0" applyFont="1" applyFill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7" fillId="0" borderId="161" xfId="0" applyFont="1" applyBorder="1" applyAlignment="1">
      <alignment horizontal="center"/>
    </xf>
    <xf numFmtId="0" fontId="6" fillId="6" borderId="192" xfId="0" applyFont="1" applyFill="1" applyBorder="1" applyAlignment="1">
      <alignment horizontal="center"/>
    </xf>
    <xf numFmtId="0" fontId="36" fillId="0" borderId="161" xfId="4" applyFont="1" applyFill="1" applyBorder="1"/>
    <xf numFmtId="0" fontId="36" fillId="0" borderId="135" xfId="4" applyFont="1" applyFill="1" applyBorder="1"/>
    <xf numFmtId="0" fontId="36" fillId="0" borderId="135" xfId="0" applyFont="1" applyFill="1" applyBorder="1" applyAlignment="1">
      <alignment horizontal="left"/>
    </xf>
    <xf numFmtId="0" fontId="36" fillId="0" borderId="135" xfId="0" applyFont="1" applyFill="1" applyBorder="1"/>
    <xf numFmtId="0" fontId="36" fillId="0" borderId="135" xfId="13" applyNumberFormat="1" applyFont="1" applyFill="1" applyBorder="1" applyAlignment="1">
      <alignment horizontal="left"/>
    </xf>
    <xf numFmtId="0" fontId="36" fillId="0" borderId="193" xfId="0" applyFont="1" applyFill="1" applyBorder="1"/>
    <xf numFmtId="0" fontId="36" fillId="0" borderId="136" xfId="0" applyFont="1" applyFill="1" applyBorder="1"/>
    <xf numFmtId="0" fontId="36" fillId="0" borderId="161" xfId="0" applyFont="1" applyBorder="1" applyAlignment="1">
      <alignment horizontal="center"/>
    </xf>
    <xf numFmtId="0" fontId="36" fillId="0" borderId="135" xfId="0" applyFont="1" applyBorder="1" applyAlignment="1">
      <alignment horizontal="center"/>
    </xf>
    <xf numFmtId="0" fontId="36" fillId="0" borderId="136" xfId="0" applyFont="1" applyBorder="1" applyAlignment="1">
      <alignment horizontal="center"/>
    </xf>
    <xf numFmtId="0" fontId="6" fillId="6" borderId="194" xfId="0" applyFont="1" applyFill="1" applyBorder="1" applyAlignment="1">
      <alignment horizontal="center"/>
    </xf>
    <xf numFmtId="0" fontId="36" fillId="0" borderId="195" xfId="0" applyFont="1" applyFill="1" applyBorder="1"/>
    <xf numFmtId="0" fontId="36" fillId="0" borderId="196" xfId="0" applyFont="1" applyFill="1" applyBorder="1"/>
    <xf numFmtId="0" fontId="36" fillId="0" borderId="196" xfId="0" applyFont="1" applyFill="1" applyBorder="1" applyAlignment="1">
      <alignment horizontal="left"/>
    </xf>
    <xf numFmtId="0" fontId="8" fillId="5" borderId="148" xfId="0" applyFont="1" applyFill="1" applyBorder="1" applyAlignment="1">
      <alignment horizontal="center"/>
    </xf>
    <xf numFmtId="17" fontId="6" fillId="6" borderId="127" xfId="0" applyNumberFormat="1" applyFont="1" applyFill="1" applyBorder="1" applyAlignment="1">
      <alignment horizontal="center" vertical="center"/>
    </xf>
    <xf numFmtId="0" fontId="36" fillId="0" borderId="197" xfId="0" applyFont="1" applyFill="1" applyBorder="1"/>
    <xf numFmtId="0" fontId="8" fillId="6" borderId="127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center" wrapText="1"/>
    </xf>
    <xf numFmtId="0" fontId="4" fillId="29" borderId="142" xfId="0" applyFont="1" applyFill="1" applyBorder="1" applyAlignment="1">
      <alignment vertical="center"/>
    </xf>
    <xf numFmtId="0" fontId="4" fillId="0" borderId="198" xfId="0" applyFont="1" applyBorder="1"/>
    <xf numFmtId="0" fontId="10" fillId="29" borderId="199" xfId="0" applyFont="1" applyFill="1" applyBorder="1" applyAlignment="1">
      <alignment vertical="center"/>
    </xf>
    <xf numFmtId="17" fontId="6" fillId="6" borderId="200" xfId="0" applyNumberFormat="1" applyFont="1" applyFill="1" applyBorder="1" applyAlignment="1">
      <alignment horizontal="center" vertical="center"/>
    </xf>
    <xf numFmtId="0" fontId="36" fillId="0" borderId="43" xfId="4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/>
    </xf>
    <xf numFmtId="0" fontId="36" fillId="0" borderId="19" xfId="4" applyFont="1" applyFill="1" applyBorder="1" applyAlignment="1">
      <alignment horizontal="center" vertical="center"/>
    </xf>
    <xf numFmtId="0" fontId="49" fillId="0" borderId="42" xfId="4" applyFont="1" applyFill="1" applyBorder="1" applyAlignment="1">
      <alignment horizontal="center" vertical="center"/>
    </xf>
    <xf numFmtId="1" fontId="49" fillId="0" borderId="44" xfId="0" applyNumberFormat="1" applyFont="1" applyFill="1" applyBorder="1" applyAlignment="1">
      <alignment horizontal="center" vertical="center"/>
    </xf>
    <xf numFmtId="2" fontId="49" fillId="0" borderId="134" xfId="4" applyNumberFormat="1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/>
    </xf>
    <xf numFmtId="0" fontId="36" fillId="0" borderId="147" xfId="0" applyFont="1" applyFill="1" applyBorder="1"/>
    <xf numFmtId="43" fontId="0" fillId="0" borderId="0" xfId="13" applyFont="1" applyFill="1"/>
    <xf numFmtId="0" fontId="36" fillId="0" borderId="45" xfId="13" applyNumberFormat="1" applyFont="1" applyFill="1" applyBorder="1" applyAlignment="1">
      <alignment horizontal="center" vertical="center"/>
    </xf>
    <xf numFmtId="0" fontId="36" fillId="0" borderId="20" xfId="13" applyNumberFormat="1" applyFont="1" applyFill="1" applyBorder="1" applyAlignment="1">
      <alignment horizontal="center"/>
    </xf>
    <xf numFmtId="0" fontId="36" fillId="0" borderId="20" xfId="13" applyNumberFormat="1" applyFont="1" applyFill="1" applyBorder="1" applyAlignment="1">
      <alignment horizontal="center" vertical="center"/>
    </xf>
    <xf numFmtId="0" fontId="49" fillId="0" borderId="6" xfId="13" applyNumberFormat="1" applyFont="1" applyFill="1" applyBorder="1" applyAlignment="1">
      <alignment horizontal="center" vertical="center"/>
    </xf>
    <xf numFmtId="1" fontId="49" fillId="0" borderId="34" xfId="13" applyNumberFormat="1" applyFont="1" applyFill="1" applyBorder="1" applyAlignment="1">
      <alignment horizontal="center" vertical="center"/>
    </xf>
    <xf numFmtId="2" fontId="49" fillId="0" borderId="161" xfId="13" applyNumberFormat="1" applyFont="1" applyFill="1" applyBorder="1" applyAlignment="1">
      <alignment horizontal="center" vertical="center"/>
    </xf>
    <xf numFmtId="2" fontId="49" fillId="0" borderId="147" xfId="4" applyNumberFormat="1" applyFont="1" applyFill="1" applyBorder="1" applyAlignment="1">
      <alignment horizontal="center" vertical="center"/>
    </xf>
    <xf numFmtId="0" fontId="36" fillId="0" borderId="26" xfId="4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49" fillId="0" borderId="28" xfId="4" applyFont="1" applyFill="1" applyBorder="1" applyAlignment="1">
      <alignment horizontal="center" vertical="center"/>
    </xf>
    <xf numFmtId="1" fontId="49" fillId="0" borderId="46" xfId="0" applyNumberFormat="1" applyFont="1" applyFill="1" applyBorder="1" applyAlignment="1">
      <alignment horizontal="center" vertical="center"/>
    </xf>
    <xf numFmtId="2" fontId="49" fillId="0" borderId="145" xfId="4" applyNumberFormat="1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/>
    </xf>
    <xf numFmtId="2" fontId="49" fillId="0" borderId="148" xfId="4" applyNumberFormat="1" applyFont="1" applyFill="1" applyBorder="1" applyAlignment="1">
      <alignment horizontal="center" vertical="center"/>
    </xf>
    <xf numFmtId="0" fontId="7" fillId="0" borderId="128" xfId="0" applyNumberFormat="1" applyFont="1" applyBorder="1" applyAlignment="1">
      <alignment horizontal="center"/>
    </xf>
    <xf numFmtId="0" fontId="7" fillId="0" borderId="140" xfId="0" applyNumberFormat="1" applyFont="1" applyBorder="1" applyAlignment="1">
      <alignment horizontal="center"/>
    </xf>
    <xf numFmtId="17" fontId="6" fillId="5" borderId="127" xfId="0" applyNumberFormat="1" applyFont="1" applyFill="1" applyBorder="1" applyAlignment="1">
      <alignment horizontal="center" vertical="center"/>
    </xf>
    <xf numFmtId="0" fontId="4" fillId="29" borderId="145" xfId="0" applyFont="1" applyFill="1" applyBorder="1" applyAlignment="1">
      <alignment horizontal="center" vertical="center"/>
    </xf>
    <xf numFmtId="0" fontId="4" fillId="29" borderId="201" xfId="0" applyFont="1" applyFill="1" applyBorder="1" applyAlignment="1">
      <alignment horizontal="center" vertical="center"/>
    </xf>
    <xf numFmtId="0" fontId="10" fillId="29" borderId="127" xfId="0" applyFont="1" applyFill="1" applyBorder="1" applyAlignment="1">
      <alignment horizontal="center" vertical="center"/>
    </xf>
    <xf numFmtId="0" fontId="34" fillId="0" borderId="0" xfId="0" applyFont="1" applyFill="1"/>
    <xf numFmtId="0" fontId="6" fillId="4" borderId="150" xfId="0" applyFont="1" applyFill="1" applyBorder="1" applyAlignment="1">
      <alignment horizontal="center"/>
    </xf>
    <xf numFmtId="0" fontId="6" fillId="4" borderId="152" xfId="0" applyFont="1" applyFill="1" applyBorder="1" applyAlignment="1">
      <alignment horizontal="center"/>
    </xf>
    <xf numFmtId="0" fontId="6" fillId="4" borderId="202" xfId="0" applyFont="1" applyFill="1" applyBorder="1" applyAlignment="1">
      <alignment horizontal="center"/>
    </xf>
    <xf numFmtId="17" fontId="6" fillId="4" borderId="203" xfId="0" applyNumberFormat="1" applyFont="1" applyFill="1" applyBorder="1" applyAlignment="1">
      <alignment horizontal="center"/>
    </xf>
    <xf numFmtId="2" fontId="7" fillId="0" borderId="204" xfId="0" applyNumberFormat="1" applyFont="1" applyBorder="1" applyAlignment="1">
      <alignment horizontal="center"/>
    </xf>
    <xf numFmtId="17" fontId="6" fillId="4" borderId="205" xfId="0" applyNumberFormat="1" applyFont="1" applyFill="1" applyBorder="1" applyAlignment="1">
      <alignment horizontal="center"/>
    </xf>
    <xf numFmtId="17" fontId="6" fillId="4" borderId="206" xfId="0" applyNumberFormat="1" applyFont="1" applyFill="1" applyBorder="1" applyAlignment="1">
      <alignment horizontal="center"/>
    </xf>
    <xf numFmtId="2" fontId="7" fillId="0" borderId="208" xfId="0" applyNumberFormat="1" applyFont="1" applyBorder="1" applyAlignment="1">
      <alignment horizontal="center"/>
    </xf>
    <xf numFmtId="17" fontId="6" fillId="4" borderId="209" xfId="0" applyNumberFormat="1" applyFont="1" applyFill="1" applyBorder="1" applyAlignment="1">
      <alignment horizontal="center"/>
    </xf>
    <xf numFmtId="3" fontId="7" fillId="0" borderId="178" xfId="0" applyNumberFormat="1" applyFont="1" applyBorder="1" applyAlignment="1">
      <alignment horizontal="center"/>
    </xf>
    <xf numFmtId="2" fontId="7" fillId="0" borderId="179" xfId="0" applyNumberFormat="1" applyFont="1" applyBorder="1" applyAlignment="1">
      <alignment horizontal="center"/>
    </xf>
    <xf numFmtId="0" fontId="6" fillId="4" borderId="210" xfId="0" applyFont="1" applyFill="1" applyBorder="1" applyAlignment="1">
      <alignment horizontal="center"/>
    </xf>
    <xf numFmtId="2" fontId="7" fillId="0" borderId="211" xfId="0" applyNumberFormat="1" applyFont="1" applyBorder="1" applyAlignment="1">
      <alignment horizontal="center"/>
    </xf>
    <xf numFmtId="0" fontId="6" fillId="4" borderId="214" xfId="0" applyFont="1" applyFill="1" applyBorder="1" applyAlignment="1">
      <alignment horizontal="center"/>
    </xf>
    <xf numFmtId="0" fontId="6" fillId="4" borderId="215" xfId="0" applyFont="1" applyFill="1" applyBorder="1" applyAlignment="1">
      <alignment horizontal="center"/>
    </xf>
    <xf numFmtId="0" fontId="6" fillId="4" borderId="216" xfId="0" applyFont="1" applyFill="1" applyBorder="1" applyAlignment="1">
      <alignment horizontal="center"/>
    </xf>
    <xf numFmtId="0" fontId="6" fillId="4" borderId="217" xfId="0" applyFont="1" applyFill="1" applyBorder="1" applyAlignment="1">
      <alignment horizontal="center"/>
    </xf>
    <xf numFmtId="0" fontId="6" fillId="4" borderId="218" xfId="0" applyFont="1" applyFill="1" applyBorder="1" applyAlignment="1">
      <alignment horizontal="center"/>
    </xf>
    <xf numFmtId="3" fontId="7" fillId="0" borderId="219" xfId="0" applyNumberFormat="1" applyFont="1" applyBorder="1" applyAlignment="1">
      <alignment horizontal="center"/>
    </xf>
    <xf numFmtId="0" fontId="6" fillId="4" borderId="191" xfId="0" applyFont="1" applyFill="1" applyBorder="1" applyAlignment="1">
      <alignment horizontal="center"/>
    </xf>
    <xf numFmtId="2" fontId="7" fillId="0" borderId="220" xfId="0" applyNumberFormat="1" applyFont="1" applyBorder="1" applyAlignment="1">
      <alignment horizontal="center"/>
    </xf>
    <xf numFmtId="2" fontId="7" fillId="0" borderId="157" xfId="0" applyNumberFormat="1" applyFont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17" fontId="52" fillId="5" borderId="14" xfId="0" applyNumberFormat="1" applyFont="1" applyFill="1" applyBorder="1" applyAlignment="1">
      <alignment horizontal="center" vertical="center"/>
    </xf>
    <xf numFmtId="1" fontId="53" fillId="5" borderId="31" xfId="0" applyNumberFormat="1" applyFont="1" applyFill="1" applyBorder="1" applyAlignment="1">
      <alignment horizontal="center" vertical="center" wrapText="1"/>
    </xf>
    <xf numFmtId="1" fontId="52" fillId="0" borderId="55" xfId="0" applyNumberFormat="1" applyFont="1" applyBorder="1" applyAlignment="1">
      <alignment horizontal="center" vertical="center"/>
    </xf>
    <xf numFmtId="17" fontId="52" fillId="5" borderId="127" xfId="0" applyNumberFormat="1" applyFont="1" applyFill="1" applyBorder="1" applyAlignment="1">
      <alignment horizontal="center" vertical="center"/>
    </xf>
    <xf numFmtId="0" fontId="6" fillId="4" borderId="156" xfId="0" applyFont="1" applyFill="1" applyBorder="1" applyAlignment="1">
      <alignment horizontal="center"/>
    </xf>
    <xf numFmtId="0" fontId="52" fillId="4" borderId="2" xfId="0" applyFont="1" applyFill="1" applyBorder="1" applyAlignment="1">
      <alignment horizontal="center"/>
    </xf>
    <xf numFmtId="17" fontId="55" fillId="0" borderId="127" xfId="0" applyNumberFormat="1" applyFont="1" applyBorder="1" applyAlignment="1">
      <alignment horizontal="center"/>
    </xf>
    <xf numFmtId="0" fontId="56" fillId="0" borderId="127" xfId="0" applyNumberFormat="1" applyFont="1" applyBorder="1" applyAlignment="1">
      <alignment horizontal="center"/>
    </xf>
    <xf numFmtId="2" fontId="56" fillId="0" borderId="127" xfId="0" applyNumberFormat="1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" fontId="36" fillId="0" borderId="0" xfId="0" applyNumberFormat="1" applyFont="1" applyFill="1" applyBorder="1" applyAlignment="1">
      <alignment horizontal="left" vertical="center"/>
    </xf>
    <xf numFmtId="1" fontId="36" fillId="0" borderId="0" xfId="0" applyNumberFormat="1" applyFont="1" applyFill="1" applyBorder="1"/>
    <xf numFmtId="0" fontId="57" fillId="0" borderId="0" xfId="0" applyFont="1" applyFill="1" applyBorder="1" applyAlignment="1">
      <alignment horizontal="center"/>
    </xf>
    <xf numFmtId="0" fontId="44" fillId="0" borderId="0" xfId="0" applyFont="1" applyFill="1" applyBorder="1"/>
    <xf numFmtId="17" fontId="6" fillId="0" borderId="127" xfId="0" applyNumberFormat="1" applyFont="1" applyBorder="1" applyAlignment="1">
      <alignment horizontal="center"/>
    </xf>
    <xf numFmtId="17" fontId="6" fillId="0" borderId="209" xfId="0" applyNumberFormat="1" applyFont="1" applyBorder="1" applyAlignment="1">
      <alignment horizontal="center"/>
    </xf>
    <xf numFmtId="3" fontId="7" fillId="0" borderId="226" xfId="0" applyNumberFormat="1" applyFont="1" applyBorder="1" applyAlignment="1">
      <alignment horizontal="center"/>
    </xf>
    <xf numFmtId="17" fontId="6" fillId="0" borderId="203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7" fontId="6" fillId="0" borderId="216" xfId="0" applyNumberFormat="1" applyFont="1" applyBorder="1" applyAlignment="1">
      <alignment horizontal="center"/>
    </xf>
    <xf numFmtId="0" fontId="6" fillId="5" borderId="227" xfId="0" applyFont="1" applyFill="1" applyBorder="1" applyAlignment="1">
      <alignment horizontal="left" vertical="center"/>
    </xf>
    <xf numFmtId="17" fontId="6" fillId="5" borderId="210" xfId="0" applyNumberFormat="1" applyFont="1" applyFill="1" applyBorder="1" applyAlignment="1">
      <alignment horizontal="center" vertical="center"/>
    </xf>
    <xf numFmtId="17" fontId="6" fillId="5" borderId="228" xfId="0" applyNumberFormat="1" applyFont="1" applyFill="1" applyBorder="1" applyAlignment="1">
      <alignment horizontal="center" vertical="center"/>
    </xf>
    <xf numFmtId="0" fontId="6" fillId="5" borderId="210" xfId="0" applyFont="1" applyFill="1" applyBorder="1" applyAlignment="1">
      <alignment horizontal="center" vertical="center"/>
    </xf>
    <xf numFmtId="165" fontId="10" fillId="5" borderId="156" xfId="0" applyNumberFormat="1" applyFont="1" applyFill="1" applyBorder="1" applyAlignment="1">
      <alignment horizontal="center" vertical="center" wrapText="1"/>
    </xf>
    <xf numFmtId="0" fontId="8" fillId="0" borderId="229" xfId="0" applyFont="1" applyBorder="1" applyAlignment="1">
      <alignment horizontal="left"/>
    </xf>
    <xf numFmtId="165" fontId="6" fillId="5" borderId="157" xfId="0" applyNumberFormat="1" applyFont="1" applyFill="1" applyBorder="1" applyAlignment="1">
      <alignment horizontal="center" vertical="center" wrapText="1"/>
    </xf>
    <xf numFmtId="0" fontId="8" fillId="0" borderId="196" xfId="0" applyFont="1" applyBorder="1" applyAlignment="1">
      <alignment horizontal="left"/>
    </xf>
    <xf numFmtId="0" fontId="8" fillId="0" borderId="230" xfId="0" applyFont="1" applyBorder="1" applyAlignment="1">
      <alignment horizontal="left"/>
    </xf>
    <xf numFmtId="0" fontId="12" fillId="5" borderId="231" xfId="0" applyFont="1" applyFill="1" applyBorder="1" applyAlignment="1">
      <alignment horizontal="left" vertical="center"/>
    </xf>
    <xf numFmtId="3" fontId="6" fillId="5" borderId="159" xfId="0" applyNumberFormat="1" applyFont="1" applyFill="1" applyBorder="1" applyAlignment="1">
      <alignment horizontal="center" vertical="center"/>
    </xf>
    <xf numFmtId="3" fontId="6" fillId="5" borderId="232" xfId="0" applyNumberFormat="1" applyFont="1" applyFill="1" applyBorder="1" applyAlignment="1">
      <alignment horizontal="center" vertical="center"/>
    </xf>
    <xf numFmtId="3" fontId="6" fillId="5" borderId="158" xfId="0" applyNumberFormat="1" applyFont="1" applyFill="1" applyBorder="1" applyAlignment="1">
      <alignment horizontal="center" vertical="center"/>
    </xf>
    <xf numFmtId="2" fontId="6" fillId="5" borderId="160" xfId="0" applyNumberFormat="1" applyFont="1" applyFill="1" applyBorder="1" applyAlignment="1">
      <alignment horizontal="center" vertical="center"/>
    </xf>
    <xf numFmtId="165" fontId="6" fillId="5" borderId="233" xfId="0" applyNumberFormat="1" applyFont="1" applyFill="1" applyBorder="1" applyAlignment="1">
      <alignment horizontal="center" vertical="center" wrapText="1"/>
    </xf>
    <xf numFmtId="0" fontId="6" fillId="5" borderId="213" xfId="0" applyFont="1" applyFill="1" applyBorder="1" applyAlignment="1">
      <alignment horizontal="center" vertical="center"/>
    </xf>
    <xf numFmtId="1" fontId="10" fillId="5" borderId="234" xfId="0" applyNumberFormat="1" applyFont="1" applyFill="1" applyBorder="1" applyAlignment="1">
      <alignment horizontal="center" vertical="center" wrapText="1"/>
    </xf>
    <xf numFmtId="0" fontId="7" fillId="0" borderId="235" xfId="0" applyFont="1" applyBorder="1" applyAlignment="1">
      <alignment horizontal="left"/>
    </xf>
    <xf numFmtId="0" fontId="7" fillId="0" borderId="235" xfId="4" applyFont="1" applyBorder="1" applyAlignment="1">
      <alignment horizontal="left"/>
    </xf>
    <xf numFmtId="0" fontId="6" fillId="5" borderId="236" xfId="0" applyFont="1" applyFill="1" applyBorder="1" applyAlignment="1">
      <alignment horizontal="right"/>
    </xf>
    <xf numFmtId="2" fontId="6" fillId="5" borderId="233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47" fillId="0" borderId="0" xfId="0" applyFont="1"/>
    <xf numFmtId="0" fontId="60" fillId="0" borderId="0" xfId="0" applyFont="1"/>
    <xf numFmtId="0" fontId="58" fillId="0" borderId="0" xfId="0" applyFont="1" applyAlignment="1">
      <alignment horizontal="left" vertical="top" wrapText="1"/>
    </xf>
    <xf numFmtId="1" fontId="47" fillId="0" borderId="0" xfId="0" applyNumberFormat="1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1" fontId="47" fillId="0" borderId="0" xfId="0" applyNumberFormat="1" applyFont="1" applyAlignment="1">
      <alignment horizontal="center"/>
    </xf>
    <xf numFmtId="0" fontId="59" fillId="0" borderId="0" xfId="0" applyFont="1"/>
    <xf numFmtId="0" fontId="59" fillId="0" borderId="0" xfId="0" applyFont="1" applyAlignment="1">
      <alignment horizontal="center" vertical="center"/>
    </xf>
    <xf numFmtId="17" fontId="47" fillId="0" borderId="0" xfId="0" applyNumberFormat="1" applyFont="1"/>
    <xf numFmtId="3" fontId="37" fillId="0" borderId="7" xfId="0" applyNumberFormat="1" applyFont="1" applyBorder="1" applyAlignment="1">
      <alignment horizontal="center"/>
    </xf>
    <xf numFmtId="2" fontId="37" fillId="0" borderId="211" xfId="0" applyNumberFormat="1" applyFont="1" applyBorder="1" applyAlignment="1">
      <alignment horizontal="center"/>
    </xf>
    <xf numFmtId="3" fontId="37" fillId="0" borderId="219" xfId="0" applyNumberFormat="1" applyFont="1" applyBorder="1" applyAlignment="1">
      <alignment horizontal="center"/>
    </xf>
    <xf numFmtId="2" fontId="37" fillId="0" borderId="212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204" xfId="0" applyNumberFormat="1" applyFont="1" applyBorder="1" applyAlignment="1">
      <alignment horizontal="center"/>
    </xf>
    <xf numFmtId="3" fontId="37" fillId="0" borderId="207" xfId="0" applyNumberFormat="1" applyFont="1" applyBorder="1" applyAlignment="1">
      <alignment horizontal="center"/>
    </xf>
    <xf numFmtId="2" fontId="37" fillId="0" borderId="208" xfId="0" applyNumberFormat="1" applyFont="1" applyBorder="1" applyAlignment="1">
      <alignment horizontal="center"/>
    </xf>
    <xf numFmtId="0" fontId="33" fillId="0" borderId="237" xfId="0" applyFont="1" applyBorder="1" applyAlignment="1">
      <alignment horizontal="center"/>
    </xf>
    <xf numFmtId="1" fontId="8" fillId="0" borderId="237" xfId="0" applyNumberFormat="1" applyFont="1" applyBorder="1" applyAlignment="1">
      <alignment horizontal="center" vertical="center"/>
    </xf>
    <xf numFmtId="1" fontId="6" fillId="5" borderId="127" xfId="0" applyNumberFormat="1" applyFont="1" applyFill="1" applyBorder="1" applyAlignment="1">
      <alignment horizontal="center" vertical="center"/>
    </xf>
    <xf numFmtId="3" fontId="37" fillId="0" borderId="35" xfId="0" applyNumberFormat="1" applyFont="1" applyBorder="1" applyAlignment="1">
      <alignment horizontal="center"/>
    </xf>
    <xf numFmtId="2" fontId="37" fillId="0" borderId="221" xfId="0" applyNumberFormat="1" applyFont="1" applyBorder="1" applyAlignment="1">
      <alignment horizontal="center"/>
    </xf>
    <xf numFmtId="3" fontId="37" fillId="0" borderId="222" xfId="0" applyNumberFormat="1" applyFont="1" applyBorder="1" applyAlignment="1">
      <alignment horizontal="center"/>
    </xf>
    <xf numFmtId="2" fontId="37" fillId="0" borderId="223" xfId="0" applyNumberFormat="1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3" fontId="37" fillId="0" borderId="34" xfId="0" applyNumberFormat="1" applyFont="1" applyBorder="1" applyAlignment="1">
      <alignment horizontal="center"/>
    </xf>
    <xf numFmtId="3" fontId="37" fillId="0" borderId="224" xfId="0" applyNumberFormat="1" applyFont="1" applyBorder="1" applyAlignment="1">
      <alignment horizontal="center"/>
    </xf>
    <xf numFmtId="2" fontId="37" fillId="0" borderId="135" xfId="0" applyNumberFormat="1" applyFont="1" applyBorder="1" applyAlignment="1">
      <alignment horizontal="center"/>
    </xf>
    <xf numFmtId="2" fontId="37" fillId="0" borderId="136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/>
    </xf>
    <xf numFmtId="2" fontId="7" fillId="0" borderId="161" xfId="0" applyNumberFormat="1" applyFont="1" applyBorder="1" applyAlignment="1">
      <alignment horizontal="center"/>
    </xf>
    <xf numFmtId="2" fontId="61" fillId="0" borderId="135" xfId="0" applyNumberFormat="1" applyFont="1" applyBorder="1" applyAlignment="1">
      <alignment horizontal="center"/>
    </xf>
    <xf numFmtId="2" fontId="61" fillId="0" borderId="136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 vertical="center"/>
    </xf>
    <xf numFmtId="0" fontId="31" fillId="7" borderId="69" xfId="0" applyFont="1" applyFill="1" applyBorder="1" applyAlignment="1">
      <alignment horizontal="center" vertical="center"/>
    </xf>
    <xf numFmtId="1" fontId="31" fillId="7" borderId="70" xfId="0" applyNumberFormat="1" applyFont="1" applyFill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1" fontId="31" fillId="0" borderId="3" xfId="0" applyNumberFormat="1" applyFont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1" fontId="31" fillId="7" borderId="71" xfId="0" applyNumberFormat="1" applyFont="1" applyFill="1" applyBorder="1" applyAlignment="1">
      <alignment horizontal="center" vertical="center"/>
    </xf>
    <xf numFmtId="0" fontId="31" fillId="7" borderId="72" xfId="0" applyFont="1" applyFill="1" applyBorder="1" applyAlignment="1">
      <alignment horizontal="center" vertical="center"/>
    </xf>
    <xf numFmtId="1" fontId="31" fillId="7" borderId="73" xfId="0" applyNumberFormat="1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1" fontId="31" fillId="0" borderId="47" xfId="0" applyNumberFormat="1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1" fontId="31" fillId="0" borderId="8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/>
    </xf>
    <xf numFmtId="0" fontId="31" fillId="0" borderId="168" xfId="0" applyFont="1" applyBorder="1" applyAlignment="1">
      <alignment horizontal="center" vertical="center"/>
    </xf>
    <xf numFmtId="1" fontId="31" fillId="0" borderId="169" xfId="0" applyNumberFormat="1" applyFont="1" applyBorder="1" applyAlignment="1">
      <alignment horizontal="center" vertical="center"/>
    </xf>
    <xf numFmtId="0" fontId="31" fillId="0" borderId="178" xfId="0" applyFont="1" applyBorder="1" applyAlignment="1">
      <alignment horizontal="center" vertical="center"/>
    </xf>
    <xf numFmtId="1" fontId="31" fillId="0" borderId="179" xfId="0" applyNumberFormat="1" applyFont="1" applyBorder="1" applyAlignment="1">
      <alignment horizontal="center" vertical="center"/>
    </xf>
    <xf numFmtId="0" fontId="31" fillId="0" borderId="187" xfId="0" applyFont="1" applyBorder="1" applyAlignment="1">
      <alignment horizontal="center" vertical="center"/>
    </xf>
    <xf numFmtId="1" fontId="31" fillId="0" borderId="188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1" fontId="31" fillId="0" borderId="42" xfId="0" applyNumberFormat="1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0" fontId="31" fillId="7" borderId="56" xfId="0" applyFont="1" applyFill="1" applyBorder="1" applyAlignment="1">
      <alignment horizontal="center" vertical="center"/>
    </xf>
    <xf numFmtId="1" fontId="31" fillId="7" borderId="58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8" fillId="0" borderId="0" xfId="0" applyFont="1" applyFill="1" applyBorder="1"/>
    <xf numFmtId="17" fontId="38" fillId="0" borderId="0" xfId="0" applyNumberFormat="1" applyFont="1" applyFill="1" applyBorder="1" applyAlignment="1">
      <alignment horizontal="center"/>
    </xf>
    <xf numFmtId="17" fontId="38" fillId="0" borderId="0" xfId="0" applyNumberFormat="1" applyFont="1" applyFill="1" applyBorder="1" applyAlignment="1">
      <alignment horizontal="center" vertical="center"/>
    </xf>
    <xf numFmtId="165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1" fillId="0" borderId="0" xfId="10" applyFont="1" applyBorder="1" applyAlignment="1" applyProtection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1" fillId="0" borderId="0" xfId="10" applyFont="1" applyBorder="1" applyAlignment="1" applyProtection="1">
      <alignment horizontal="center" vertical="center" wrapText="1"/>
    </xf>
    <xf numFmtId="0" fontId="41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/>
    </xf>
    <xf numFmtId="0" fontId="44" fillId="0" borderId="0" xfId="0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17" fontId="6" fillId="9" borderId="128" xfId="0" applyNumberFormat="1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17" fontId="6" fillId="9" borderId="140" xfId="0" applyNumberFormat="1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17" fontId="6" fillId="9" borderId="141" xfId="0" applyNumberFormat="1" applyFont="1" applyFill="1" applyBorder="1" applyAlignment="1">
      <alignment horizontal="center"/>
    </xf>
    <xf numFmtId="0" fontId="8" fillId="0" borderId="41" xfId="0" applyFont="1" applyBorder="1" applyAlignment="1">
      <alignment horizontal="right"/>
    </xf>
    <xf numFmtId="0" fontId="8" fillId="0" borderId="127" xfId="0" applyFont="1" applyBorder="1" applyAlignment="1">
      <alignment horizontal="right"/>
    </xf>
    <xf numFmtId="0" fontId="62" fillId="0" borderId="127" xfId="0" applyNumberFormat="1" applyFont="1" applyBorder="1" applyAlignment="1">
      <alignment horizontal="center"/>
    </xf>
    <xf numFmtId="2" fontId="62" fillId="0" borderId="127" xfId="0" applyNumberFormat="1" applyFont="1" applyBorder="1" applyAlignment="1">
      <alignment horizontal="center"/>
    </xf>
    <xf numFmtId="0" fontId="55" fillId="0" borderId="127" xfId="0" applyFont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37" fillId="0" borderId="238" xfId="0" applyNumberFormat="1" applyFont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17" fontId="6" fillId="4" borderId="144" xfId="0" applyNumberFormat="1" applyFont="1" applyFill="1" applyBorder="1" applyAlignment="1">
      <alignment horizontal="center"/>
    </xf>
    <xf numFmtId="17" fontId="6" fillId="4" borderId="145" xfId="0" applyNumberFormat="1" applyFont="1" applyFill="1" applyBorder="1" applyAlignment="1">
      <alignment horizontal="center"/>
    </xf>
    <xf numFmtId="17" fontId="6" fillId="4" borderId="146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2" fontId="7" fillId="0" borderId="239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/>
    </xf>
    <xf numFmtId="0" fontId="23" fillId="10" borderId="56" xfId="0" applyFont="1" applyFill="1" applyBorder="1" applyAlignment="1">
      <alignment horizontal="center"/>
    </xf>
    <xf numFmtId="0" fontId="63" fillId="4" borderId="3" xfId="0" applyFont="1" applyFill="1" applyBorder="1" applyAlignment="1">
      <alignment horizontal="right" vertical="center" wrapText="1"/>
    </xf>
    <xf numFmtId="0" fontId="25" fillId="7" borderId="67" xfId="0" applyFont="1" applyFill="1" applyBorder="1"/>
    <xf numFmtId="0" fontId="23" fillId="5" borderId="3" xfId="0" applyFont="1" applyFill="1" applyBorder="1" applyAlignment="1">
      <alignment horizontal="center"/>
    </xf>
    <xf numFmtId="0" fontId="23" fillId="5" borderId="51" xfId="0" applyFont="1" applyFill="1" applyBorder="1" applyAlignment="1">
      <alignment horizontal="center"/>
    </xf>
    <xf numFmtId="0" fontId="23" fillId="5" borderId="240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right" vertical="center" wrapText="1"/>
    </xf>
    <xf numFmtId="0" fontId="25" fillId="0" borderId="8" xfId="0" applyFont="1" applyBorder="1"/>
    <xf numFmtId="0" fontId="25" fillId="0" borderId="39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17" fontId="23" fillId="9" borderId="8" xfId="0" applyNumberFormat="1" applyFont="1" applyFill="1" applyBorder="1" applyAlignment="1">
      <alignment horizontal="center" wrapText="1"/>
    </xf>
    <xf numFmtId="0" fontId="25" fillId="0" borderId="6" xfId="0" applyFont="1" applyBorder="1"/>
    <xf numFmtId="0" fontId="25" fillId="0" borderId="24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17" fontId="23" fillId="9" borderId="6" xfId="0" applyNumberFormat="1" applyFont="1" applyFill="1" applyBorder="1" applyAlignment="1">
      <alignment horizontal="center" wrapText="1"/>
    </xf>
    <xf numFmtId="0" fontId="25" fillId="0" borderId="4" xfId="0" applyFont="1" applyBorder="1"/>
    <xf numFmtId="0" fontId="25" fillId="0" borderId="21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17" fontId="23" fillId="9" borderId="4" xfId="0" applyNumberFormat="1" applyFont="1" applyFill="1" applyBorder="1" applyAlignment="1">
      <alignment horizontal="center" wrapText="1"/>
    </xf>
    <xf numFmtId="0" fontId="25" fillId="7" borderId="26" xfId="0" applyFont="1" applyFill="1" applyBorder="1"/>
    <xf numFmtId="0" fontId="25" fillId="7" borderId="48" xfId="0" applyFont="1" applyFill="1" applyBorder="1"/>
    <xf numFmtId="0" fontId="63" fillId="9" borderId="2" xfId="0" applyFont="1" applyFill="1" applyBorder="1" applyAlignment="1">
      <alignment horizontal="center" wrapText="1"/>
    </xf>
    <xf numFmtId="0" fontId="25" fillId="7" borderId="19" xfId="0" applyFont="1" applyFill="1" applyBorder="1"/>
    <xf numFmtId="0" fontId="25" fillId="7" borderId="67" xfId="0" applyFont="1" applyFill="1" applyBorder="1" applyAlignment="1">
      <alignment horizontal="left" wrapText="1"/>
    </xf>
    <xf numFmtId="0" fontId="23" fillId="5" borderId="10" xfId="0" applyFont="1" applyFill="1" applyBorder="1" applyAlignment="1">
      <alignment horizontal="center"/>
    </xf>
    <xf numFmtId="0" fontId="23" fillId="5" borderId="56" xfId="0" applyFont="1" applyFill="1" applyBorder="1" applyAlignment="1">
      <alignment horizontal="center"/>
    </xf>
    <xf numFmtId="0" fontId="23" fillId="5" borderId="241" xfId="0" applyFont="1" applyFill="1" applyBorder="1" applyAlignment="1">
      <alignment horizontal="center"/>
    </xf>
    <xf numFmtId="0" fontId="23" fillId="5" borderId="127" xfId="0" applyFont="1" applyFill="1" applyBorder="1" applyAlignment="1">
      <alignment horizontal="right" wrapText="1"/>
    </xf>
    <xf numFmtId="0" fontId="25" fillId="0" borderId="8" xfId="0" applyFont="1" applyBorder="1" applyAlignment="1">
      <alignment wrapText="1"/>
    </xf>
    <xf numFmtId="0" fontId="25" fillId="0" borderId="39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25" fillId="0" borderId="50" xfId="0" applyFont="1" applyBorder="1" applyAlignment="1">
      <alignment horizontal="center" wrapText="1"/>
    </xf>
    <xf numFmtId="17" fontId="23" fillId="9" borderId="201" xfId="0" applyNumberFormat="1" applyFont="1" applyFill="1" applyBorder="1" applyAlignment="1">
      <alignment horizontal="center" wrapText="1"/>
    </xf>
    <xf numFmtId="0" fontId="25" fillId="0" borderId="6" xfId="0" applyFont="1" applyBorder="1" applyAlignment="1">
      <alignment wrapText="1"/>
    </xf>
    <xf numFmtId="0" fontId="25" fillId="0" borderId="24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45" xfId="0" applyFont="1" applyBorder="1" applyAlignment="1">
      <alignment horizontal="center" wrapText="1"/>
    </xf>
    <xf numFmtId="17" fontId="23" fillId="9" borderId="145" xfId="0" applyNumberFormat="1" applyFont="1" applyFill="1" applyBorder="1" applyAlignment="1">
      <alignment horizontal="center" wrapText="1"/>
    </xf>
    <xf numFmtId="0" fontId="25" fillId="0" borderId="4" xfId="0" applyFont="1" applyBorder="1" applyAlignment="1">
      <alignment wrapText="1"/>
    </xf>
    <xf numFmtId="0" fontId="25" fillId="0" borderId="21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49" xfId="0" applyFont="1" applyBorder="1" applyAlignment="1">
      <alignment horizontal="center" wrapText="1"/>
    </xf>
    <xf numFmtId="17" fontId="23" fillId="9" borderId="237" xfId="0" applyNumberFormat="1" applyFont="1" applyFill="1" applyBorder="1" applyAlignment="1">
      <alignment horizontal="center" wrapText="1"/>
    </xf>
    <xf numFmtId="0" fontId="25" fillId="7" borderId="67" xfId="0" applyFont="1" applyFill="1" applyBorder="1" applyAlignment="1">
      <alignment wrapText="1"/>
    </xf>
    <xf numFmtId="0" fontId="25" fillId="7" borderId="242" xfId="0" applyFont="1" applyFill="1" applyBorder="1" applyAlignment="1">
      <alignment horizontal="left" wrapText="1"/>
    </xf>
    <xf numFmtId="0" fontId="63" fillId="9" borderId="127" xfId="0" applyFont="1" applyFill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243" xfId="0" applyFont="1" applyBorder="1" applyAlignment="1">
      <alignment horizontal="left" wrapText="1"/>
    </xf>
    <xf numFmtId="0" fontId="23" fillId="0" borderId="57" xfId="0" applyFont="1" applyBorder="1" applyAlignment="1">
      <alignment horizontal="left" wrapText="1"/>
    </xf>
    <xf numFmtId="0" fontId="23" fillId="0" borderId="56" xfId="0" applyFont="1" applyBorder="1" applyAlignment="1">
      <alignment horizontal="left" wrapText="1"/>
    </xf>
    <xf numFmtId="0" fontId="25" fillId="0" borderId="0" xfId="0" applyFont="1" applyAlignment="1">
      <alignment wrapText="1"/>
    </xf>
    <xf numFmtId="2" fontId="4" fillId="0" borderId="0" xfId="0" applyNumberFormat="1" applyFont="1" applyAlignment="1">
      <alignment horizontal="center"/>
    </xf>
    <xf numFmtId="3" fontId="8" fillId="0" borderId="3" xfId="0" applyNumberFormat="1" applyFont="1" applyBorder="1"/>
    <xf numFmtId="0" fontId="8" fillId="5" borderId="41" xfId="0" applyFont="1" applyFill="1" applyBorder="1" applyAlignment="1">
      <alignment horizontal="right"/>
    </xf>
    <xf numFmtId="0" fontId="25" fillId="0" borderId="0" xfId="0" applyFont="1"/>
    <xf numFmtId="3" fontId="8" fillId="0" borderId="11" xfId="0" applyNumberFormat="1" applyFont="1" applyBorder="1"/>
    <xf numFmtId="0" fontId="8" fillId="5" borderId="127" xfId="0" applyFont="1" applyFill="1" applyBorder="1" applyAlignment="1">
      <alignment horizontal="right"/>
    </xf>
    <xf numFmtId="2" fontId="39" fillId="0" borderId="6" xfId="0" applyNumberFormat="1" applyFont="1" applyBorder="1" applyAlignment="1">
      <alignment horizontal="center"/>
    </xf>
    <xf numFmtId="3" fontId="39" fillId="0" borderId="7" xfId="0" applyNumberFormat="1" applyFont="1" applyBorder="1" applyAlignment="1">
      <alignment horizontal="center"/>
    </xf>
    <xf numFmtId="17" fontId="10" fillId="4" borderId="141" xfId="0" applyNumberFormat="1" applyFont="1" applyFill="1" applyBorder="1" applyAlignment="1">
      <alignment horizontal="center"/>
    </xf>
    <xf numFmtId="3" fontId="39" fillId="0" borderId="9" xfId="0" applyNumberFormat="1" applyFont="1" applyBorder="1" applyAlignment="1">
      <alignment horizontal="center"/>
    </xf>
    <xf numFmtId="17" fontId="10" fillId="4" borderId="128" xfId="0" applyNumberFormat="1" applyFont="1" applyFill="1" applyBorder="1" applyAlignment="1">
      <alignment horizontal="center"/>
    </xf>
    <xf numFmtId="3" fontId="39" fillId="0" borderId="6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7" fontId="10" fillId="4" borderId="140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7" xfId="0" applyFont="1" applyFill="1" applyBorder="1" applyAlignment="1">
      <alignment horizontal="center"/>
    </xf>
    <xf numFmtId="0" fontId="0" fillId="0" borderId="15" xfId="0" applyBorder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58" fillId="0" borderId="0" xfId="0" applyFont="1" applyAlignment="1"/>
    <xf numFmtId="2" fontId="6" fillId="0" borderId="213" xfId="0" applyNumberFormat="1" applyFont="1" applyBorder="1" applyAlignment="1">
      <alignment horizontal="center" vertical="center" wrapText="1"/>
    </xf>
    <xf numFmtId="2" fontId="6" fillId="0" borderId="152" xfId="0" applyNumberFormat="1" applyFont="1" applyBorder="1" applyAlignment="1">
      <alignment horizontal="center" vertical="center" wrapText="1"/>
    </xf>
    <xf numFmtId="2" fontId="6" fillId="0" borderId="202" xfId="0" applyNumberFormat="1" applyFont="1" applyBorder="1" applyAlignment="1">
      <alignment horizontal="center" vertical="center" wrapText="1"/>
    </xf>
    <xf numFmtId="2" fontId="6" fillId="0" borderId="213" xfId="0" applyNumberFormat="1" applyFont="1" applyBorder="1" applyAlignment="1">
      <alignment horizontal="center" vertical="center"/>
    </xf>
    <xf numFmtId="2" fontId="6" fillId="0" borderId="152" xfId="0" applyNumberFormat="1" applyFont="1" applyBorder="1" applyAlignment="1">
      <alignment horizontal="center" vertical="center"/>
    </xf>
    <xf numFmtId="2" fontId="6" fillId="0" borderId="20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/>
    <xf numFmtId="0" fontId="38" fillId="0" borderId="0" xfId="0" applyFont="1" applyAlignment="1"/>
    <xf numFmtId="0" fontId="6" fillId="0" borderId="213" xfId="0" applyFont="1" applyBorder="1" applyAlignment="1">
      <alignment horizontal="center" vertical="center" wrapText="1"/>
    </xf>
    <xf numFmtId="0" fontId="6" fillId="0" borderId="152" xfId="0" applyFont="1" applyBorder="1" applyAlignment="1">
      <alignment horizontal="center" vertical="center" wrapText="1"/>
    </xf>
    <xf numFmtId="0" fontId="6" fillId="0" borderId="20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50" xfId="0" applyFont="1" applyBorder="1" applyAlignment="1">
      <alignment horizontal="center"/>
    </xf>
    <xf numFmtId="0" fontId="6" fillId="0" borderId="152" xfId="0" applyFont="1" applyBorder="1" applyAlignment="1">
      <alignment horizontal="center"/>
    </xf>
    <xf numFmtId="0" fontId="6" fillId="0" borderId="202" xfId="0" applyFont="1" applyBorder="1" applyAlignment="1">
      <alignment horizontal="center"/>
    </xf>
    <xf numFmtId="0" fontId="6" fillId="0" borderId="213" xfId="0" applyFont="1" applyBorder="1" applyAlignment="1">
      <alignment horizontal="center"/>
    </xf>
    <xf numFmtId="0" fontId="6" fillId="0" borderId="189" xfId="0" applyFont="1" applyBorder="1" applyAlignment="1">
      <alignment horizontal="center"/>
    </xf>
    <xf numFmtId="0" fontId="6" fillId="0" borderId="225" xfId="0" applyFont="1" applyBorder="1" applyAlignment="1">
      <alignment horizontal="center"/>
    </xf>
    <xf numFmtId="0" fontId="6" fillId="0" borderId="169" xfId="0" applyFont="1" applyBorder="1" applyAlignment="1">
      <alignment horizontal="center"/>
    </xf>
    <xf numFmtId="0" fontId="6" fillId="0" borderId="15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0" fillId="28" borderId="142" xfId="0" applyFill="1" applyBorder="1" applyAlignment="1">
      <alignment horizontal="center"/>
    </xf>
    <xf numFmtId="0" fontId="0" fillId="28" borderId="143" xfId="0" applyFill="1" applyBorder="1" applyAlignment="1">
      <alignment horizontal="center"/>
    </xf>
    <xf numFmtId="0" fontId="8" fillId="20" borderId="108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4" borderId="87" xfId="0" applyFont="1" applyFill="1" applyBorder="1" applyAlignment="1">
      <alignment horizontal="center" vertical="center"/>
    </xf>
    <xf numFmtId="0" fontId="8" fillId="17" borderId="88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" xfId="13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JANEIRO/2024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Protocolos!$P$19:$P$23</c:f>
              <c:numCache>
                <c:formatCode>General</c:formatCode>
                <c:ptCount val="5"/>
                <c:pt idx="0">
                  <c:v>205</c:v>
                </c:pt>
                <c:pt idx="1">
                  <c:v>70</c:v>
                </c:pt>
                <c:pt idx="2">
                  <c:v>5003</c:v>
                </c:pt>
                <c:pt idx="3">
                  <c:v>225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552</c:v>
                </c:pt>
                <c:pt idx="1">
                  <c:v>242</c:v>
                </c:pt>
                <c:pt idx="2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329</c:v>
                </c:pt>
                <c:pt idx="1">
                  <c:v>291</c:v>
                </c:pt>
                <c:pt idx="2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166</c:v>
                </c:pt>
                <c:pt idx="1">
                  <c:v>170</c:v>
                </c:pt>
                <c:pt idx="2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349</c:v>
                </c:pt>
                <c:pt idx="1">
                  <c:v>218</c:v>
                </c:pt>
                <c:pt idx="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197</c:v>
                </c:pt>
                <c:pt idx="1">
                  <c:v>175</c:v>
                </c:pt>
                <c:pt idx="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174</c:v>
                </c:pt>
                <c:pt idx="1">
                  <c:v>173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175</c:v>
                </c:pt>
                <c:pt idx="1">
                  <c:v>160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212</c:v>
                </c:pt>
                <c:pt idx="1">
                  <c:v>157</c:v>
                </c:pt>
                <c:pt idx="2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162</c:v>
                </c:pt>
                <c:pt idx="1">
                  <c:v>135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140</c:v>
                </c:pt>
                <c:pt idx="1">
                  <c:v>136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'10+_ASSUNTOS_JAN_24'!$B$24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'10+_ASSUNTOS_JAN_24'!$B$25</c:f>
              <c:numCache>
                <c:formatCode>General</c:formatCode>
                <c:ptCount val="1"/>
                <c:pt idx="0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'10+_ASSUNTOS_JAN_24'!$C$24:$C$24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'10+_ASSUNTOS_JAN_24'!$C$25:$C$25</c:f>
              <c:numCache>
                <c:formatCode>General</c:formatCode>
                <c:ptCount val="1"/>
                <c:pt idx="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'10+_ASSUNTOS_JAN_24'!$D$24:$D$24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'10+_ASSUNTOS_JAN_24'!$D$25:$D$26</c:f>
              <c:numCache>
                <c:formatCode>General</c:formatCode>
                <c:ptCount val="2"/>
                <c:pt idx="0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'10+_ASSUNTOS_JAN_24'!$E$24:$E$24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'10+_ASSUNTOS_JAN_24'!$E$25:$E$26</c:f>
              <c:numCache>
                <c:formatCode>General</c:formatCode>
                <c:ptCount val="2"/>
                <c:pt idx="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'10+_ASSUNTOS_JAN_24'!$F$24:$F$24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'10+_ASSUNTOS_JAN_24'!$F$25:$F$26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'10+_ASSUNTOS_JAN_24'!$G$24:$G$24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'10+_ASSUNTOS_JAN_24'!$G$25:$G$26</c:f>
              <c:numCache>
                <c:formatCode>General</c:formatCode>
                <c:ptCount val="2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'10+_ASSUNTOS_JAN_24'!$H$24:$H$24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'10+_ASSUNTOS_JAN_24'!$H$25:$H$26</c:f>
              <c:numCache>
                <c:formatCode>General</c:formatCode>
                <c:ptCount val="2"/>
                <c:pt idx="0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'10+_ASSUNTOS_JAN_24'!$I$24:$I$24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'10+_ASSUNTOS_JAN_24'!$I$25:$I$26</c:f>
              <c:numCache>
                <c:formatCode>General</c:formatCode>
                <c:ptCount val="2"/>
                <c:pt idx="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'10+_ASSUNTOS_JAN_24'!$J$24:$J$24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'10+_ASSUNTOS_JAN_24'!$J$25:$J$26</c:f>
              <c:numCache>
                <c:formatCode>General</c:formatCode>
                <c:ptCount val="2"/>
                <c:pt idx="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'10+_ASSUNTOS_JAN_24'!$K$24:$K$24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'10+_ASSUNTOS_JAN_24'!$K$25:$K$26</c:f>
              <c:numCache>
                <c:formatCode>General</c:formatCode>
                <c:ptCount val="2"/>
                <c:pt idx="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'10+_ASSUNTOS_JAN_24'!$L$24:$L$24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'10+_ASSUNTOS_JAN_24'!$L$25:$L$26</c:f>
              <c:numCache>
                <c:formatCode>General</c:formatCode>
                <c:ptCount val="2"/>
                <c:pt idx="1">
                  <c:v>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JANEIRO/24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'10+_ASSUNTOS_JAN_24'!$B$6:$B$6</c:f>
              <c:strCache>
                <c:ptCount val="1"/>
                <c:pt idx="0">
                  <c:v>jan/24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'10+_ASSUNTOS_JAN_24'!$A$7:$A$16</c:f>
              <c:strCache>
                <c:ptCount val="10"/>
                <c:pt idx="0">
                  <c:v>Cadastro Único (CadÚnico)</c:v>
                </c:pt>
                <c:pt idx="1">
                  <c:v>Árvore</c:v>
                </c:pt>
                <c:pt idx="2">
                  <c:v>Buraco e Pavimentação</c:v>
                </c:pt>
                <c:pt idx="3">
                  <c:v>Processo Administrativo</c:v>
                </c:pt>
                <c:pt idx="4">
                  <c:v>Qualidade de atendimento</c:v>
                </c:pt>
                <c:pt idx="5">
                  <c:v>Órgão externo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'10+_ASSUNTOS_JAN_24'!$B$7:$B$16</c:f>
              <c:numCache>
                <c:formatCode>General</c:formatCode>
                <c:ptCount val="10"/>
                <c:pt idx="0">
                  <c:v>552</c:v>
                </c:pt>
                <c:pt idx="1">
                  <c:v>349</c:v>
                </c:pt>
                <c:pt idx="2">
                  <c:v>329</c:v>
                </c:pt>
                <c:pt idx="3">
                  <c:v>212</c:v>
                </c:pt>
                <c:pt idx="4">
                  <c:v>197</c:v>
                </c:pt>
                <c:pt idx="5">
                  <c:v>175</c:v>
                </c:pt>
                <c:pt idx="6">
                  <c:v>174</c:v>
                </c:pt>
                <c:pt idx="7">
                  <c:v>166</c:v>
                </c:pt>
                <c:pt idx="8">
                  <c:v>162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Municipal de Educação</c:v>
                </c:pt>
                <c:pt idx="7">
                  <c:v>São Paulo Transportes - SPTRANS</c:v>
                </c:pt>
                <c:pt idx="8">
                  <c:v>Órgão externo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'10+UNIDADES_2024'!$O$7:$O$16</c:f>
              <c:numCache>
                <c:formatCode>0</c:formatCode>
                <c:ptCount val="10"/>
                <c:pt idx="0">
                  <c:v>711</c:v>
                </c:pt>
                <c:pt idx="1">
                  <c:v>560</c:v>
                </c:pt>
                <c:pt idx="2">
                  <c:v>439</c:v>
                </c:pt>
                <c:pt idx="3">
                  <c:v>379</c:v>
                </c:pt>
                <c:pt idx="4">
                  <c:v>354</c:v>
                </c:pt>
                <c:pt idx="5">
                  <c:v>328</c:v>
                </c:pt>
                <c:pt idx="6">
                  <c:v>268</c:v>
                </c:pt>
                <c:pt idx="7">
                  <c:v>180</c:v>
                </c:pt>
                <c:pt idx="8">
                  <c:v>175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'10+UNIDADES_2024'!$A$7:$A$18</c15:sqref>
                  </c15:fullRef>
                </c:ext>
              </c:extLst>
              <c:f>('10+UNIDADES_2024'!$A$7:$A$16,'10+UNIDADES_2024'!$A$18)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Municipal de Educação</c:v>
                </c:pt>
                <c:pt idx="7">
                  <c:v>São Paulo Transportes - SPTRANS</c:v>
                </c:pt>
                <c:pt idx="8">
                  <c:v>Órgão externo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'10+UNIDADES_2024'!$P$7:$P$18</c15:sqref>
                  </c15:fullRef>
                </c:ext>
              </c:extLst>
              <c:f>('10+UNIDADES_2024'!$P$7:$P$16,'10+UNIDADES_2024'!$P$18)</c:f>
              <c:numCache>
                <c:formatCode>0.00</c:formatCode>
                <c:ptCount val="11"/>
                <c:pt idx="0">
                  <c:v>13.210702341137123</c:v>
                </c:pt>
                <c:pt idx="1">
                  <c:v>10.405053883314753</c:v>
                </c:pt>
                <c:pt idx="2">
                  <c:v>8.1568190263842446</c:v>
                </c:pt>
                <c:pt idx="3">
                  <c:v>7.0419918246005206</c:v>
                </c:pt>
                <c:pt idx="4">
                  <c:v>6.5774804905239685</c:v>
                </c:pt>
                <c:pt idx="5">
                  <c:v>6.0943887030843555</c:v>
                </c:pt>
                <c:pt idx="6">
                  <c:v>4.9795615013006316</c:v>
                </c:pt>
                <c:pt idx="7">
                  <c:v>3.3444816053511706</c:v>
                </c:pt>
                <c:pt idx="8">
                  <c:v>3.2515793385358602</c:v>
                </c:pt>
                <c:pt idx="9">
                  <c:v>2.0624303232998886</c:v>
                </c:pt>
                <c:pt idx="10">
                  <c:v>34.875510962467487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solicitadas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'UNIDADES_10+_últimos_3_meses'!$A$7:$A$16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Sé</c:v>
                </c:pt>
              </c:strCache>
            </c:strRef>
          </c:cat>
          <c:val>
            <c:numRef>
              <c:f>'UNIDADES_10+_últimos_3_meses'!$F$7:$F$16</c:f>
              <c:numCache>
                <c:formatCode>0</c:formatCode>
                <c:ptCount val="10"/>
                <c:pt idx="0">
                  <c:v>563.66666666666663</c:v>
                </c:pt>
                <c:pt idx="1">
                  <c:v>555.33333333333337</c:v>
                </c:pt>
                <c:pt idx="2">
                  <c:v>410.33333333333331</c:v>
                </c:pt>
                <c:pt idx="3">
                  <c:v>323.33333333333331</c:v>
                </c:pt>
                <c:pt idx="4">
                  <c:v>308</c:v>
                </c:pt>
                <c:pt idx="5">
                  <c:v>289.33333333333331</c:v>
                </c:pt>
                <c:pt idx="6">
                  <c:v>192.33333333333334</c:v>
                </c:pt>
                <c:pt idx="7">
                  <c:v>187.33333333333334</c:v>
                </c:pt>
                <c:pt idx="8">
                  <c:v>176.33333333333334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solicitadas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'UNIDADES_10+_últimos_3_meses'!$B$7:$D$7</c:f>
              <c:numCache>
                <c:formatCode>General</c:formatCode>
                <c:ptCount val="3"/>
                <c:pt idx="0">
                  <c:v>711</c:v>
                </c:pt>
                <c:pt idx="1">
                  <c:v>350</c:v>
                </c:pt>
                <c:pt idx="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'UNIDADES_10+_últimos_3_meses'!$B$8:$D$8</c:f>
              <c:numCache>
                <c:formatCode>General</c:formatCode>
                <c:ptCount val="3"/>
                <c:pt idx="0">
                  <c:v>560</c:v>
                </c:pt>
                <c:pt idx="1">
                  <c:v>514</c:v>
                </c:pt>
                <c:pt idx="2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'UNIDADES_10+_últimos_3_meses'!$B$9:$D$9</c:f>
              <c:numCache>
                <c:formatCode>General</c:formatCode>
                <c:ptCount val="3"/>
                <c:pt idx="0">
                  <c:v>439</c:v>
                </c:pt>
                <c:pt idx="1">
                  <c:v>398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'UNIDADES_10+_últimos_3_meses'!$A$10:$A$10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'UNIDADES_10+_últimos_3_meses'!$B$10:$D$10</c:f>
              <c:numCache>
                <c:formatCode>General</c:formatCode>
                <c:ptCount val="3"/>
                <c:pt idx="0">
                  <c:v>379</c:v>
                </c:pt>
                <c:pt idx="1">
                  <c:v>336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'UNIDADES_10+_últimos_3_meses'!$B$11:$D$11</c:f>
              <c:numCache>
                <c:formatCode>General</c:formatCode>
                <c:ptCount val="3"/>
                <c:pt idx="0">
                  <c:v>354</c:v>
                </c:pt>
                <c:pt idx="1">
                  <c:v>301</c:v>
                </c:pt>
                <c:pt idx="2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'UNIDADES_10+_últimos_3_meses'!$A$12:$A$12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'UNIDADES_10+_últimos_3_meses'!$B$12:$D$12</c:f>
              <c:numCache>
                <c:formatCode>General</c:formatCode>
                <c:ptCount val="3"/>
                <c:pt idx="0">
                  <c:v>328</c:v>
                </c:pt>
                <c:pt idx="1">
                  <c:v>266</c:v>
                </c:pt>
                <c:pt idx="2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'UNIDADES_10+_últimos_3_meses'!$A$13:$A$13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'UNIDADES_10+_últimos_3_meses'!$B$13:$D$13</c:f>
              <c:numCache>
                <c:formatCode>General</c:formatCode>
                <c:ptCount val="3"/>
                <c:pt idx="0">
                  <c:v>180</c:v>
                </c:pt>
                <c:pt idx="1">
                  <c:v>163</c:v>
                </c:pt>
                <c:pt idx="2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'UNIDADES_10+_últimos_3_meses'!$B$14:$D$14</c:f>
              <c:numCache>
                <c:formatCode>General</c:formatCode>
                <c:ptCount val="3"/>
                <c:pt idx="0">
                  <c:v>268</c:v>
                </c:pt>
                <c:pt idx="1">
                  <c:v>148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'UNIDADES_10+_últimos_3_meses'!$A$15:$A$15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'UNIDADES_10+_últimos_3_meses'!$B$15:$D$15</c:f>
              <c:numCache>
                <c:formatCode>General</c:formatCode>
                <c:ptCount val="3"/>
                <c:pt idx="0">
                  <c:v>175</c:v>
                </c:pt>
                <c:pt idx="1">
                  <c:v>159</c:v>
                </c:pt>
                <c:pt idx="2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'UNIDADES_10+_últimos_3_meses'!$A$16:$A$16</c:f>
              <c:strCache>
                <c:ptCount val="1"/>
                <c:pt idx="0">
                  <c:v>Subprefeitura Sé</c:v>
                </c:pt>
              </c:strCache>
            </c:strRef>
          </c:tx>
          <c:invertIfNegative val="0"/>
          <c:cat>
            <c:numRef>
              <c:f>'UNIDADES_10+_últimos_3_meses'!$B$6:$D$6</c:f>
              <c:numCache>
                <c:formatCode>mmm\-yy</c:formatCode>
                <c:ptCount val="3"/>
                <c:pt idx="0">
                  <c:v>45292</c:v>
                </c:pt>
                <c:pt idx="1">
                  <c:v>45261</c:v>
                </c:pt>
                <c:pt idx="2">
                  <c:v>45231</c:v>
                </c:pt>
              </c:numCache>
            </c:numRef>
          </c:cat>
          <c:val>
            <c:numRef>
              <c:f>'UNIDADES_10+_últimos_3_meses'!$B$16:$D$16</c:f>
              <c:numCache>
                <c:formatCode>General</c:formatCode>
                <c:ptCount val="3"/>
                <c:pt idx="0">
                  <c:v>77</c:v>
                </c:pt>
                <c:pt idx="1">
                  <c:v>54</c:v>
                </c:pt>
                <c:pt idx="2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 Unidades__JAN_24'!$B$22:$B$22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 Unidades__JAN_24'!$B$23:$B$25</c:f>
              <c:numCache>
                <c:formatCode>General</c:formatCode>
                <c:ptCount val="3"/>
                <c:pt idx="0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 Unidades__JAN_24'!$C$22:$C$22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 Unidades__JAN_24'!$C$23:$C$25</c:f>
              <c:numCache>
                <c:formatCode>General</c:formatCode>
                <c:ptCount val="3"/>
                <c:pt idx="0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 Unidades__JAN_24'!$D$22:$D$22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 Unidades__JAN_24'!$D$23:$D$25</c:f>
              <c:numCache>
                <c:formatCode>General</c:formatCode>
                <c:ptCount val="3"/>
                <c:pt idx="0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 Unidades__JAN_24'!$E$22:$E$22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 Unidades__JAN_24'!$E$23:$E$25</c:f>
              <c:numCache>
                <c:formatCode>General</c:formatCode>
                <c:ptCount val="3"/>
                <c:pt idx="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 Unidades__JAN_24'!$F$22:$F$22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 Unidades__JAN_24'!$F$23:$F$25</c:f>
              <c:numCache>
                <c:formatCode>General</c:formatCode>
                <c:ptCount val="3"/>
                <c:pt idx="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 Unidades__JAN_24'!$G$22:$G$22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 Unidades__JAN_24'!$G$23:$G$25</c:f>
              <c:numCache>
                <c:formatCode>General</c:formatCode>
                <c:ptCount val="3"/>
                <c:pt idx="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 Unidades__JAN_24'!$H$22:$H$22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 Unidades__JAN_24'!$H$23:$H$25</c:f>
              <c:numCache>
                <c:formatCode>General</c:formatCode>
                <c:ptCount val="3"/>
                <c:pt idx="0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 Unidades__JAN_24'!$I$22:$I$22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 Unidades__JAN_24'!$I$23:$I$25</c:f>
              <c:numCache>
                <c:formatCode>General</c:formatCode>
                <c:ptCount val="3"/>
                <c:pt idx="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 Unidades__JAN_24'!$J$22:$J$22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 Unidades__JAN_24'!$J$23:$J$25</c:f>
              <c:numCache>
                <c:formatCode>General</c:formatCode>
                <c:ptCount val="3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 Unidades__JAN_24'!$K$22:$K$22</c:f>
              <c:strCache>
                <c:ptCount val="1"/>
                <c:pt idx="0">
                  <c:v>Agência Reguladora de Serviços Públicos do Município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 Unidades__JAN_24'!$K$23:$K$25</c:f>
              <c:numCache>
                <c:formatCode>General</c:formatCode>
                <c:ptCount val="3"/>
                <c:pt idx="0">
                  <c:v>111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 Unidades__JAN_24'!$L$22:$L$22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 Unidades__JAN_24'!$L$23:$L$25</c:f>
              <c:numCache>
                <c:formatCode>#,##0</c:formatCode>
                <c:ptCount val="3"/>
                <c:pt idx="2">
                  <c:v>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solicitadas do mês de JANEIRO/24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 Unidades__JAN_24'!$B$6:$B$6</c:f>
              <c:strCache>
                <c:ptCount val="1"/>
                <c:pt idx="0">
                  <c:v>jan/24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 Unidades__JAN_24'!$A$7:$A$16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</c:v>
                </c:pt>
                <c:pt idx="4">
                  <c:v>Secretaria Municipal da Fazenda</c:v>
                </c:pt>
                <c:pt idx="5">
                  <c:v>Companhia de Engenharia de Tráfego</c:v>
                </c:pt>
                <c:pt idx="6">
                  <c:v>Secretaria Municipal de Educação</c:v>
                </c:pt>
                <c:pt idx="7">
                  <c:v>São Paulo Transportes</c:v>
                </c:pt>
                <c:pt idx="8">
                  <c:v>Órgão externo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 Unidades__JAN_24'!$B$7:$B$16</c:f>
              <c:numCache>
                <c:formatCode>General</c:formatCode>
                <c:ptCount val="10"/>
                <c:pt idx="0">
                  <c:v>711</c:v>
                </c:pt>
                <c:pt idx="1">
                  <c:v>560</c:v>
                </c:pt>
                <c:pt idx="2">
                  <c:v>439</c:v>
                </c:pt>
                <c:pt idx="3">
                  <c:v>379</c:v>
                </c:pt>
                <c:pt idx="4">
                  <c:v>354</c:v>
                </c:pt>
                <c:pt idx="5">
                  <c:v>328</c:v>
                </c:pt>
                <c:pt idx="6">
                  <c:v>268</c:v>
                </c:pt>
                <c:pt idx="7">
                  <c:v>180</c:v>
                </c:pt>
                <c:pt idx="8">
                  <c:v>175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1.790073230268511</c:v>
                </c:pt>
                <c:pt idx="1">
                  <c:v>3.9056143205858422</c:v>
                </c:pt>
                <c:pt idx="2">
                  <c:v>2.7664768104149715</c:v>
                </c:pt>
                <c:pt idx="3">
                  <c:v>2.3596419853539463</c:v>
                </c:pt>
                <c:pt idx="4">
                  <c:v>3.4987794955248166</c:v>
                </c:pt>
                <c:pt idx="5">
                  <c:v>2.8478437754271764</c:v>
                </c:pt>
                <c:pt idx="6">
                  <c:v>0.65093572009764034</c:v>
                </c:pt>
                <c:pt idx="7">
                  <c:v>0.8136696501220505</c:v>
                </c:pt>
                <c:pt idx="8">
                  <c:v>2.6037428803905613</c:v>
                </c:pt>
                <c:pt idx="9">
                  <c:v>0.56956875508543536</c:v>
                </c:pt>
                <c:pt idx="10">
                  <c:v>3.6615134255492268</c:v>
                </c:pt>
                <c:pt idx="11">
                  <c:v>1.7087062652563059</c:v>
                </c:pt>
                <c:pt idx="12">
                  <c:v>3.9056143205858422</c:v>
                </c:pt>
                <c:pt idx="13">
                  <c:v>2.4410089503661516</c:v>
                </c:pt>
                <c:pt idx="14">
                  <c:v>2.8478437754271764</c:v>
                </c:pt>
                <c:pt idx="15">
                  <c:v>7.485760781122865</c:v>
                </c:pt>
                <c:pt idx="16">
                  <c:v>1.8714401952807163</c:v>
                </c:pt>
                <c:pt idx="17">
                  <c:v>5.044751830756713</c:v>
                </c:pt>
                <c:pt idx="18">
                  <c:v>1.3832384052074858</c:v>
                </c:pt>
                <c:pt idx="19">
                  <c:v>8.0553295362082995</c:v>
                </c:pt>
                <c:pt idx="20">
                  <c:v>1.3018714401952807</c:v>
                </c:pt>
                <c:pt idx="21">
                  <c:v>4.2310821806346617</c:v>
                </c:pt>
                <c:pt idx="22">
                  <c:v>3.4987794955248166</c:v>
                </c:pt>
                <c:pt idx="23">
                  <c:v>4.6379170056956873</c:v>
                </c:pt>
                <c:pt idx="24">
                  <c:v>4.6379170056956873</c:v>
                </c:pt>
                <c:pt idx="25">
                  <c:v>2.6037428803905613</c:v>
                </c:pt>
                <c:pt idx="26">
                  <c:v>1.1391375101708707</c:v>
                </c:pt>
                <c:pt idx="27">
                  <c:v>0.56956875508543536</c:v>
                </c:pt>
                <c:pt idx="28">
                  <c:v>6.2652563059397881</c:v>
                </c:pt>
                <c:pt idx="29">
                  <c:v>4.068348250610252</c:v>
                </c:pt>
                <c:pt idx="30">
                  <c:v>5.2074857607811227</c:v>
                </c:pt>
                <c:pt idx="31">
                  <c:v>1.627339300244101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22</c:v>
                </c:pt>
                <c:pt idx="1">
                  <c:v>48</c:v>
                </c:pt>
                <c:pt idx="2">
                  <c:v>34</c:v>
                </c:pt>
                <c:pt idx="3">
                  <c:v>29</c:v>
                </c:pt>
                <c:pt idx="4">
                  <c:v>43</c:v>
                </c:pt>
                <c:pt idx="5">
                  <c:v>35</c:v>
                </c:pt>
                <c:pt idx="6">
                  <c:v>8</c:v>
                </c:pt>
                <c:pt idx="7">
                  <c:v>10</c:v>
                </c:pt>
                <c:pt idx="8">
                  <c:v>32</c:v>
                </c:pt>
                <c:pt idx="9">
                  <c:v>7</c:v>
                </c:pt>
                <c:pt idx="10">
                  <c:v>45</c:v>
                </c:pt>
                <c:pt idx="11">
                  <c:v>21</c:v>
                </c:pt>
                <c:pt idx="12">
                  <c:v>48</c:v>
                </c:pt>
                <c:pt idx="13">
                  <c:v>30</c:v>
                </c:pt>
                <c:pt idx="14">
                  <c:v>35</c:v>
                </c:pt>
                <c:pt idx="15">
                  <c:v>92</c:v>
                </c:pt>
                <c:pt idx="16">
                  <c:v>23</c:v>
                </c:pt>
                <c:pt idx="17">
                  <c:v>62</c:v>
                </c:pt>
                <c:pt idx="18">
                  <c:v>17</c:v>
                </c:pt>
                <c:pt idx="19">
                  <c:v>99</c:v>
                </c:pt>
                <c:pt idx="20">
                  <c:v>16</c:v>
                </c:pt>
                <c:pt idx="21">
                  <c:v>52</c:v>
                </c:pt>
                <c:pt idx="22">
                  <c:v>43</c:v>
                </c:pt>
                <c:pt idx="23">
                  <c:v>57</c:v>
                </c:pt>
                <c:pt idx="24">
                  <c:v>57</c:v>
                </c:pt>
                <c:pt idx="25">
                  <c:v>32</c:v>
                </c:pt>
                <c:pt idx="26">
                  <c:v>14</c:v>
                </c:pt>
                <c:pt idx="27">
                  <c:v>7</c:v>
                </c:pt>
                <c:pt idx="28">
                  <c:v>77</c:v>
                </c:pt>
                <c:pt idx="29">
                  <c:v>50</c:v>
                </c:pt>
                <c:pt idx="30">
                  <c:v>64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3.6692321460533384</c:v>
                </c:pt>
                <c:pt idx="1">
                  <c:v>1.2529085376767497</c:v>
                </c:pt>
                <c:pt idx="2">
                  <c:v>89.547163057096839</c:v>
                </c:pt>
                <c:pt idx="3">
                  <c:v>4.0272060139609804</c:v>
                </c:pt>
                <c:pt idx="4">
                  <c:v>1.5034902452120995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8203346688500666"/>
          <c:y val="0.18582920756125074"/>
          <c:w val="0.29141841362943449"/>
          <c:h val="0.7315195645198879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Penha</c:v>
                </c:pt>
                <c:pt idx="1">
                  <c:v>Lapa</c:v>
                </c:pt>
                <c:pt idx="2">
                  <c:v>Sé</c:v>
                </c:pt>
                <c:pt idx="3">
                  <c:v>Vila Mariana</c:v>
                </c:pt>
                <c:pt idx="4">
                  <c:v>Mooca</c:v>
                </c:pt>
                <c:pt idx="5">
                  <c:v>Santana/Tucuruvi</c:v>
                </c:pt>
                <c:pt idx="6">
                  <c:v>Santo Amaro</c:v>
                </c:pt>
                <c:pt idx="7">
                  <c:v>Pinheiros</c:v>
                </c:pt>
                <c:pt idx="8">
                  <c:v>Vila Maria/Vila Guilherme</c:v>
                </c:pt>
                <c:pt idx="9">
                  <c:v>Butantã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99</c:v>
                </c:pt>
                <c:pt idx="1">
                  <c:v>92</c:v>
                </c:pt>
                <c:pt idx="2">
                  <c:v>77</c:v>
                </c:pt>
                <c:pt idx="3">
                  <c:v>64</c:v>
                </c:pt>
                <c:pt idx="4">
                  <c:v>62</c:v>
                </c:pt>
                <c:pt idx="5">
                  <c:v>57</c:v>
                </c:pt>
                <c:pt idx="6">
                  <c:v>57</c:v>
                </c:pt>
                <c:pt idx="7">
                  <c:v>52</c:v>
                </c:pt>
                <c:pt idx="8">
                  <c:v>50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JANEIRO/24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Penha</c:v>
                </c:pt>
                <c:pt idx="1">
                  <c:v>Lapa</c:v>
                </c:pt>
                <c:pt idx="2">
                  <c:v>Sé</c:v>
                </c:pt>
                <c:pt idx="3">
                  <c:v>Vila Mariana</c:v>
                </c:pt>
                <c:pt idx="4">
                  <c:v>Mooca</c:v>
                </c:pt>
                <c:pt idx="5">
                  <c:v>Santana/Tucuruvi</c:v>
                </c:pt>
                <c:pt idx="6">
                  <c:v>Santo Amaro</c:v>
                </c:pt>
                <c:pt idx="7">
                  <c:v>Pinheiros</c:v>
                </c:pt>
                <c:pt idx="8">
                  <c:v>Vila Maria/Vila Guilherme</c:v>
                </c:pt>
                <c:pt idx="9">
                  <c:v>Butantã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8.0553295362082995</c:v>
                </c:pt>
                <c:pt idx="1">
                  <c:v>7.4857607811228641</c:v>
                </c:pt>
                <c:pt idx="2">
                  <c:v>6.2652563059397881</c:v>
                </c:pt>
                <c:pt idx="3">
                  <c:v>5.2074857607811227</c:v>
                </c:pt>
                <c:pt idx="4">
                  <c:v>5.044751830756713</c:v>
                </c:pt>
                <c:pt idx="5">
                  <c:v>4.6379170056956873</c:v>
                </c:pt>
                <c:pt idx="6">
                  <c:v>4.6379170056956873</c:v>
                </c:pt>
                <c:pt idx="7">
                  <c:v>4.2310821806346626</c:v>
                </c:pt>
                <c:pt idx="8">
                  <c:v>4.068348250610252</c:v>
                </c:pt>
                <c:pt idx="9">
                  <c:v>3.9056143205858422</c:v>
                </c:pt>
                <c:pt idx="10">
                  <c:v>46.460537021969081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A-441C-818B-EC77E9C654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2A-441C-818B-EC77E9C654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2A-441C-818B-EC77E9C65453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2A-441C-818B-EC77E9C65453}"/>
            </c:ext>
          </c:extLst>
        </c:ser>
        <c:ser>
          <c:idx val="1"/>
          <c:order val="1"/>
          <c:tx>
            <c:strRef>
              <c:f>Denúncia_Protocolos_2024!$A$7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2A-441C-818B-EC77E9C65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F2E7-4CEC-AC59-C7D5DE37EA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F2E7-4CEC-AC59-C7D5DE37EA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F2E7-4CEC-AC59-C7D5DE37EA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F2E7-4CEC-AC59-C7D5DE37EA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F2E7-4CEC-AC59-C7D5DE37EA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F2E7-4CEC-AC59-C7D5DE37EA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F2E7-4CEC-AC59-C7D5DE37EA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F2E7-4CEC-AC59-C7D5DE37EAE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F2E7-4CEC-AC59-C7D5DE37EAE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F2E7-4CEC-AC59-C7D5DE37EAE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F2E7-4CEC-AC59-C7D5DE37EAEC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2E7-4CEC-AC59-C7D5DE37EAEC}"/>
            </c:ext>
          </c:extLst>
        </c:ser>
        <c:ser>
          <c:idx val="1"/>
          <c:order val="1"/>
          <c:tx>
            <c:strRef>
              <c:f>Denúncia_Protocolos_2024!$A$13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2E7-4CEC-AC59-C7D5DE37E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07-4C40-8D0E-E4989E8C0D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07-4C40-8D0E-E4989E8C0D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127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07-4C40-8D0E-E4989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34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4D6-A7D7-F5517051DB6B}"/>
            </c:ext>
          </c:extLst>
        </c:ser>
        <c:ser>
          <c:idx val="1"/>
          <c:order val="1"/>
          <c:tx>
            <c:strRef>
              <c:f>Denúncia_Protocolos_2024!$A$63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57</c:v>
                </c:pt>
                <c:pt idx="3">
                  <c:v>3</c:v>
                </c:pt>
                <c:pt idx="4">
                  <c:v>27</c:v>
                </c:pt>
                <c:pt idx="5">
                  <c:v>25</c:v>
                </c:pt>
                <c:pt idx="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B-44D6-A7D7-F5517051D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25C-424D-90C0-D0077D3C4DB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25C-424D-90C0-D0077D3C4D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25C-424D-90C0-D0077D3C4DB2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5C-424D-90C0-D0077D3C4DB2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C-424D-90C0-D0077D3C4DB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44.876325088339222</c:v>
                </c:pt>
                <c:pt idx="1">
                  <c:v>24.734982332155479</c:v>
                </c:pt>
                <c:pt idx="2">
                  <c:v>2.8268551236749118</c:v>
                </c:pt>
                <c:pt idx="3">
                  <c:v>27.561837455830389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Denúncia_Protocolos_2024!$Q$10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F25C-424D-90C0-D0077D3C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JANEIRO/2024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Denúncia_Unidades_2024!$A$77:$D$77</c:f>
              <c:numCache>
                <c:formatCode>General</c:formatCode>
                <c:ptCount val="4"/>
                <c:pt idx="0">
                  <c:v>127</c:v>
                </c:pt>
                <c:pt idx="1">
                  <c:v>70</c:v>
                </c:pt>
                <c:pt idx="2">
                  <c:v>8</c:v>
                </c:pt>
                <c:pt idx="3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F-4E68-A5E2-E0181A85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SF</c:v>
                </c:pt>
                <c:pt idx="2">
                  <c:v>SPTrans</c:v>
                </c:pt>
                <c:pt idx="3">
                  <c:v>CET</c:v>
                </c:pt>
                <c:pt idx="4">
                  <c:v>SME</c:v>
                </c:pt>
                <c:pt idx="5">
                  <c:v>SMUL</c:v>
                </c:pt>
                <c:pt idx="6">
                  <c:v>SMSUB</c:v>
                </c:pt>
                <c:pt idx="7">
                  <c:v>SVMA</c:v>
                </c:pt>
                <c:pt idx="8">
                  <c:v>COHAB</c:v>
                </c:pt>
                <c:pt idx="9">
                  <c:v>SMIT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82</c:v>
                </c:pt>
                <c:pt idx="1">
                  <c:v>48</c:v>
                </c:pt>
                <c:pt idx="2">
                  <c:v>45</c:v>
                </c:pt>
                <c:pt idx="3">
                  <c:v>37</c:v>
                </c:pt>
                <c:pt idx="4">
                  <c:v>29</c:v>
                </c:pt>
                <c:pt idx="5">
                  <c:v>24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JANEIRO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'e-SIC_2024'!$AE$22</c:f>
              <c:strCache>
                <c:ptCount val="1"/>
                <c:pt idx="0">
                  <c:v>jan/24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('e-SIC_2024'!$AE$27,'e-SIC_2024'!$AE$33,'e-SIC_2024'!$AE$39,'e-SIC_2024'!$AE$42,'e-SIC_2024'!$AE$47)</c:f>
              <c:numCache>
                <c:formatCode>General</c:formatCode>
                <c:ptCount val="5"/>
                <c:pt idx="0">
                  <c:v>497</c:v>
                </c:pt>
                <c:pt idx="1">
                  <c:v>30</c:v>
                </c:pt>
                <c:pt idx="2">
                  <c:v>46</c:v>
                </c:pt>
                <c:pt idx="3">
                  <c:v>29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6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- 2024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JANEIRO/2024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45292</c:v>
                </c:pt>
              </c:numCache>
            </c:numRef>
          </c:cat>
          <c:val>
            <c:numRef>
              <c:f>Canais_atendimento!$M$5</c:f>
              <c:numCache>
                <c:formatCode>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45292</c:v>
                </c:pt>
              </c:numCache>
            </c:numRef>
          </c:cat>
          <c:val>
            <c:numRef>
              <c:f>Canais_atendimento!$M$6</c:f>
              <c:numCache>
                <c:formatCode>0</c:formatCode>
                <c:ptCount val="1"/>
                <c:pt idx="0">
                  <c:v>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45292</c:v>
                </c:pt>
              </c:numCache>
            </c:numRef>
          </c:cat>
          <c:val>
            <c:numRef>
              <c:f>Canais_atendimento!$M$7</c:f>
              <c:numCache>
                <c:formatCode>0</c:formatCode>
                <c:ptCount val="1"/>
                <c:pt idx="0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45292</c:v>
                </c:pt>
              </c:numCache>
            </c:numRef>
          </c:cat>
          <c:val>
            <c:numRef>
              <c:f>Canais_atendimento!$M$8</c:f>
              <c:numCache>
                <c:formatCode>0</c:formatCode>
                <c:ptCount val="1"/>
                <c:pt idx="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45292</c:v>
                </c:pt>
              </c:numCache>
            </c:numRef>
          </c:cat>
          <c:val>
            <c:numRef>
              <c:f>Canais_atendimento!$M$9</c:f>
              <c:numCache>
                <c:formatCode>0</c:formatCode>
                <c:ptCount val="1"/>
                <c:pt idx="0">
                  <c:v>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45292</c:v>
                </c:pt>
              </c:numCache>
            </c:numRef>
          </c:cat>
          <c:val>
            <c:numRef>
              <c:f>Canais_atendimento!$M$10</c:f>
              <c:numCache>
                <c:formatCode>0</c:formatCode>
                <c:ptCount val="1"/>
                <c:pt idx="0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25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  <c:w val="0.32988125133007024"/>
          <c:h val="0.747181476342856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- 2024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JAN/24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0.19688562734920351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JAN/24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34.24020046536603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JAN/24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21.818507248970825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JAN/24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2.8279935564703775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JAN/24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36.477537139788794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JAN/24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4.4388759620547704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assuntos mais solicitados - Média/2024</a:t>
            </a:r>
          </a:p>
        </c:rich>
      </c:tx>
      <c:layout>
        <c:manualLayout>
          <c:xMode val="edge"/>
          <c:yMode val="edge"/>
          <c:x val="0.29467690456362094"/>
          <c:y val="1.3823823203201961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Árvore</c:v>
                </c:pt>
                <c:pt idx="2">
                  <c:v>Buraco e Pavimentação</c:v>
                </c:pt>
                <c:pt idx="3">
                  <c:v>Processo Administrativo</c:v>
                </c:pt>
                <c:pt idx="4">
                  <c:v>Qualidade de atendimento</c:v>
                </c:pt>
                <c:pt idx="5">
                  <c:v>Órgão externo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552</c:v>
                </c:pt>
                <c:pt idx="1">
                  <c:v>349</c:v>
                </c:pt>
                <c:pt idx="2">
                  <c:v>329</c:v>
                </c:pt>
                <c:pt idx="3">
                  <c:v>212</c:v>
                </c:pt>
                <c:pt idx="4">
                  <c:v>197</c:v>
                </c:pt>
                <c:pt idx="5">
                  <c:v>175</c:v>
                </c:pt>
                <c:pt idx="6">
                  <c:v>174</c:v>
                </c:pt>
                <c:pt idx="7">
                  <c:v>166</c:v>
                </c:pt>
                <c:pt idx="8">
                  <c:v>162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JAN/24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Árvore</c:v>
                </c:pt>
                <c:pt idx="2">
                  <c:v>Buraco e Pavimentação</c:v>
                </c:pt>
                <c:pt idx="3">
                  <c:v>Processo Administrativo</c:v>
                </c:pt>
                <c:pt idx="4">
                  <c:v>Qualidade de atendimento</c:v>
                </c:pt>
                <c:pt idx="5">
                  <c:v>Órgão externo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Capinação e roçada de áreas verdes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10.256410256410257</c:v>
                </c:pt>
                <c:pt idx="1">
                  <c:v>6.4845782237086587</c:v>
                </c:pt>
                <c:pt idx="2">
                  <c:v>6.1129691564474173</c:v>
                </c:pt>
                <c:pt idx="3">
                  <c:v>3.9390561129691566</c:v>
                </c:pt>
                <c:pt idx="4">
                  <c:v>3.6603493125232256</c:v>
                </c:pt>
                <c:pt idx="5">
                  <c:v>3.2515793385358602</c:v>
                </c:pt>
                <c:pt idx="6">
                  <c:v>3.2329988851727984</c:v>
                </c:pt>
                <c:pt idx="7">
                  <c:v>3.0843552582683018</c:v>
                </c:pt>
                <c:pt idx="8">
                  <c:v>3.0100334448160537</c:v>
                </c:pt>
                <c:pt idx="9">
                  <c:v>2.8428093645484949</c:v>
                </c:pt>
                <c:pt idx="10">
                  <c:v>54.124860646599778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Estabelecimentos comerciais, indústrias e serviços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Órgão externo</c:v>
                </c:pt>
                <c:pt idx="7">
                  <c:v>Processo Administrativo</c:v>
                </c:pt>
                <c:pt idx="8">
                  <c:v>Sinalização e Circulação de veículos e Pedestres</c:v>
                </c:pt>
                <c:pt idx="9">
                  <c:v>Calçadas, guias e postes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427.66666666666669</c:v>
                </c:pt>
                <c:pt idx="1">
                  <c:v>312.33333333333331</c:v>
                </c:pt>
                <c:pt idx="2">
                  <c:v>288.33333333333331</c:v>
                </c:pt>
                <c:pt idx="3">
                  <c:v>286.66666666666669</c:v>
                </c:pt>
                <c:pt idx="4">
                  <c:v>205.66666666666666</c:v>
                </c:pt>
                <c:pt idx="5">
                  <c:v>185.66666666666666</c:v>
                </c:pt>
                <c:pt idx="6">
                  <c:v>176</c:v>
                </c:pt>
                <c:pt idx="7">
                  <c:v>172.33333333333334</c:v>
                </c:pt>
                <c:pt idx="8">
                  <c:v>142.33333333333334</c:v>
                </c:pt>
                <c:pt idx="9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5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0</xdr:rowOff>
        </xdr:from>
        <xdr:to>
          <xdr:col>16</xdr:col>
          <xdr:colOff>552450</xdr:colOff>
          <xdr:row>64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solicitadas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45245</xdr:colOff>
      <xdr:row>31</xdr:row>
      <xdr:rowOff>21430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0"/>
          <a:ext cx="4769645" cy="2307430"/>
        </a:xfrm>
        <a:prstGeom prst="rect">
          <a:avLst/>
        </a:prstGeom>
        <a:ln w="19050" cmpd="sng">
          <a:solidFill>
            <a:schemeClr val="tx1">
              <a:lumMod val="50000"/>
              <a:lumOff val="50000"/>
            </a:schemeClr>
          </a:solidFill>
        </a:ln>
        <a:effectLst>
          <a:softEdge rad="12700"/>
        </a:effec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5</xdr:col>
      <xdr:colOff>330994</xdr:colOff>
      <xdr:row>43</xdr:row>
      <xdr:rowOff>63308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96000"/>
          <a:ext cx="4674394" cy="2158808"/>
        </a:xfrm>
        <a:prstGeom prst="rect">
          <a:avLst/>
        </a:prstGeom>
        <a:ln w="19050" cmpd="sng">
          <a:solidFill>
            <a:schemeClr val="tx1">
              <a:lumMod val="50000"/>
              <a:lumOff val="50000"/>
            </a:schemeClr>
          </a:solidFill>
        </a:ln>
        <a:effectLst>
          <a:softEdge rad="12700"/>
        </a:effec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5</xdr:col>
      <xdr:colOff>330994</xdr:colOff>
      <xdr:row>17</xdr:row>
      <xdr:rowOff>10085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52500"/>
          <a:ext cx="4674394" cy="2296085"/>
        </a:xfrm>
        <a:prstGeom prst="rect">
          <a:avLst/>
        </a:prstGeom>
        <a:ln w="19050" cmpd="sng">
          <a:solidFill>
            <a:schemeClr val="tx1">
              <a:lumMod val="50000"/>
              <a:lumOff val="50000"/>
            </a:schemeClr>
          </a:solidFill>
        </a:ln>
        <a:effectLst>
          <a:softEdge rad="12700"/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133350</xdr:colOff>
      <xdr:row>17</xdr:row>
      <xdr:rowOff>101600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10</xdr:col>
          <xdr:colOff>180975</xdr:colOff>
          <xdr:row>38</xdr:row>
          <xdr:rowOff>95250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14</xdr:row>
      <xdr:rowOff>104774</xdr:rowOff>
    </xdr:from>
    <xdr:to>
      <xdr:col>15</xdr:col>
      <xdr:colOff>590549</xdr:colOff>
      <xdr:row>30</xdr:row>
      <xdr:rowOff>57150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78335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785024" y="2671085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JANEIRO/2024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76198</xdr:colOff>
      <xdr:row>17</xdr:row>
      <xdr:rowOff>98422</xdr:rowOff>
    </xdr:from>
    <xdr:ext cx="5532970" cy="3648079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0257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janeiro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JANEIRO/24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445288</xdr:colOff>
      <xdr:row>17</xdr:row>
      <xdr:rowOff>64293</xdr:rowOff>
    </xdr:from>
    <xdr:ext cx="6496055" cy="3936207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7800705" y="3810793"/>
          <a:ext cx="6496055" cy="3936207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solicitados - Média/2024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JAN/24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solicitadas do mês de janeiro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JANEIRO/24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5.emf"/><Relationship Id="rId4" Type="http://schemas.openxmlformats.org/officeDocument/2006/relationships/package" Target="../embeddings/Documento_do_Microsoft_Word1.docx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tabSelected="1" topLeftCell="A10" zoomScaleNormal="100" workbookViewId="0">
      <selection activeCell="U27" sqref="U27"/>
    </sheetView>
  </sheetViews>
  <sheetFormatPr defaultRowHeight="15"/>
  <cols>
    <col min="1" max="1" width="9.140625" customWidth="1"/>
  </cols>
  <sheetData>
    <row r="1" spans="17:17">
      <c r="Q1" t="s">
        <v>319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104775</xdr:colOff>
                <xdr:row>0</xdr:row>
                <xdr:rowOff>0</xdr:rowOff>
              </from>
              <to>
                <xdr:col>16</xdr:col>
                <xdr:colOff>552450</xdr:colOff>
                <xdr:row>64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/>
  </sheetViews>
  <sheetFormatPr defaultColWidth="5.5703125" defaultRowHeight="14.25"/>
  <cols>
    <col min="1" max="1" width="68.85546875" style="109" customWidth="1"/>
    <col min="2" max="2" width="7.5703125" style="110" bestFit="1" customWidth="1"/>
    <col min="3" max="3" width="7.7109375" style="110" bestFit="1" customWidth="1"/>
    <col min="4" max="4" width="7.140625" style="110" bestFit="1" customWidth="1"/>
    <col min="5" max="5" width="7" style="110" bestFit="1" customWidth="1"/>
    <col min="6" max="6" width="7.5703125" style="110" bestFit="1" customWidth="1"/>
    <col min="7" max="7" width="6.7109375" style="98" bestFit="1" customWidth="1"/>
    <col min="8" max="8" width="7" style="110" bestFit="1" customWidth="1"/>
    <col min="9" max="9" width="7.28515625" style="110" bestFit="1" customWidth="1"/>
    <col min="10" max="10" width="7.140625" style="110" bestFit="1" customWidth="1"/>
    <col min="11" max="11" width="7.5703125" style="110" bestFit="1" customWidth="1"/>
    <col min="12" max="12" width="7.140625" style="111" bestFit="1" customWidth="1"/>
    <col min="13" max="13" width="7.85546875" style="110" customWidth="1"/>
    <col min="14" max="14" width="9.7109375" style="110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40"/>
      <c r="C1" s="140"/>
      <c r="D1" s="140"/>
      <c r="E1" s="140"/>
      <c r="F1" s="140"/>
      <c r="G1" s="95"/>
      <c r="H1" s="140"/>
      <c r="I1" s="140"/>
      <c r="J1" s="140"/>
      <c r="K1" s="140"/>
      <c r="L1" s="110"/>
      <c r="M1" s="111"/>
      <c r="N1" s="111"/>
      <c r="O1" s="9"/>
      <c r="P1" s="9"/>
    </row>
    <row r="2" spans="1:16" customFormat="1" ht="15">
      <c r="A2" s="141" t="s">
        <v>1</v>
      </c>
      <c r="B2" s="6"/>
      <c r="C2" s="6"/>
      <c r="D2" s="6"/>
      <c r="E2" s="6"/>
      <c r="F2" s="6"/>
      <c r="G2" s="72"/>
      <c r="H2" s="6"/>
      <c r="I2" s="6"/>
      <c r="J2" s="6"/>
      <c r="K2" s="6"/>
      <c r="L2" s="110"/>
      <c r="M2" s="111"/>
      <c r="N2" s="111"/>
      <c r="O2" s="9"/>
      <c r="P2" s="9"/>
    </row>
    <row r="3" spans="1:16" customFormat="1" ht="15.75" thickBot="1">
      <c r="A3" s="109"/>
      <c r="B3" s="110"/>
      <c r="C3" s="110"/>
      <c r="D3" s="110"/>
      <c r="E3" s="110"/>
      <c r="F3" s="110"/>
      <c r="G3" s="98"/>
      <c r="H3" s="110"/>
      <c r="I3" s="110"/>
      <c r="J3" s="110"/>
      <c r="K3" s="110"/>
      <c r="L3" s="110"/>
      <c r="M3" s="111"/>
      <c r="N3" s="111"/>
      <c r="O3" s="9"/>
      <c r="P3" s="9"/>
    </row>
    <row r="4" spans="1:16" customFormat="1" ht="15.75" thickBot="1">
      <c r="A4" s="142" t="s">
        <v>205</v>
      </c>
      <c r="B4" s="20">
        <v>45627</v>
      </c>
      <c r="C4" s="17">
        <v>45597</v>
      </c>
      <c r="D4" s="20">
        <v>45566</v>
      </c>
      <c r="E4" s="18">
        <v>45536</v>
      </c>
      <c r="F4" s="55">
        <v>45505</v>
      </c>
      <c r="G4" s="55">
        <v>45474</v>
      </c>
      <c r="H4" s="55">
        <v>45444</v>
      </c>
      <c r="I4" s="143">
        <v>45413</v>
      </c>
      <c r="J4" s="136">
        <v>45383</v>
      </c>
      <c r="K4" s="136">
        <v>45352</v>
      </c>
      <c r="L4" s="136">
        <v>45323</v>
      </c>
      <c r="M4" s="136">
        <v>45292</v>
      </c>
      <c r="N4" s="144" t="s">
        <v>5</v>
      </c>
      <c r="O4" s="145" t="s">
        <v>6</v>
      </c>
      <c r="P4" s="53" t="s">
        <v>25</v>
      </c>
    </row>
    <row r="5" spans="1:16" customFormat="1" ht="15">
      <c r="A5" s="146" t="s">
        <v>212</v>
      </c>
      <c r="B5" s="147"/>
      <c r="C5" s="27"/>
      <c r="D5" s="25"/>
      <c r="E5" s="25"/>
      <c r="F5" s="25"/>
      <c r="G5" s="25"/>
      <c r="H5" s="26"/>
      <c r="I5" s="25"/>
      <c r="J5" s="27"/>
      <c r="K5" s="27"/>
      <c r="L5" s="27"/>
      <c r="M5" s="27">
        <v>111</v>
      </c>
      <c r="N5" s="148">
        <f t="shared" ref="N5:N36" si="0">SUM(B5:M5)</f>
        <v>111</v>
      </c>
      <c r="O5" s="149">
        <f t="shared" ref="O5:O36" si="1">AVERAGE(B5:M5)</f>
        <v>111</v>
      </c>
      <c r="P5" s="150">
        <f t="shared" ref="P5:P36" si="2">(N5/$N$71)*100</f>
        <v>2.0624303232998886</v>
      </c>
    </row>
    <row r="6" spans="1:16" customFormat="1" ht="15">
      <c r="A6" s="151" t="s">
        <v>213</v>
      </c>
      <c r="B6" s="152"/>
      <c r="C6" s="37"/>
      <c r="D6" s="27"/>
      <c r="E6" s="27"/>
      <c r="F6" s="27"/>
      <c r="G6" s="37"/>
      <c r="H6" s="38"/>
      <c r="I6" s="37"/>
      <c r="J6" s="37"/>
      <c r="K6" s="37"/>
      <c r="L6" s="37"/>
      <c r="M6" s="37">
        <v>0</v>
      </c>
      <c r="N6" s="153">
        <f t="shared" si="0"/>
        <v>0</v>
      </c>
      <c r="O6" s="149">
        <f t="shared" si="1"/>
        <v>0</v>
      </c>
      <c r="P6" s="150">
        <f t="shared" si="2"/>
        <v>0</v>
      </c>
    </row>
    <row r="7" spans="1:16" customFormat="1" ht="15">
      <c r="A7" s="151" t="s">
        <v>214</v>
      </c>
      <c r="B7" s="154"/>
      <c r="C7" s="37"/>
      <c r="D7" s="37"/>
      <c r="E7" s="37"/>
      <c r="F7" s="37"/>
      <c r="G7" s="37"/>
      <c r="H7" s="38"/>
      <c r="I7" s="37"/>
      <c r="J7" s="37"/>
      <c r="K7" s="37"/>
      <c r="L7" s="37"/>
      <c r="M7" s="37">
        <v>328</v>
      </c>
      <c r="N7" s="153">
        <f t="shared" si="0"/>
        <v>328</v>
      </c>
      <c r="O7" s="149">
        <f t="shared" si="1"/>
        <v>328</v>
      </c>
      <c r="P7" s="150">
        <f t="shared" si="2"/>
        <v>6.0943887030843555</v>
      </c>
    </row>
    <row r="8" spans="1:16" customFormat="1" ht="15">
      <c r="A8" s="151" t="s">
        <v>215</v>
      </c>
      <c r="B8" s="154"/>
      <c r="C8" s="37"/>
      <c r="D8" s="37"/>
      <c r="E8" s="37"/>
      <c r="F8" s="37"/>
      <c r="G8" s="37"/>
      <c r="H8" s="38"/>
      <c r="I8" s="37"/>
      <c r="J8" s="37"/>
      <c r="K8" s="37"/>
      <c r="L8" s="37"/>
      <c r="M8" s="37">
        <v>11</v>
      </c>
      <c r="N8" s="153">
        <f t="shared" si="0"/>
        <v>11</v>
      </c>
      <c r="O8" s="149">
        <f t="shared" si="1"/>
        <v>11</v>
      </c>
      <c r="P8" s="150">
        <f t="shared" si="2"/>
        <v>0.20438498699368265</v>
      </c>
    </row>
    <row r="9" spans="1:16" customFormat="1" ht="15">
      <c r="A9" s="151" t="s">
        <v>216</v>
      </c>
      <c r="B9" s="154"/>
      <c r="C9" s="37"/>
      <c r="D9" s="37"/>
      <c r="E9" s="37"/>
      <c r="F9" s="37"/>
      <c r="G9" s="37"/>
      <c r="H9" s="38"/>
      <c r="I9" s="37"/>
      <c r="J9" s="37"/>
      <c r="K9" s="37"/>
      <c r="L9" s="37"/>
      <c r="M9" s="37">
        <v>52</v>
      </c>
      <c r="N9" s="153">
        <f t="shared" si="0"/>
        <v>52</v>
      </c>
      <c r="O9" s="149">
        <f t="shared" si="1"/>
        <v>52</v>
      </c>
      <c r="P9" s="150">
        <f t="shared" si="2"/>
        <v>0.96618357487922701</v>
      </c>
    </row>
    <row r="10" spans="1:16" customFormat="1" ht="15">
      <c r="A10" s="151" t="s">
        <v>217</v>
      </c>
      <c r="B10" s="154"/>
      <c r="C10" s="37"/>
      <c r="D10" s="37"/>
      <c r="E10" s="37"/>
      <c r="F10" s="37"/>
      <c r="G10" s="37"/>
      <c r="H10" s="38"/>
      <c r="I10" s="37"/>
      <c r="J10" s="37"/>
      <c r="K10" s="37"/>
      <c r="L10" s="37"/>
      <c r="M10" s="37">
        <v>1</v>
      </c>
      <c r="N10" s="153">
        <f t="shared" si="0"/>
        <v>1</v>
      </c>
      <c r="O10" s="149">
        <f t="shared" si="1"/>
        <v>1</v>
      </c>
      <c r="P10" s="150">
        <f t="shared" si="2"/>
        <v>1.858045336306206E-2</v>
      </c>
    </row>
    <row r="11" spans="1:16" customFormat="1" ht="15">
      <c r="A11" s="151" t="s">
        <v>144</v>
      </c>
      <c r="B11" s="154"/>
      <c r="C11" s="37"/>
      <c r="D11" s="37"/>
      <c r="E11" s="37"/>
      <c r="F11" s="37"/>
      <c r="G11" s="37"/>
      <c r="H11" s="38"/>
      <c r="I11" s="37"/>
      <c r="J11" s="37"/>
      <c r="K11" s="37"/>
      <c r="L11" s="37"/>
      <c r="M11" s="37">
        <v>175</v>
      </c>
      <c r="N11" s="153">
        <f t="shared" si="0"/>
        <v>175</v>
      </c>
      <c r="O11" s="149">
        <f t="shared" si="1"/>
        <v>175</v>
      </c>
      <c r="P11" s="150">
        <f t="shared" si="2"/>
        <v>3.2515793385358602</v>
      </c>
    </row>
    <row r="12" spans="1:16" customFormat="1" ht="15">
      <c r="A12" s="151" t="s">
        <v>218</v>
      </c>
      <c r="B12" s="15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>
        <v>49</v>
      </c>
      <c r="N12" s="153">
        <f t="shared" si="0"/>
        <v>49</v>
      </c>
      <c r="O12" s="149">
        <f t="shared" si="1"/>
        <v>49</v>
      </c>
      <c r="P12" s="150">
        <f t="shared" si="2"/>
        <v>0.91044221479004084</v>
      </c>
    </row>
    <row r="13" spans="1:16" customFormat="1" ht="15">
      <c r="A13" s="151" t="s">
        <v>219</v>
      </c>
      <c r="B13" s="15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>
        <v>0</v>
      </c>
      <c r="N13" s="153">
        <f t="shared" si="0"/>
        <v>0</v>
      </c>
      <c r="O13" s="149">
        <f t="shared" si="1"/>
        <v>0</v>
      </c>
      <c r="P13" s="150">
        <f t="shared" si="2"/>
        <v>0</v>
      </c>
    </row>
    <row r="14" spans="1:16" customFormat="1" ht="15">
      <c r="A14" s="151" t="s">
        <v>220</v>
      </c>
      <c r="B14" s="15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>
        <v>180</v>
      </c>
      <c r="N14" s="153">
        <f t="shared" si="0"/>
        <v>180</v>
      </c>
      <c r="O14" s="149">
        <f t="shared" si="1"/>
        <v>180</v>
      </c>
      <c r="P14" s="150">
        <f t="shared" si="2"/>
        <v>3.3444816053511706</v>
      </c>
    </row>
    <row r="15" spans="1:16" customFormat="1" ht="15">
      <c r="A15" s="151" t="s">
        <v>221</v>
      </c>
      <c r="B15" s="154"/>
      <c r="C15" s="37"/>
      <c r="D15" s="37"/>
      <c r="E15" s="37"/>
      <c r="F15" s="37"/>
      <c r="G15" s="37"/>
      <c r="H15" s="38"/>
      <c r="I15" s="37"/>
      <c r="J15" s="37"/>
      <c r="K15" s="37"/>
      <c r="L15" s="37"/>
      <c r="M15" s="37">
        <v>0</v>
      </c>
      <c r="N15" s="153">
        <f t="shared" si="0"/>
        <v>0</v>
      </c>
      <c r="O15" s="149">
        <f t="shared" si="1"/>
        <v>0</v>
      </c>
      <c r="P15" s="150">
        <f t="shared" si="2"/>
        <v>0</v>
      </c>
    </row>
    <row r="16" spans="1:16" customFormat="1" ht="15">
      <c r="A16" s="151" t="s">
        <v>222</v>
      </c>
      <c r="B16" s="154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>
        <v>1</v>
      </c>
      <c r="N16" s="153">
        <f t="shared" si="0"/>
        <v>1</v>
      </c>
      <c r="O16" s="149">
        <f t="shared" si="1"/>
        <v>1</v>
      </c>
      <c r="P16" s="150">
        <f t="shared" si="2"/>
        <v>1.858045336306206E-2</v>
      </c>
    </row>
    <row r="17" spans="1:16" customFormat="1" ht="15" customHeight="1">
      <c r="A17" s="151" t="s">
        <v>223</v>
      </c>
      <c r="B17" s="15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>
        <v>15</v>
      </c>
      <c r="N17" s="153">
        <f t="shared" si="0"/>
        <v>15</v>
      </c>
      <c r="O17" s="149">
        <f t="shared" si="1"/>
        <v>15</v>
      </c>
      <c r="P17" s="150">
        <f t="shared" si="2"/>
        <v>0.27870680044593088</v>
      </c>
    </row>
    <row r="18" spans="1:16" customFormat="1" ht="15">
      <c r="A18" s="151" t="s">
        <v>224</v>
      </c>
      <c r="B18" s="154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>
        <v>379</v>
      </c>
      <c r="N18" s="153">
        <f t="shared" si="0"/>
        <v>379</v>
      </c>
      <c r="O18" s="149">
        <f t="shared" si="1"/>
        <v>379</v>
      </c>
      <c r="P18" s="150">
        <f t="shared" si="2"/>
        <v>7.0419918246005198</v>
      </c>
    </row>
    <row r="19" spans="1:16" customFormat="1" ht="15">
      <c r="A19" s="151" t="s">
        <v>225</v>
      </c>
      <c r="B19" s="154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>
        <v>354</v>
      </c>
      <c r="N19" s="153">
        <f t="shared" si="0"/>
        <v>354</v>
      </c>
      <c r="O19" s="149">
        <f t="shared" si="1"/>
        <v>354</v>
      </c>
      <c r="P19" s="150">
        <f t="shared" si="2"/>
        <v>6.5774804905239677</v>
      </c>
    </row>
    <row r="20" spans="1:16" customFormat="1" ht="15">
      <c r="A20" s="151" t="s">
        <v>226</v>
      </c>
      <c r="B20" s="15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>
        <v>2</v>
      </c>
      <c r="N20" s="153">
        <f t="shared" si="0"/>
        <v>2</v>
      </c>
      <c r="O20" s="149">
        <f t="shared" si="1"/>
        <v>2</v>
      </c>
      <c r="P20" s="150">
        <f t="shared" si="2"/>
        <v>3.716090672612412E-2</v>
      </c>
    </row>
    <row r="21" spans="1:16" customFormat="1" ht="15">
      <c r="A21" s="151" t="s">
        <v>227</v>
      </c>
      <c r="B21" s="154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>
        <v>439</v>
      </c>
      <c r="N21" s="153">
        <f t="shared" si="0"/>
        <v>439</v>
      </c>
      <c r="O21" s="149">
        <f t="shared" si="1"/>
        <v>439</v>
      </c>
      <c r="P21" s="150">
        <f t="shared" si="2"/>
        <v>8.1568190263842428</v>
      </c>
    </row>
    <row r="22" spans="1:16" customFormat="1" ht="15">
      <c r="A22" s="151" t="s">
        <v>228</v>
      </c>
      <c r="B22" s="154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>
        <v>560</v>
      </c>
      <c r="N22" s="153">
        <f t="shared" si="0"/>
        <v>560</v>
      </c>
      <c r="O22" s="149">
        <f t="shared" si="1"/>
        <v>560</v>
      </c>
      <c r="P22" s="150">
        <f t="shared" si="2"/>
        <v>10.405053883314753</v>
      </c>
    </row>
    <row r="23" spans="1:16" customFormat="1" ht="15">
      <c r="A23" s="151" t="s">
        <v>229</v>
      </c>
      <c r="B23" s="154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>
        <v>711</v>
      </c>
      <c r="N23" s="153">
        <f t="shared" si="0"/>
        <v>711</v>
      </c>
      <c r="O23" s="149">
        <f t="shared" si="1"/>
        <v>711</v>
      </c>
      <c r="P23" s="150">
        <f t="shared" si="2"/>
        <v>13.210702341137123</v>
      </c>
    </row>
    <row r="24" spans="1:16" customFormat="1" ht="15">
      <c r="A24" s="151" t="s">
        <v>230</v>
      </c>
      <c r="B24" s="154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>
        <v>18</v>
      </c>
      <c r="N24" s="153">
        <f t="shared" si="0"/>
        <v>18</v>
      </c>
      <c r="O24" s="149">
        <f t="shared" si="1"/>
        <v>18</v>
      </c>
      <c r="P24" s="150">
        <f t="shared" si="2"/>
        <v>0.33444816053511706</v>
      </c>
    </row>
    <row r="25" spans="1:16" customFormat="1" ht="15">
      <c r="A25" s="151" t="s">
        <v>231</v>
      </c>
      <c r="B25" s="15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>
        <v>21</v>
      </c>
      <c r="N25" s="153">
        <f t="shared" si="0"/>
        <v>21</v>
      </c>
      <c r="O25" s="149">
        <f t="shared" si="1"/>
        <v>21</v>
      </c>
      <c r="P25" s="150">
        <f t="shared" si="2"/>
        <v>0.39018952062430323</v>
      </c>
    </row>
    <row r="26" spans="1:16" customFormat="1" ht="15">
      <c r="A26" s="151" t="s">
        <v>232</v>
      </c>
      <c r="B26" s="154"/>
      <c r="C26" s="37"/>
      <c r="D26" s="37"/>
      <c r="E26" s="37"/>
      <c r="F26" s="37"/>
      <c r="G26" s="37"/>
      <c r="H26" s="38"/>
      <c r="I26" s="37"/>
      <c r="J26" s="37"/>
      <c r="K26" s="37"/>
      <c r="L26" s="37"/>
      <c r="M26" s="37">
        <v>71</v>
      </c>
      <c r="N26" s="153">
        <f t="shared" si="0"/>
        <v>71</v>
      </c>
      <c r="O26" s="149">
        <f t="shared" si="1"/>
        <v>71</v>
      </c>
      <c r="P26" s="150">
        <f t="shared" si="2"/>
        <v>1.3192121887774062</v>
      </c>
    </row>
    <row r="27" spans="1:16" customFormat="1" ht="15">
      <c r="A27" s="151" t="s">
        <v>233</v>
      </c>
      <c r="B27" s="154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>
        <v>268</v>
      </c>
      <c r="N27" s="153">
        <f t="shared" si="0"/>
        <v>268</v>
      </c>
      <c r="O27" s="149">
        <f t="shared" si="1"/>
        <v>268</v>
      </c>
      <c r="P27" s="150">
        <f t="shared" si="2"/>
        <v>4.9795615013006316</v>
      </c>
    </row>
    <row r="28" spans="1:16" customFormat="1" ht="15">
      <c r="A28" s="151" t="s">
        <v>234</v>
      </c>
      <c r="B28" s="154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>
        <v>54</v>
      </c>
      <c r="N28" s="153">
        <f t="shared" si="0"/>
        <v>54</v>
      </c>
      <c r="O28" s="149">
        <f t="shared" si="1"/>
        <v>54</v>
      </c>
      <c r="P28" s="150">
        <f t="shared" si="2"/>
        <v>1.0033444816053512</v>
      </c>
    </row>
    <row r="29" spans="1:16" customFormat="1" ht="15">
      <c r="A29" s="151" t="s">
        <v>235</v>
      </c>
      <c r="B29" s="154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>
        <v>36</v>
      </c>
      <c r="N29" s="153">
        <f t="shared" si="0"/>
        <v>36</v>
      </c>
      <c r="O29" s="149">
        <f t="shared" si="1"/>
        <v>36</v>
      </c>
      <c r="P29" s="150">
        <f t="shared" si="2"/>
        <v>0.66889632107023411</v>
      </c>
    </row>
    <row r="30" spans="1:16" customFormat="1" ht="15">
      <c r="A30" s="151" t="s">
        <v>236</v>
      </c>
      <c r="B30" s="154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>
        <v>3</v>
      </c>
      <c r="N30" s="153">
        <f t="shared" si="0"/>
        <v>3</v>
      </c>
      <c r="O30" s="149">
        <f t="shared" si="1"/>
        <v>3</v>
      </c>
      <c r="P30" s="150">
        <f t="shared" si="2"/>
        <v>5.5741360089186176E-2</v>
      </c>
    </row>
    <row r="31" spans="1:16" customFormat="1" ht="15">
      <c r="A31" s="151" t="s">
        <v>237</v>
      </c>
      <c r="B31" s="154"/>
      <c r="C31" s="37"/>
      <c r="D31" s="37"/>
      <c r="E31" s="37"/>
      <c r="F31" s="37"/>
      <c r="G31" s="37"/>
      <c r="H31" s="38"/>
      <c r="I31" s="37"/>
      <c r="J31" s="37"/>
      <c r="K31" s="37"/>
      <c r="L31" s="37"/>
      <c r="M31" s="37">
        <v>46</v>
      </c>
      <c r="N31" s="153">
        <f t="shared" si="0"/>
        <v>46</v>
      </c>
      <c r="O31" s="149">
        <f t="shared" si="1"/>
        <v>46</v>
      </c>
      <c r="P31" s="150">
        <f t="shared" si="2"/>
        <v>0.85470085470085477</v>
      </c>
    </row>
    <row r="32" spans="1:16" customFormat="1" ht="15">
      <c r="A32" s="151" t="s">
        <v>238</v>
      </c>
      <c r="B32" s="154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>
        <v>31</v>
      </c>
      <c r="N32" s="153">
        <f t="shared" si="0"/>
        <v>31</v>
      </c>
      <c r="O32" s="149">
        <f t="shared" si="1"/>
        <v>31</v>
      </c>
      <c r="P32" s="150">
        <f t="shared" si="2"/>
        <v>0.57599405425492378</v>
      </c>
    </row>
    <row r="33" spans="1:16" customFormat="1" ht="15" customHeight="1">
      <c r="A33" s="151" t="s">
        <v>239</v>
      </c>
      <c r="B33" s="154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>
        <v>0</v>
      </c>
      <c r="N33" s="153">
        <f t="shared" si="0"/>
        <v>0</v>
      </c>
      <c r="O33" s="149">
        <f t="shared" si="1"/>
        <v>0</v>
      </c>
      <c r="P33" s="150">
        <f t="shared" si="2"/>
        <v>0</v>
      </c>
    </row>
    <row r="34" spans="1:16" customFormat="1" ht="15" customHeight="1">
      <c r="A34" s="151" t="s">
        <v>240</v>
      </c>
      <c r="B34" s="15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>
        <v>52</v>
      </c>
      <c r="N34" s="153">
        <f t="shared" si="0"/>
        <v>52</v>
      </c>
      <c r="O34" s="149">
        <f t="shared" si="1"/>
        <v>52</v>
      </c>
      <c r="P34" s="150">
        <f t="shared" si="2"/>
        <v>0.96618357487922701</v>
      </c>
    </row>
    <row r="35" spans="1:16" customFormat="1" ht="15" customHeight="1">
      <c r="A35" s="151" t="s">
        <v>241</v>
      </c>
      <c r="B35" s="154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>
        <v>41</v>
      </c>
      <c r="N35" s="153">
        <f t="shared" si="0"/>
        <v>41</v>
      </c>
      <c r="O35" s="149">
        <f t="shared" si="1"/>
        <v>41</v>
      </c>
      <c r="P35" s="150">
        <f t="shared" si="2"/>
        <v>0.76179858788554444</v>
      </c>
    </row>
    <row r="36" spans="1:16" customFormat="1" ht="15" customHeight="1">
      <c r="A36" s="151" t="s">
        <v>242</v>
      </c>
      <c r="B36" s="154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>
        <v>0</v>
      </c>
      <c r="N36" s="153">
        <f t="shared" si="0"/>
        <v>0</v>
      </c>
      <c r="O36" s="149">
        <f t="shared" si="1"/>
        <v>0</v>
      </c>
      <c r="P36" s="150">
        <f t="shared" si="2"/>
        <v>0</v>
      </c>
    </row>
    <row r="37" spans="1:16" customFormat="1" ht="15" customHeight="1">
      <c r="A37" s="151" t="s">
        <v>243</v>
      </c>
      <c r="B37" s="154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>
        <v>92</v>
      </c>
      <c r="N37" s="153">
        <f t="shared" ref="N37:N67" si="3">SUM(B37:M37)</f>
        <v>92</v>
      </c>
      <c r="O37" s="149">
        <f t="shared" ref="O37:O71" si="4">AVERAGE(B37:M37)</f>
        <v>92</v>
      </c>
      <c r="P37" s="150">
        <f t="shared" ref="P37:P70" si="5">(N37/$N$71)*100</f>
        <v>1.7094017094017095</v>
      </c>
    </row>
    <row r="38" spans="1:16" customFormat="1" ht="15" customHeight="1">
      <c r="A38" s="151" t="s">
        <v>244</v>
      </c>
      <c r="B38" s="154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>
        <v>52</v>
      </c>
      <c r="N38" s="153">
        <f t="shared" si="3"/>
        <v>52</v>
      </c>
      <c r="O38" s="149">
        <f t="shared" si="4"/>
        <v>52</v>
      </c>
      <c r="P38" s="150">
        <f t="shared" si="5"/>
        <v>0.96618357487922701</v>
      </c>
    </row>
    <row r="39" spans="1:16" customFormat="1" ht="15" customHeight="1">
      <c r="A39" s="151" t="s">
        <v>245</v>
      </c>
      <c r="B39" s="154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>
        <v>22</v>
      </c>
      <c r="N39" s="153">
        <f t="shared" si="3"/>
        <v>22</v>
      </c>
      <c r="O39" s="149">
        <f t="shared" si="4"/>
        <v>22</v>
      </c>
      <c r="P39" s="150">
        <f t="shared" si="5"/>
        <v>0.40876997398736531</v>
      </c>
    </row>
    <row r="40" spans="1:16" customFormat="1" ht="15" customHeight="1">
      <c r="A40" s="151" t="s">
        <v>246</v>
      </c>
      <c r="B40" s="154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>
        <v>48</v>
      </c>
      <c r="N40" s="153">
        <f t="shared" si="3"/>
        <v>48</v>
      </c>
      <c r="O40" s="149">
        <f t="shared" si="4"/>
        <v>48</v>
      </c>
      <c r="P40" s="150">
        <f t="shared" si="5"/>
        <v>0.89186176142697882</v>
      </c>
    </row>
    <row r="41" spans="1:16" customFormat="1" ht="15" customHeight="1">
      <c r="A41" s="151" t="s">
        <v>247</v>
      </c>
      <c r="B41" s="154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>
        <v>34</v>
      </c>
      <c r="N41" s="153">
        <f t="shared" si="3"/>
        <v>34</v>
      </c>
      <c r="O41" s="149">
        <f t="shared" si="4"/>
        <v>34</v>
      </c>
      <c r="P41" s="150">
        <f t="shared" si="5"/>
        <v>0.63173541434410996</v>
      </c>
    </row>
    <row r="42" spans="1:16" customFormat="1" ht="15" customHeight="1">
      <c r="A42" s="151" t="s">
        <v>248</v>
      </c>
      <c r="B42" s="154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>
        <v>29</v>
      </c>
      <c r="N42" s="153">
        <f t="shared" si="3"/>
        <v>29</v>
      </c>
      <c r="O42" s="149">
        <f t="shared" si="4"/>
        <v>29</v>
      </c>
      <c r="P42" s="150">
        <f t="shared" si="5"/>
        <v>0.53883314752879974</v>
      </c>
    </row>
    <row r="43" spans="1:16" customFormat="1" ht="15" customHeight="1">
      <c r="A43" s="151" t="s">
        <v>249</v>
      </c>
      <c r="B43" s="154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>
        <v>43</v>
      </c>
      <c r="N43" s="153">
        <f t="shared" si="3"/>
        <v>43</v>
      </c>
      <c r="O43" s="149">
        <f t="shared" si="4"/>
        <v>43</v>
      </c>
      <c r="P43" s="150">
        <f t="shared" si="5"/>
        <v>0.7989594946116686</v>
      </c>
    </row>
    <row r="44" spans="1:16" customFormat="1" ht="15" customHeight="1">
      <c r="A44" s="151" t="s">
        <v>250</v>
      </c>
      <c r="B44" s="154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>
        <v>35</v>
      </c>
      <c r="N44" s="153">
        <f t="shared" si="3"/>
        <v>35</v>
      </c>
      <c r="O44" s="149">
        <f t="shared" si="4"/>
        <v>35</v>
      </c>
      <c r="P44" s="150">
        <f t="shared" si="5"/>
        <v>0.65031586770717209</v>
      </c>
    </row>
    <row r="45" spans="1:16" customFormat="1" ht="15" customHeight="1">
      <c r="A45" s="151" t="s">
        <v>251</v>
      </c>
      <c r="B45" s="154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>
        <v>8</v>
      </c>
      <c r="N45" s="153">
        <f t="shared" si="3"/>
        <v>8</v>
      </c>
      <c r="O45" s="149">
        <f t="shared" si="4"/>
        <v>8</v>
      </c>
      <c r="P45" s="150">
        <f t="shared" si="5"/>
        <v>0.14864362690449648</v>
      </c>
    </row>
    <row r="46" spans="1:16" customFormat="1" ht="15" customHeight="1">
      <c r="A46" s="151" t="s">
        <v>252</v>
      </c>
      <c r="B46" s="154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>
        <v>10</v>
      </c>
      <c r="N46" s="153">
        <f t="shared" si="3"/>
        <v>10</v>
      </c>
      <c r="O46" s="149">
        <f t="shared" si="4"/>
        <v>10</v>
      </c>
      <c r="P46" s="150">
        <f t="shared" si="5"/>
        <v>0.18580453363062058</v>
      </c>
    </row>
    <row r="47" spans="1:16" customFormat="1" ht="15" customHeight="1">
      <c r="A47" s="151" t="s">
        <v>253</v>
      </c>
      <c r="B47" s="154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>
        <v>32</v>
      </c>
      <c r="N47" s="153">
        <f t="shared" si="3"/>
        <v>32</v>
      </c>
      <c r="O47" s="149">
        <f t="shared" si="4"/>
        <v>32</v>
      </c>
      <c r="P47" s="150">
        <f t="shared" si="5"/>
        <v>0.59457450761798591</v>
      </c>
    </row>
    <row r="48" spans="1:16" customFormat="1" ht="15" customHeight="1">
      <c r="A48" s="151" t="s">
        <v>254</v>
      </c>
      <c r="B48" s="154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>
        <v>7</v>
      </c>
      <c r="N48" s="153">
        <f t="shared" si="3"/>
        <v>7</v>
      </c>
      <c r="O48" s="149">
        <f t="shared" si="4"/>
        <v>7</v>
      </c>
      <c r="P48" s="150">
        <f t="shared" si="5"/>
        <v>0.1300631735414344</v>
      </c>
    </row>
    <row r="49" spans="1:16" customFormat="1" ht="15" customHeight="1">
      <c r="A49" s="151" t="s">
        <v>255</v>
      </c>
      <c r="B49" s="154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>
        <v>45</v>
      </c>
      <c r="N49" s="153">
        <f t="shared" si="3"/>
        <v>45</v>
      </c>
      <c r="O49" s="149">
        <f t="shared" si="4"/>
        <v>45</v>
      </c>
      <c r="P49" s="150">
        <f t="shared" si="5"/>
        <v>0.83612040133779264</v>
      </c>
    </row>
    <row r="50" spans="1:16" customFormat="1" ht="15" customHeight="1">
      <c r="A50" s="151" t="s">
        <v>256</v>
      </c>
      <c r="B50" s="154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>
        <v>21</v>
      </c>
      <c r="N50" s="153">
        <f t="shared" si="3"/>
        <v>21</v>
      </c>
      <c r="O50" s="149">
        <f t="shared" si="4"/>
        <v>21</v>
      </c>
      <c r="P50" s="150">
        <f t="shared" si="5"/>
        <v>0.39018952062430323</v>
      </c>
    </row>
    <row r="51" spans="1:16" customFormat="1" ht="15" customHeight="1">
      <c r="A51" s="151" t="s">
        <v>257</v>
      </c>
      <c r="B51" s="154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>
        <v>48</v>
      </c>
      <c r="N51" s="153">
        <f t="shared" si="3"/>
        <v>48</v>
      </c>
      <c r="O51" s="149">
        <f t="shared" si="4"/>
        <v>48</v>
      </c>
      <c r="P51" s="150">
        <f t="shared" si="5"/>
        <v>0.89186176142697882</v>
      </c>
    </row>
    <row r="52" spans="1:16" customFormat="1" ht="15" customHeight="1">
      <c r="A52" s="151" t="s">
        <v>258</v>
      </c>
      <c r="B52" s="154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>
        <v>30</v>
      </c>
      <c r="N52" s="153">
        <f t="shared" si="3"/>
        <v>30</v>
      </c>
      <c r="O52" s="149">
        <f t="shared" si="4"/>
        <v>30</v>
      </c>
      <c r="P52" s="150">
        <f t="shared" si="5"/>
        <v>0.55741360089186176</v>
      </c>
    </row>
    <row r="53" spans="1:16" customFormat="1" ht="15" customHeight="1">
      <c r="A53" s="151" t="s">
        <v>259</v>
      </c>
      <c r="B53" s="154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>
        <v>35</v>
      </c>
      <c r="N53" s="153">
        <f t="shared" si="3"/>
        <v>35</v>
      </c>
      <c r="O53" s="149">
        <f t="shared" si="4"/>
        <v>35</v>
      </c>
      <c r="P53" s="150">
        <f t="shared" si="5"/>
        <v>0.65031586770717209</v>
      </c>
    </row>
    <row r="54" spans="1:16" customFormat="1" ht="15" customHeight="1">
      <c r="A54" s="151" t="s">
        <v>260</v>
      </c>
      <c r="B54" s="154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>
        <v>92</v>
      </c>
      <c r="N54" s="153">
        <f t="shared" si="3"/>
        <v>92</v>
      </c>
      <c r="O54" s="149">
        <f t="shared" si="4"/>
        <v>92</v>
      </c>
      <c r="P54" s="150">
        <f t="shared" si="5"/>
        <v>1.7094017094017095</v>
      </c>
    </row>
    <row r="55" spans="1:16" customFormat="1" ht="15" customHeight="1">
      <c r="A55" s="151" t="s">
        <v>261</v>
      </c>
      <c r="B55" s="154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>
        <v>23</v>
      </c>
      <c r="N55" s="153">
        <f t="shared" si="3"/>
        <v>23</v>
      </c>
      <c r="O55" s="149">
        <f t="shared" si="4"/>
        <v>23</v>
      </c>
      <c r="P55" s="150">
        <f t="shared" si="5"/>
        <v>0.42735042735042739</v>
      </c>
    </row>
    <row r="56" spans="1:16" customFormat="1" ht="15" customHeight="1">
      <c r="A56" s="151" t="s">
        <v>262</v>
      </c>
      <c r="B56" s="154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>
        <v>62</v>
      </c>
      <c r="N56" s="153">
        <f t="shared" si="3"/>
        <v>62</v>
      </c>
      <c r="O56" s="149">
        <f t="shared" si="4"/>
        <v>62</v>
      </c>
      <c r="P56" s="150">
        <f t="shared" si="5"/>
        <v>1.1519881085098476</v>
      </c>
    </row>
    <row r="57" spans="1:16" customFormat="1" ht="15" customHeight="1">
      <c r="A57" s="151" t="s">
        <v>263</v>
      </c>
      <c r="B57" s="154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>
        <v>17</v>
      </c>
      <c r="N57" s="153">
        <f t="shared" si="3"/>
        <v>17</v>
      </c>
      <c r="O57" s="149">
        <f t="shared" si="4"/>
        <v>17</v>
      </c>
      <c r="P57" s="150">
        <f t="shared" si="5"/>
        <v>0.31586770717205498</v>
      </c>
    </row>
    <row r="58" spans="1:16" customFormat="1" ht="15" customHeight="1">
      <c r="A58" s="151" t="s">
        <v>264</v>
      </c>
      <c r="B58" s="154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>
        <v>99</v>
      </c>
      <c r="N58" s="153">
        <f t="shared" si="3"/>
        <v>99</v>
      </c>
      <c r="O58" s="149">
        <f t="shared" si="4"/>
        <v>99</v>
      </c>
      <c r="P58" s="150">
        <f t="shared" si="5"/>
        <v>1.8394648829431439</v>
      </c>
    </row>
    <row r="59" spans="1:16" customFormat="1" ht="15" customHeight="1">
      <c r="A59" s="151" t="s">
        <v>265</v>
      </c>
      <c r="B59" s="154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>
        <v>16</v>
      </c>
      <c r="N59" s="153">
        <f t="shared" si="3"/>
        <v>16</v>
      </c>
      <c r="O59" s="149">
        <f t="shared" si="4"/>
        <v>16</v>
      </c>
      <c r="P59" s="150">
        <f t="shared" si="5"/>
        <v>0.29728725380899296</v>
      </c>
    </row>
    <row r="60" spans="1:16" customFormat="1" ht="15" customHeight="1">
      <c r="A60" s="151" t="s">
        <v>266</v>
      </c>
      <c r="B60" s="154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>
        <v>52</v>
      </c>
      <c r="N60" s="153">
        <f t="shared" si="3"/>
        <v>52</v>
      </c>
      <c r="O60" s="149">
        <f t="shared" si="4"/>
        <v>52</v>
      </c>
      <c r="P60" s="150">
        <f t="shared" si="5"/>
        <v>0.96618357487922701</v>
      </c>
    </row>
    <row r="61" spans="1:16" customFormat="1" ht="15" customHeight="1">
      <c r="A61" s="151" t="s">
        <v>267</v>
      </c>
      <c r="B61" s="154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>
        <v>43</v>
      </c>
      <c r="N61" s="153">
        <f t="shared" si="3"/>
        <v>43</v>
      </c>
      <c r="O61" s="149">
        <f t="shared" si="4"/>
        <v>43</v>
      </c>
      <c r="P61" s="150">
        <f t="shared" si="5"/>
        <v>0.7989594946116686</v>
      </c>
    </row>
    <row r="62" spans="1:16" customFormat="1" ht="15" customHeight="1">
      <c r="A62" s="151" t="s">
        <v>268</v>
      </c>
      <c r="B62" s="154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>
        <v>57</v>
      </c>
      <c r="N62" s="153">
        <f t="shared" si="3"/>
        <v>57</v>
      </c>
      <c r="O62" s="149">
        <f t="shared" si="4"/>
        <v>57</v>
      </c>
      <c r="P62" s="150">
        <f t="shared" si="5"/>
        <v>1.0590858416945375</v>
      </c>
    </row>
    <row r="63" spans="1:16" customFormat="1" ht="15" customHeight="1">
      <c r="A63" s="151" t="s">
        <v>269</v>
      </c>
      <c r="B63" s="154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>
        <v>57</v>
      </c>
      <c r="N63" s="153">
        <f t="shared" si="3"/>
        <v>57</v>
      </c>
      <c r="O63" s="149">
        <f t="shared" si="4"/>
        <v>57</v>
      </c>
      <c r="P63" s="150">
        <f t="shared" si="5"/>
        <v>1.0590858416945375</v>
      </c>
    </row>
    <row r="64" spans="1:16" customFormat="1" ht="15" customHeight="1">
      <c r="A64" s="151" t="s">
        <v>270</v>
      </c>
      <c r="B64" s="154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>
        <v>32</v>
      </c>
      <c r="N64" s="153">
        <f t="shared" si="3"/>
        <v>32</v>
      </c>
      <c r="O64" s="149">
        <f t="shared" si="4"/>
        <v>32</v>
      </c>
      <c r="P64" s="150">
        <f t="shared" si="5"/>
        <v>0.59457450761798591</v>
      </c>
    </row>
    <row r="65" spans="1:16" customFormat="1" ht="15.75" customHeight="1">
      <c r="A65" s="151" t="s">
        <v>271</v>
      </c>
      <c r="B65" s="154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>
        <v>14</v>
      </c>
      <c r="N65" s="153">
        <f t="shared" si="3"/>
        <v>14</v>
      </c>
      <c r="O65" s="149">
        <f t="shared" si="4"/>
        <v>14</v>
      </c>
      <c r="P65" s="150">
        <f t="shared" si="5"/>
        <v>0.2601263470828688</v>
      </c>
    </row>
    <row r="66" spans="1:16" customFormat="1" ht="15.75" customHeight="1">
      <c r="A66" s="151" t="s">
        <v>272</v>
      </c>
      <c r="B66" s="154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>
        <v>7</v>
      </c>
      <c r="N66" s="153">
        <f t="shared" si="3"/>
        <v>7</v>
      </c>
      <c r="O66" s="149">
        <f t="shared" si="4"/>
        <v>7</v>
      </c>
      <c r="P66" s="150">
        <f t="shared" si="5"/>
        <v>0.1300631735414344</v>
      </c>
    </row>
    <row r="67" spans="1:16" customFormat="1" ht="15" customHeight="1">
      <c r="A67" s="151" t="s">
        <v>273</v>
      </c>
      <c r="B67" s="154"/>
      <c r="C67" s="37"/>
      <c r="D67" s="37"/>
      <c r="E67" s="37"/>
      <c r="F67" s="37"/>
      <c r="G67" s="37"/>
      <c r="H67" s="38"/>
      <c r="I67" s="37"/>
      <c r="J67" s="37"/>
      <c r="K67" s="37"/>
      <c r="L67" s="37"/>
      <c r="M67" s="37">
        <v>77</v>
      </c>
      <c r="N67" s="153">
        <f t="shared" si="3"/>
        <v>77</v>
      </c>
      <c r="O67" s="149">
        <f t="shared" si="4"/>
        <v>77</v>
      </c>
      <c r="P67" s="150">
        <f t="shared" si="5"/>
        <v>1.4306949089557786</v>
      </c>
    </row>
    <row r="68" spans="1:16" customFormat="1" ht="15">
      <c r="A68" s="151" t="s">
        <v>274</v>
      </c>
      <c r="B68" s="154"/>
      <c r="C68" s="37"/>
      <c r="D68" s="37"/>
      <c r="E68" s="37"/>
      <c r="F68" s="37"/>
      <c r="G68" s="37"/>
      <c r="H68" s="38"/>
      <c r="I68" s="37"/>
      <c r="J68" s="37"/>
      <c r="K68" s="37"/>
      <c r="L68" s="37"/>
      <c r="M68" s="37">
        <v>50</v>
      </c>
      <c r="N68" s="153">
        <f t="shared" ref="N68:N70" si="6">SUM(B68:M68)</f>
        <v>50</v>
      </c>
      <c r="O68" s="149">
        <f t="shared" si="4"/>
        <v>50</v>
      </c>
      <c r="P68" s="150">
        <f t="shared" si="5"/>
        <v>0.92902266815310297</v>
      </c>
    </row>
    <row r="69" spans="1:16" customFormat="1" ht="15">
      <c r="A69" s="151" t="s">
        <v>275</v>
      </c>
      <c r="B69" s="154"/>
      <c r="C69" s="37"/>
      <c r="D69" s="37"/>
      <c r="E69" s="37"/>
      <c r="F69" s="37"/>
      <c r="G69" s="37"/>
      <c r="H69" s="38"/>
      <c r="I69" s="37"/>
      <c r="J69" s="37"/>
      <c r="K69" s="37"/>
      <c r="L69" s="37"/>
      <c r="M69" s="37">
        <v>64</v>
      </c>
      <c r="N69" s="153">
        <f t="shared" si="6"/>
        <v>64</v>
      </c>
      <c r="O69" s="149">
        <f t="shared" si="4"/>
        <v>64</v>
      </c>
      <c r="P69" s="150">
        <f t="shared" si="5"/>
        <v>1.1891490152359718</v>
      </c>
    </row>
    <row r="70" spans="1:16" customFormat="1" ht="15.75" thickBot="1">
      <c r="A70" s="155" t="s">
        <v>276</v>
      </c>
      <c r="B70" s="156"/>
      <c r="C70" s="44"/>
      <c r="D70" s="157"/>
      <c r="E70" s="157"/>
      <c r="F70" s="157"/>
      <c r="G70" s="157"/>
      <c r="H70" s="158"/>
      <c r="I70" s="157"/>
      <c r="J70" s="44"/>
      <c r="K70" s="37"/>
      <c r="L70" s="44"/>
      <c r="M70" s="44">
        <v>20</v>
      </c>
      <c r="N70" s="159">
        <f t="shared" si="6"/>
        <v>20</v>
      </c>
      <c r="O70" s="160">
        <f t="shared" si="4"/>
        <v>20</v>
      </c>
      <c r="P70" s="161">
        <f t="shared" si="5"/>
        <v>0.37160906726124115</v>
      </c>
    </row>
    <row r="71" spans="1:16" customFormat="1" ht="15.75" thickBot="1">
      <c r="A71" s="142" t="s">
        <v>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4">
        <f t="shared" ref="M71:N71" si="7">SUM(M5:M70)</f>
        <v>5382</v>
      </c>
      <c r="N71" s="162">
        <f t="shared" si="7"/>
        <v>5382</v>
      </c>
      <c r="O71" s="54">
        <f t="shared" si="4"/>
        <v>5382</v>
      </c>
      <c r="P71" s="163">
        <f>SUM(P5:P70)</f>
        <v>100.00000000000001</v>
      </c>
    </row>
    <row r="72" spans="1:16" customFormat="1" ht="15">
      <c r="A72" s="109"/>
      <c r="B72" s="110"/>
      <c r="C72" s="110"/>
      <c r="D72" s="110"/>
      <c r="E72" s="110"/>
      <c r="F72" s="110"/>
      <c r="G72" s="98"/>
      <c r="H72" s="110"/>
      <c r="I72" s="110"/>
      <c r="J72" s="110"/>
      <c r="K72" s="110"/>
      <c r="L72" s="110"/>
      <c r="M72" s="111"/>
      <c r="N72" s="111"/>
      <c r="O72" s="9"/>
      <c r="P72" s="9"/>
    </row>
    <row r="73" spans="1:16">
      <c r="A73" s="164" t="s">
        <v>277</v>
      </c>
    </row>
    <row r="74" spans="1:16">
      <c r="A74" s="164" t="s">
        <v>434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>
      <selection activeCell="Z23" sqref="Z23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98" bestFit="1" customWidth="1"/>
    <col min="4" max="4" width="7.140625" style="9" bestFit="1" customWidth="1"/>
    <col min="5" max="5" width="7" style="96" bestFit="1" customWidth="1"/>
    <col min="6" max="6" width="7.5703125" style="9" bestFit="1" customWidth="1"/>
    <col min="7" max="7" width="6.28515625" style="96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94" t="s">
        <v>0</v>
      </c>
      <c r="B1" s="94"/>
      <c r="C1" s="95"/>
      <c r="D1" s="94"/>
      <c r="G1" s="431"/>
      <c r="H1" s="429"/>
      <c r="I1" s="429"/>
      <c r="J1" s="429"/>
      <c r="K1" s="429"/>
      <c r="L1" s="429"/>
      <c r="M1" s="429"/>
      <c r="N1" s="429"/>
      <c r="O1" s="429"/>
      <c r="P1" s="429"/>
    </row>
    <row r="2" spans="1:20" ht="15">
      <c r="A2" s="1" t="s">
        <v>1</v>
      </c>
      <c r="B2" s="1"/>
      <c r="C2" s="72"/>
      <c r="D2" s="1"/>
      <c r="G2" s="431"/>
      <c r="H2" s="429"/>
      <c r="I2" s="429"/>
      <c r="J2" s="429"/>
      <c r="K2" s="429"/>
      <c r="L2" s="429"/>
      <c r="M2" s="429"/>
      <c r="N2" s="429"/>
      <c r="O2" s="429"/>
      <c r="P2" s="429"/>
    </row>
    <row r="3" spans="1:20" ht="15">
      <c r="A3" s="1"/>
      <c r="B3" s="1"/>
      <c r="C3" s="72"/>
      <c r="D3" s="1"/>
      <c r="G3" s="431"/>
      <c r="H3" s="429"/>
      <c r="I3" s="429"/>
      <c r="J3" s="429"/>
      <c r="K3" s="429"/>
      <c r="L3" s="429"/>
      <c r="M3" s="429"/>
      <c r="N3" s="429"/>
      <c r="O3" s="429"/>
      <c r="P3" s="429"/>
    </row>
    <row r="4" spans="1:20" ht="15">
      <c r="A4" s="1" t="s">
        <v>490</v>
      </c>
      <c r="B4" s="1"/>
      <c r="C4" s="72"/>
      <c r="D4" s="1"/>
      <c r="G4" s="431"/>
      <c r="H4" s="429"/>
      <c r="I4" s="429"/>
      <c r="J4" s="429"/>
      <c r="K4" s="429"/>
      <c r="L4" s="429"/>
      <c r="M4" s="429"/>
      <c r="N4" s="429"/>
      <c r="O4" s="429"/>
      <c r="P4" s="456">
        <f>UNIDADES!M71</f>
        <v>5382</v>
      </c>
    </row>
    <row r="5" spans="1:20" ht="15" thickBot="1">
      <c r="E5" s="9"/>
      <c r="F5" s="96"/>
      <c r="G5" s="429"/>
      <c r="H5" s="431"/>
      <c r="I5" s="429"/>
      <c r="J5" s="429"/>
      <c r="K5" s="429"/>
      <c r="L5" s="429"/>
      <c r="M5" s="429"/>
      <c r="N5" s="429"/>
      <c r="O5" s="429"/>
      <c r="P5" s="429"/>
    </row>
    <row r="6" spans="1:20" ht="48.75" thickBot="1">
      <c r="A6" s="558" t="s">
        <v>205</v>
      </c>
      <c r="B6" s="559">
        <v>45627</v>
      </c>
      <c r="C6" s="560">
        <v>45597</v>
      </c>
      <c r="D6" s="561">
        <v>45566</v>
      </c>
      <c r="E6" s="561">
        <v>45536</v>
      </c>
      <c r="F6" s="561">
        <v>45505</v>
      </c>
      <c r="G6" s="562">
        <v>45474</v>
      </c>
      <c r="H6" s="560">
        <v>45444</v>
      </c>
      <c r="I6" s="562">
        <v>45413</v>
      </c>
      <c r="J6" s="559">
        <v>45383</v>
      </c>
      <c r="K6" s="560">
        <v>45352</v>
      </c>
      <c r="L6" s="561">
        <v>45323</v>
      </c>
      <c r="M6" s="560">
        <v>45292</v>
      </c>
      <c r="N6" s="561" t="s">
        <v>5</v>
      </c>
      <c r="O6" s="563" t="s">
        <v>6</v>
      </c>
      <c r="P6" s="564" t="s">
        <v>474</v>
      </c>
    </row>
    <row r="7" spans="1:20" ht="14.25" customHeight="1" thickBot="1">
      <c r="A7" s="471" t="s">
        <v>229</v>
      </c>
      <c r="B7" s="557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>
        <v>711</v>
      </c>
      <c r="N7" s="167">
        <f t="shared" ref="N7:N16" si="0">SUM(B7:M7)</f>
        <v>711</v>
      </c>
      <c r="O7" s="168">
        <f t="shared" ref="O7:O17" si="1">AVERAGE(B7:M7)</f>
        <v>711</v>
      </c>
      <c r="P7" s="565">
        <f>(M7*100)/$P$4</f>
        <v>13.210702341137123</v>
      </c>
      <c r="S7" s="96"/>
      <c r="T7" s="96"/>
    </row>
    <row r="8" spans="1:20" ht="15" customHeight="1" thickBot="1">
      <c r="A8" s="472" t="s">
        <v>228</v>
      </c>
      <c r="B8" s="152"/>
      <c r="C8" s="37"/>
      <c r="D8" s="27"/>
      <c r="E8" s="27"/>
      <c r="F8" s="27"/>
      <c r="G8" s="37"/>
      <c r="H8" s="37"/>
      <c r="I8" s="37"/>
      <c r="J8" s="37"/>
      <c r="K8" s="37"/>
      <c r="L8" s="37"/>
      <c r="M8" s="37">
        <v>560</v>
      </c>
      <c r="N8" s="169">
        <f t="shared" si="0"/>
        <v>560</v>
      </c>
      <c r="O8" s="149">
        <f t="shared" si="1"/>
        <v>560</v>
      </c>
      <c r="P8" s="565">
        <f t="shared" ref="P8:P17" si="2">(M8*100)/$P$4</f>
        <v>10.405053883314753</v>
      </c>
      <c r="S8" s="96"/>
      <c r="T8" s="96"/>
    </row>
    <row r="9" spans="1:20" ht="15.75" thickBot="1">
      <c r="A9" s="472" t="s">
        <v>227</v>
      </c>
      <c r="B9" s="154"/>
      <c r="C9" s="37"/>
      <c r="D9" s="37"/>
      <c r="E9" s="37"/>
      <c r="F9" s="37"/>
      <c r="G9" s="37"/>
      <c r="H9" s="37"/>
      <c r="I9" s="37"/>
      <c r="J9" s="37"/>
      <c r="K9" s="37"/>
      <c r="L9" s="37"/>
      <c r="M9" s="37">
        <v>439</v>
      </c>
      <c r="N9" s="169">
        <f t="shared" si="0"/>
        <v>439</v>
      </c>
      <c r="O9" s="149">
        <f t="shared" si="1"/>
        <v>439</v>
      </c>
      <c r="P9" s="565">
        <f t="shared" si="2"/>
        <v>8.1568190263842446</v>
      </c>
      <c r="S9" s="96"/>
      <c r="T9" s="96"/>
    </row>
    <row r="10" spans="1:20" ht="15.75" thickBot="1">
      <c r="A10" s="472" t="s">
        <v>224</v>
      </c>
      <c r="B10" s="154"/>
      <c r="C10" s="37"/>
      <c r="D10" s="37"/>
      <c r="E10" s="37"/>
      <c r="F10" s="37"/>
      <c r="G10" s="37"/>
      <c r="H10" s="38"/>
      <c r="I10" s="37"/>
      <c r="J10" s="37"/>
      <c r="K10" s="37"/>
      <c r="L10" s="37"/>
      <c r="M10" s="37">
        <v>379</v>
      </c>
      <c r="N10" s="169">
        <f t="shared" si="0"/>
        <v>379</v>
      </c>
      <c r="O10" s="149">
        <f t="shared" si="1"/>
        <v>379</v>
      </c>
      <c r="P10" s="565">
        <f t="shared" si="2"/>
        <v>7.0419918246005206</v>
      </c>
      <c r="S10" s="96"/>
      <c r="T10" s="96"/>
    </row>
    <row r="11" spans="1:20" ht="15.75" thickBot="1">
      <c r="A11" s="472" t="s">
        <v>225</v>
      </c>
      <c r="B11" s="15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>
        <v>354</v>
      </c>
      <c r="N11" s="169">
        <f t="shared" si="0"/>
        <v>354</v>
      </c>
      <c r="O11" s="149">
        <f t="shared" si="1"/>
        <v>354</v>
      </c>
      <c r="P11" s="565">
        <f t="shared" si="2"/>
        <v>6.5774804905239685</v>
      </c>
      <c r="S11" s="96"/>
      <c r="T11" s="96"/>
    </row>
    <row r="12" spans="1:20" ht="15" customHeight="1" thickBot="1">
      <c r="A12" s="472" t="s">
        <v>214</v>
      </c>
      <c r="B12" s="15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>
        <v>328</v>
      </c>
      <c r="N12" s="169">
        <f t="shared" si="0"/>
        <v>328</v>
      </c>
      <c r="O12" s="149">
        <f t="shared" si="1"/>
        <v>328</v>
      </c>
      <c r="P12" s="565">
        <f t="shared" si="2"/>
        <v>6.0943887030843555</v>
      </c>
      <c r="S12" s="96"/>
      <c r="T12" s="96"/>
    </row>
    <row r="13" spans="1:20" ht="15.75" thickBot="1">
      <c r="A13" s="472" t="s">
        <v>233</v>
      </c>
      <c r="B13" s="15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>
        <v>268</v>
      </c>
      <c r="N13" s="169">
        <f t="shared" si="0"/>
        <v>268</v>
      </c>
      <c r="O13" s="149">
        <f t="shared" si="1"/>
        <v>268</v>
      </c>
      <c r="P13" s="565">
        <f t="shared" si="2"/>
        <v>4.9795615013006316</v>
      </c>
      <c r="S13" s="96"/>
      <c r="T13" s="96"/>
    </row>
    <row r="14" spans="1:20" ht="15.75" thickBot="1">
      <c r="A14" s="472" t="s">
        <v>220</v>
      </c>
      <c r="B14" s="15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>
        <v>180</v>
      </c>
      <c r="N14" s="169">
        <f t="shared" si="0"/>
        <v>180</v>
      </c>
      <c r="O14" s="149">
        <f t="shared" si="1"/>
        <v>180</v>
      </c>
      <c r="P14" s="565">
        <f t="shared" si="2"/>
        <v>3.3444816053511706</v>
      </c>
      <c r="S14" s="96"/>
      <c r="T14" s="96"/>
    </row>
    <row r="15" spans="1:20" ht="15.75" thickBot="1">
      <c r="A15" s="472" t="s">
        <v>144</v>
      </c>
      <c r="B15" s="154"/>
      <c r="C15" s="37"/>
      <c r="D15" s="37"/>
      <c r="E15" s="37"/>
      <c r="F15" s="37"/>
      <c r="G15" s="37"/>
      <c r="H15" s="38"/>
      <c r="I15" s="37"/>
      <c r="J15" s="37"/>
      <c r="K15" s="37"/>
      <c r="L15" s="37"/>
      <c r="M15" s="37">
        <v>175</v>
      </c>
      <c r="N15" s="169">
        <f t="shared" si="0"/>
        <v>175</v>
      </c>
      <c r="O15" s="149">
        <f t="shared" si="1"/>
        <v>175</v>
      </c>
      <c r="P15" s="565">
        <f t="shared" si="2"/>
        <v>3.2515793385358602</v>
      </c>
      <c r="S15" s="96"/>
      <c r="T15" s="96"/>
    </row>
    <row r="16" spans="1:20" ht="15.75" thickBot="1">
      <c r="A16" s="472" t="s">
        <v>212</v>
      </c>
      <c r="B16" s="154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>
        <v>111</v>
      </c>
      <c r="N16" s="170">
        <f t="shared" si="0"/>
        <v>111</v>
      </c>
      <c r="O16" s="160">
        <f t="shared" si="1"/>
        <v>111</v>
      </c>
      <c r="P16" s="628">
        <f t="shared" si="2"/>
        <v>2.0624303232998886</v>
      </c>
      <c r="S16" s="96"/>
      <c r="T16" s="96"/>
    </row>
    <row r="17" spans="1:41" ht="15.75" customHeight="1" thickBot="1">
      <c r="A17" s="441" t="s">
        <v>5</v>
      </c>
      <c r="B17" s="566"/>
      <c r="C17" s="566"/>
      <c r="D17" s="566"/>
      <c r="E17" s="566"/>
      <c r="F17" s="566"/>
      <c r="G17" s="566"/>
      <c r="H17" s="566"/>
      <c r="I17" s="566"/>
      <c r="J17" s="566"/>
      <c r="K17" s="566"/>
      <c r="L17" s="566"/>
      <c r="M17" s="567">
        <f t="shared" ref="M17:N17" si="3">SUM(M7:M16)</f>
        <v>3505</v>
      </c>
      <c r="N17" s="568">
        <f t="shared" si="3"/>
        <v>3505</v>
      </c>
      <c r="O17" s="569">
        <f t="shared" si="1"/>
        <v>3505</v>
      </c>
      <c r="P17" s="426">
        <f t="shared" si="2"/>
        <v>65.124489037532513</v>
      </c>
      <c r="S17" s="96"/>
      <c r="T17" s="96"/>
    </row>
    <row r="18" spans="1:41" s="438" customFormat="1" ht="23.25" customHeight="1">
      <c r="A18" s="438" t="s">
        <v>206</v>
      </c>
      <c r="C18" s="439"/>
      <c r="O18" s="438" t="s">
        <v>207</v>
      </c>
      <c r="P18" s="440">
        <f>100-P17</f>
        <v>34.875510962467487</v>
      </c>
    </row>
    <row r="19" spans="1:41" ht="54.75" customHeight="1">
      <c r="A19" s="443"/>
      <c r="B19" s="443"/>
      <c r="C19" s="455"/>
      <c r="D19" s="438"/>
      <c r="E19" s="456"/>
      <c r="F19" s="438"/>
      <c r="G19" s="438"/>
      <c r="H19" s="438"/>
      <c r="I19" s="438"/>
      <c r="J19" s="438"/>
      <c r="K19" s="438"/>
      <c r="L19" s="438"/>
      <c r="M19" s="438"/>
      <c r="N19" s="966"/>
      <c r="O19" s="966"/>
      <c r="P19" s="966"/>
      <c r="Q19" s="438"/>
      <c r="R19" s="438"/>
      <c r="S19" s="438"/>
      <c r="T19" s="438"/>
      <c r="U19" s="438"/>
      <c r="V19" s="438"/>
      <c r="W19" s="456"/>
      <c r="X19" s="438"/>
      <c r="Y19" s="438"/>
      <c r="Z19" s="438"/>
      <c r="AA19" s="438"/>
      <c r="AB19" s="438"/>
      <c r="AC19" s="438"/>
      <c r="AD19" s="438"/>
      <c r="AE19" s="438"/>
      <c r="AF19" s="438"/>
      <c r="AG19" s="438"/>
    </row>
    <row r="20" spans="1:41">
      <c r="A20" s="448"/>
      <c r="B20" s="448"/>
      <c r="C20" s="457"/>
      <c r="D20" s="438"/>
      <c r="E20" s="456"/>
      <c r="F20" s="438"/>
      <c r="G20" s="438"/>
      <c r="H20" s="438"/>
      <c r="I20" s="438"/>
      <c r="J20" s="438"/>
      <c r="K20" s="438"/>
      <c r="L20" s="438"/>
      <c r="M20" s="438"/>
      <c r="N20" s="438"/>
      <c r="O20" s="456"/>
      <c r="P20" s="438"/>
      <c r="Q20" s="438"/>
      <c r="R20" s="438"/>
      <c r="S20" s="438"/>
      <c r="T20" s="438"/>
      <c r="U20" s="438"/>
      <c r="V20" s="438"/>
      <c r="W20" s="456"/>
      <c r="X20" s="438"/>
      <c r="Y20" s="438"/>
      <c r="Z20" s="438"/>
      <c r="AA20" s="438"/>
      <c r="AB20" s="438"/>
      <c r="AC20" s="445"/>
      <c r="AD20" s="446"/>
      <c r="AE20" s="446"/>
      <c r="AF20" s="446"/>
      <c r="AG20" s="446"/>
      <c r="AH20" s="110"/>
      <c r="AI20" s="110"/>
      <c r="AJ20" s="98"/>
      <c r="AK20" s="110"/>
      <c r="AL20" s="110"/>
      <c r="AM20" s="110"/>
      <c r="AN20" s="110"/>
      <c r="AO20" s="111"/>
    </row>
    <row r="21" spans="1:41" ht="92.25" customHeight="1">
      <c r="A21" s="443"/>
      <c r="B21" s="443"/>
      <c r="C21" s="455"/>
      <c r="D21" s="438"/>
      <c r="E21" s="456"/>
      <c r="F21" s="438"/>
      <c r="G21" s="438"/>
      <c r="H21" s="438"/>
      <c r="I21" s="438"/>
      <c r="J21" s="438"/>
      <c r="K21" s="438"/>
      <c r="L21" s="458"/>
      <c r="M21" s="438"/>
      <c r="N21" s="966"/>
      <c r="O21" s="966"/>
      <c r="P21" s="966"/>
      <c r="Q21" s="438"/>
      <c r="R21" s="438"/>
      <c r="S21" s="438"/>
      <c r="T21" s="438"/>
      <c r="U21" s="438"/>
      <c r="V21" s="438"/>
      <c r="W21" s="456"/>
      <c r="X21" s="438"/>
      <c r="Y21" s="438"/>
      <c r="Z21" s="438"/>
      <c r="AA21" s="438"/>
      <c r="AB21" s="438"/>
      <c r="AC21" s="445"/>
      <c r="AD21" s="446"/>
      <c r="AE21" s="446"/>
      <c r="AF21" s="446"/>
      <c r="AG21" s="446"/>
      <c r="AH21" s="110"/>
      <c r="AI21" s="110"/>
      <c r="AJ21" s="98"/>
      <c r="AK21" s="110"/>
      <c r="AL21" s="110"/>
      <c r="AM21" s="110"/>
      <c r="AN21" s="110"/>
      <c r="AO21" s="111"/>
    </row>
    <row r="22" spans="1:41">
      <c r="A22" s="443"/>
      <c r="B22" s="443"/>
      <c r="C22" s="455"/>
      <c r="D22" s="438"/>
      <c r="E22" s="456"/>
      <c r="F22" s="438"/>
      <c r="G22" s="438"/>
      <c r="H22" s="438"/>
      <c r="I22" s="438"/>
      <c r="J22" s="438"/>
      <c r="K22" s="438"/>
      <c r="L22" s="438"/>
      <c r="M22" s="438"/>
      <c r="N22" s="438"/>
      <c r="O22" s="456"/>
      <c r="P22" s="438"/>
      <c r="Q22" s="438"/>
      <c r="R22" s="438"/>
      <c r="S22" s="438"/>
      <c r="T22" s="438"/>
      <c r="U22" s="438"/>
      <c r="V22" s="438"/>
      <c r="W22" s="459"/>
      <c r="X22" s="438"/>
      <c r="Y22" s="438"/>
      <c r="Z22" s="438"/>
      <c r="AA22" s="438"/>
      <c r="AB22" s="438"/>
      <c r="AC22" s="445"/>
      <c r="AD22" s="446"/>
      <c r="AE22" s="446"/>
      <c r="AF22" s="446"/>
      <c r="AG22" s="446"/>
      <c r="AH22" s="110"/>
      <c r="AI22" s="110"/>
      <c r="AJ22" s="98"/>
      <c r="AK22" s="110"/>
      <c r="AL22" s="110"/>
      <c r="AM22" s="110"/>
      <c r="AN22" s="110"/>
      <c r="AO22" s="111"/>
    </row>
    <row r="23" spans="1:41" ht="66.75" customHeight="1">
      <c r="A23" s="443"/>
      <c r="B23" s="443"/>
      <c r="C23" s="455"/>
      <c r="D23" s="438"/>
      <c r="E23" s="456"/>
      <c r="F23" s="438"/>
      <c r="G23" s="438"/>
      <c r="H23" s="438"/>
      <c r="I23" s="438"/>
      <c r="J23" s="438"/>
      <c r="K23" s="438"/>
      <c r="L23" s="438"/>
      <c r="M23" s="438"/>
      <c r="N23" s="966"/>
      <c r="O23" s="966"/>
      <c r="P23" s="966"/>
      <c r="Q23" s="438"/>
      <c r="R23" s="438"/>
      <c r="S23" s="438"/>
      <c r="T23" s="438"/>
      <c r="U23" s="438"/>
      <c r="V23" s="438"/>
      <c r="W23" s="456"/>
      <c r="X23" s="438"/>
      <c r="Y23" s="438"/>
      <c r="Z23" s="438"/>
      <c r="AA23" s="438"/>
      <c r="AB23" s="438"/>
      <c r="AC23" s="445"/>
      <c r="AD23" s="446"/>
      <c r="AE23" s="446"/>
      <c r="AF23" s="446"/>
      <c r="AG23" s="446"/>
      <c r="AH23" s="110"/>
      <c r="AI23" s="110"/>
      <c r="AJ23" s="98"/>
      <c r="AK23" s="110"/>
      <c r="AL23" s="110"/>
      <c r="AM23" s="110"/>
      <c r="AN23" s="110"/>
      <c r="AO23" s="111"/>
    </row>
    <row r="24" spans="1:41">
      <c r="A24" s="448"/>
      <c r="B24" s="448"/>
      <c r="C24" s="457"/>
      <c r="D24" s="438"/>
      <c r="E24" s="456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56"/>
      <c r="X24" s="438"/>
      <c r="Y24" s="438"/>
      <c r="Z24" s="438"/>
      <c r="AA24" s="438"/>
      <c r="AB24" s="438"/>
      <c r="AC24" s="445"/>
      <c r="AD24" s="446"/>
      <c r="AE24" s="446"/>
      <c r="AF24" s="446"/>
      <c r="AG24" s="446"/>
      <c r="AH24" s="110"/>
      <c r="AI24" s="110"/>
      <c r="AJ24" s="98"/>
      <c r="AK24" s="110"/>
      <c r="AL24" s="110"/>
      <c r="AM24" s="110"/>
      <c r="AN24" s="110"/>
      <c r="AO24" s="111"/>
    </row>
    <row r="25" spans="1:41">
      <c r="A25" s="443"/>
      <c r="B25" s="443"/>
      <c r="C25" s="455"/>
      <c r="D25" s="438"/>
      <c r="E25" s="456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56"/>
      <c r="X25" s="438"/>
      <c r="Y25" s="438"/>
      <c r="Z25" s="438"/>
      <c r="AA25" s="438"/>
      <c r="AB25" s="438"/>
      <c r="AC25" s="445"/>
      <c r="AD25" s="446"/>
      <c r="AE25" s="446"/>
      <c r="AF25" s="446"/>
      <c r="AG25" s="446"/>
      <c r="AH25" s="110"/>
      <c r="AI25" s="110"/>
      <c r="AJ25" s="98"/>
      <c r="AK25" s="110"/>
      <c r="AL25" s="110"/>
      <c r="AM25" s="110"/>
      <c r="AN25" s="110"/>
      <c r="AO25" s="111"/>
    </row>
    <row r="26" spans="1:41">
      <c r="A26" s="438"/>
      <c r="B26" s="438"/>
      <c r="C26" s="439"/>
      <c r="D26" s="438"/>
      <c r="E26" s="456"/>
      <c r="F26" s="438"/>
      <c r="G26" s="456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45"/>
      <c r="AD26" s="446"/>
      <c r="AE26" s="446"/>
      <c r="AF26" s="446"/>
      <c r="AG26" s="446"/>
      <c r="AH26" s="110"/>
      <c r="AI26" s="110"/>
      <c r="AJ26" s="98"/>
      <c r="AK26" s="110"/>
      <c r="AL26" s="110"/>
      <c r="AM26" s="110"/>
      <c r="AN26" s="110"/>
      <c r="AO26" s="111"/>
    </row>
    <row r="27" spans="1:41">
      <c r="A27" s="438"/>
      <c r="B27" s="438"/>
      <c r="C27" s="439"/>
      <c r="D27" s="438"/>
      <c r="E27" s="456"/>
      <c r="F27" s="438"/>
      <c r="G27" s="456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45"/>
      <c r="S27" s="446"/>
      <c r="T27" s="447"/>
      <c r="U27" s="447"/>
      <c r="V27" s="447"/>
      <c r="W27" s="460"/>
      <c r="X27" s="438"/>
      <c r="Y27" s="438"/>
      <c r="Z27" s="438"/>
      <c r="AA27" s="438"/>
      <c r="AB27" s="438"/>
      <c r="AC27" s="445"/>
      <c r="AD27" s="446"/>
      <c r="AE27" s="446"/>
      <c r="AF27" s="446"/>
      <c r="AG27" s="446"/>
      <c r="AH27" s="110"/>
      <c r="AI27" s="110"/>
      <c r="AJ27" s="98"/>
      <c r="AK27" s="110"/>
      <c r="AL27" s="110"/>
      <c r="AM27" s="110"/>
      <c r="AN27" s="110"/>
      <c r="AO27" s="111"/>
    </row>
    <row r="28" spans="1:41">
      <c r="A28" s="438"/>
      <c r="B28" s="438"/>
      <c r="C28" s="439"/>
      <c r="D28" s="438"/>
      <c r="E28" s="456"/>
      <c r="F28" s="438"/>
      <c r="G28" s="456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45"/>
      <c r="S28" s="446"/>
      <c r="T28" s="447"/>
      <c r="U28" s="447"/>
      <c r="V28" s="447"/>
      <c r="W28" s="460"/>
      <c r="X28" s="438"/>
      <c r="Y28" s="438"/>
      <c r="Z28" s="438"/>
      <c r="AA28" s="438"/>
      <c r="AB28" s="438"/>
      <c r="AC28" s="445"/>
      <c r="AD28" s="446"/>
      <c r="AE28" s="446"/>
      <c r="AF28" s="446"/>
      <c r="AG28" s="446"/>
      <c r="AH28" s="110"/>
      <c r="AI28" s="110"/>
      <c r="AJ28" s="98"/>
      <c r="AK28" s="110"/>
      <c r="AL28" s="110"/>
      <c r="AM28" s="110"/>
      <c r="AN28" s="110"/>
      <c r="AO28" s="111"/>
    </row>
    <row r="29" spans="1:41">
      <c r="A29" s="438"/>
      <c r="B29" s="438"/>
      <c r="C29" s="439"/>
      <c r="D29" s="438"/>
      <c r="E29" s="456"/>
      <c r="F29" s="438"/>
      <c r="G29" s="456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45"/>
      <c r="S29" s="446"/>
      <c r="T29" s="447"/>
      <c r="U29" s="447"/>
      <c r="V29" s="447"/>
      <c r="W29" s="460"/>
      <c r="X29" s="438"/>
      <c r="Y29" s="438"/>
      <c r="Z29" s="438"/>
      <c r="AA29" s="438"/>
      <c r="AB29" s="438"/>
      <c r="AC29" s="445"/>
      <c r="AD29" s="446"/>
      <c r="AE29" s="446"/>
      <c r="AF29" s="446"/>
      <c r="AG29" s="446"/>
      <c r="AH29" s="110"/>
      <c r="AI29" s="110"/>
      <c r="AJ29" s="98"/>
      <c r="AK29" s="110"/>
      <c r="AL29" s="110"/>
      <c r="AM29" s="110"/>
      <c r="AN29" s="110"/>
      <c r="AO29" s="111"/>
    </row>
    <row r="30" spans="1:41">
      <c r="A30" s="438"/>
      <c r="B30" s="438"/>
      <c r="C30" s="439"/>
      <c r="D30" s="438"/>
      <c r="E30" s="456"/>
      <c r="F30" s="438"/>
      <c r="G30" s="456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45"/>
      <c r="S30" s="446"/>
      <c r="T30" s="447"/>
      <c r="U30" s="447"/>
      <c r="V30" s="447"/>
      <c r="W30" s="460"/>
      <c r="X30" s="438"/>
      <c r="Y30" s="438"/>
      <c r="Z30" s="438"/>
      <c r="AA30" s="438"/>
      <c r="AB30" s="438"/>
      <c r="AC30" s="438"/>
      <c r="AD30" s="438"/>
      <c r="AE30" s="438"/>
      <c r="AF30" s="438"/>
      <c r="AG30" s="438"/>
      <c r="AO30" s="96"/>
    </row>
    <row r="31" spans="1:41">
      <c r="A31" s="438"/>
      <c r="B31" s="438"/>
      <c r="C31" s="439"/>
      <c r="D31" s="438"/>
      <c r="E31" s="456"/>
      <c r="F31" s="438"/>
      <c r="G31" s="456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45"/>
      <c r="S31" s="446"/>
      <c r="T31" s="447"/>
      <c r="U31" s="447"/>
      <c r="V31" s="447"/>
      <c r="W31" s="460"/>
      <c r="X31" s="438"/>
      <c r="Y31" s="438"/>
      <c r="Z31" s="438"/>
      <c r="AA31" s="438"/>
      <c r="AB31" s="438"/>
      <c r="AC31" s="438"/>
      <c r="AD31" s="438"/>
      <c r="AE31" s="438"/>
      <c r="AF31" s="438"/>
      <c r="AG31" s="438"/>
    </row>
    <row r="32" spans="1:41">
      <c r="A32" s="438"/>
      <c r="B32" s="438"/>
      <c r="C32" s="439"/>
      <c r="D32" s="438"/>
      <c r="E32" s="456"/>
      <c r="F32" s="438"/>
      <c r="G32" s="456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45"/>
      <c r="S32" s="446"/>
      <c r="T32" s="447"/>
      <c r="U32" s="447"/>
      <c r="V32" s="447"/>
      <c r="W32" s="460"/>
      <c r="X32" s="438"/>
      <c r="Y32" s="438"/>
      <c r="Z32" s="438"/>
      <c r="AA32" s="438"/>
      <c r="AB32" s="438"/>
      <c r="AC32" s="438"/>
      <c r="AD32" s="438"/>
      <c r="AE32" s="438"/>
      <c r="AF32" s="438"/>
      <c r="AG32" s="438"/>
    </row>
    <row r="33" spans="1:33">
      <c r="A33" s="438"/>
      <c r="B33" s="438"/>
      <c r="C33" s="439"/>
      <c r="D33" s="438"/>
      <c r="E33" s="456"/>
      <c r="F33" s="438"/>
      <c r="G33" s="456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45"/>
      <c r="S33" s="446"/>
      <c r="T33" s="447"/>
      <c r="U33" s="447"/>
      <c r="V33" s="447"/>
      <c r="W33" s="460"/>
      <c r="X33" s="438"/>
      <c r="Y33" s="438"/>
      <c r="Z33" s="438"/>
      <c r="AA33" s="438"/>
      <c r="AB33" s="438"/>
      <c r="AC33" s="438"/>
      <c r="AD33" s="438"/>
      <c r="AE33" s="438"/>
      <c r="AF33" s="438"/>
      <c r="AG33" s="438"/>
    </row>
    <row r="34" spans="1:33">
      <c r="A34" s="438"/>
      <c r="B34" s="438"/>
      <c r="C34" s="439"/>
      <c r="D34" s="438"/>
      <c r="E34" s="456"/>
      <c r="F34" s="438"/>
      <c r="G34" s="456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45"/>
      <c r="S34" s="446"/>
      <c r="T34" s="447"/>
      <c r="U34" s="447"/>
      <c r="V34" s="447"/>
      <c r="W34" s="460"/>
      <c r="X34" s="438"/>
      <c r="Y34" s="438"/>
      <c r="Z34" s="438"/>
      <c r="AA34" s="438"/>
      <c r="AB34" s="438"/>
      <c r="AC34" s="438"/>
      <c r="AD34" s="438"/>
      <c r="AE34" s="438"/>
      <c r="AF34" s="438"/>
      <c r="AG34" s="438"/>
    </row>
    <row r="35" spans="1:33">
      <c r="A35" s="438"/>
      <c r="B35" s="438"/>
      <c r="C35" s="439"/>
      <c r="D35" s="438"/>
      <c r="E35" s="456"/>
      <c r="F35" s="438"/>
      <c r="G35" s="456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45"/>
      <c r="S35" s="446"/>
      <c r="T35" s="447"/>
      <c r="U35" s="447"/>
      <c r="V35" s="447"/>
      <c r="W35" s="460"/>
      <c r="X35" s="438"/>
      <c r="Y35" s="438"/>
      <c r="Z35" s="438"/>
      <c r="AA35" s="438"/>
      <c r="AB35" s="438"/>
      <c r="AC35" s="438"/>
      <c r="AD35" s="438"/>
      <c r="AE35" s="438"/>
      <c r="AF35" s="438"/>
      <c r="AG35" s="438"/>
    </row>
    <row r="36" spans="1:33">
      <c r="A36" s="438"/>
      <c r="B36" s="438"/>
      <c r="C36" s="439"/>
      <c r="D36" s="438"/>
      <c r="E36" s="456"/>
      <c r="F36" s="438"/>
      <c r="G36" s="456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45"/>
      <c r="S36" s="446"/>
      <c r="T36" s="447"/>
      <c r="U36" s="447"/>
      <c r="V36" s="447"/>
      <c r="W36" s="460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</row>
    <row r="37" spans="1:33">
      <c r="A37" s="438"/>
      <c r="B37" s="438"/>
      <c r="C37" s="439"/>
      <c r="D37" s="438"/>
      <c r="E37" s="456"/>
      <c r="F37" s="438"/>
      <c r="G37" s="456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</row>
    <row r="38" spans="1:33">
      <c r="A38" s="438"/>
      <c r="B38" s="438"/>
      <c r="C38" s="439"/>
      <c r="D38" s="438"/>
      <c r="E38" s="456"/>
      <c r="F38" s="438"/>
      <c r="G38" s="456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</row>
    <row r="39" spans="1:33">
      <c r="A39" s="438"/>
      <c r="B39" s="438"/>
      <c r="C39" s="439"/>
      <c r="D39" s="438"/>
      <c r="E39" s="456"/>
      <c r="F39" s="438"/>
      <c r="G39" s="456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</row>
    <row r="40" spans="1:33">
      <c r="A40" s="438"/>
      <c r="B40" s="438"/>
      <c r="C40" s="439"/>
      <c r="D40" s="438"/>
      <c r="E40" s="456"/>
      <c r="F40" s="438"/>
      <c r="G40" s="456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</row>
    <row r="41" spans="1:33">
      <c r="A41" s="438"/>
      <c r="B41" s="438"/>
      <c r="C41" s="439"/>
      <c r="D41" s="438"/>
      <c r="E41" s="456"/>
      <c r="F41" s="438"/>
      <c r="G41" s="456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8"/>
      <c r="U41" s="438"/>
      <c r="V41" s="438"/>
      <c r="W41" s="438"/>
      <c r="X41" s="438"/>
      <c r="Y41" s="438"/>
      <c r="Z41" s="438"/>
      <c r="AA41" s="438"/>
      <c r="AB41" s="438"/>
      <c r="AC41" s="438"/>
      <c r="AD41" s="438"/>
      <c r="AE41" s="438"/>
      <c r="AF41" s="438"/>
      <c r="AG41" s="438"/>
    </row>
    <row r="42" spans="1:33" ht="14.25" customHeight="1">
      <c r="A42" s="438"/>
      <c r="B42" s="438"/>
      <c r="C42" s="439"/>
      <c r="D42" s="438"/>
      <c r="E42" s="456"/>
      <c r="F42" s="438"/>
      <c r="G42" s="456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438"/>
      <c r="AC42" s="438"/>
      <c r="AD42" s="438"/>
      <c r="AE42" s="438"/>
      <c r="AF42" s="438"/>
      <c r="AG42" s="438"/>
    </row>
    <row r="43" spans="1:33">
      <c r="A43" s="448"/>
      <c r="B43" s="448"/>
      <c r="C43" s="457"/>
      <c r="D43" s="448"/>
      <c r="E43" s="456"/>
      <c r="F43" s="438"/>
      <c r="G43" s="456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8"/>
      <c r="AF43" s="438"/>
      <c r="AG43" s="438"/>
    </row>
    <row r="44" spans="1:33" ht="14.25" customHeight="1">
      <c r="A44" s="438"/>
      <c r="B44" s="438"/>
      <c r="C44" s="439"/>
      <c r="D44" s="438"/>
      <c r="E44" s="456"/>
      <c r="F44" s="438"/>
      <c r="G44" s="456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8"/>
      <c r="AF44" s="438"/>
      <c r="AG44" s="438"/>
    </row>
    <row r="45" spans="1:33">
      <c r="A45" s="107"/>
      <c r="B45" s="107"/>
      <c r="C45" s="108"/>
      <c r="D45" s="107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S19" sqref="S19"/>
    </sheetView>
  </sheetViews>
  <sheetFormatPr defaultRowHeight="14.25"/>
  <cols>
    <col min="1" max="1" width="10.42578125" style="9" customWidth="1"/>
    <col min="2" max="2" width="13.42578125" style="96" customWidth="1"/>
    <col min="3" max="3" width="11.7109375" style="96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476</v>
      </c>
    </row>
    <row r="5" spans="1:15" ht="15">
      <c r="A5" s="1"/>
    </row>
    <row r="6" spans="1:15">
      <c r="A6" s="9" t="s">
        <v>208</v>
      </c>
    </row>
    <row r="7" spans="1:15">
      <c r="A7" s="9" t="s">
        <v>209</v>
      </c>
    </row>
    <row r="8" spans="1:15" ht="15" thickBot="1">
      <c r="B8" s="9"/>
      <c r="C8" s="9"/>
    </row>
    <row r="9" spans="1:15" s="116" customFormat="1" ht="41.25" customHeight="1" thickBot="1">
      <c r="A9" s="967" t="str">
        <f>'10+UNIDADES_2024'!A7</f>
        <v>Secretaria Municipal de Assistência e Desenvolvimento Social</v>
      </c>
      <c r="B9" s="968"/>
      <c r="C9" s="969"/>
      <c r="E9" s="967" t="str">
        <f>'10+UNIDADES_2024'!A8</f>
        <v>Secretaria Municipal das Subprefeituras</v>
      </c>
      <c r="F9" s="968"/>
      <c r="G9" s="969"/>
      <c r="I9" s="967" t="str">
        <f>'10+UNIDADES_2024'!A9</f>
        <v>Secretaria Municipal da Saúde</v>
      </c>
      <c r="J9" s="968"/>
      <c r="K9" s="969"/>
      <c r="M9" s="967" t="str">
        <f>'10+UNIDADES_2024'!A10</f>
        <v>Secretaria Executiva de Limpeza Urbana**</v>
      </c>
      <c r="N9" s="968"/>
      <c r="O9" s="969"/>
    </row>
    <row r="10" spans="1:15" ht="15.75" thickBot="1">
      <c r="A10" s="714" t="s">
        <v>2</v>
      </c>
      <c r="B10" s="4" t="s">
        <v>210</v>
      </c>
      <c r="C10" s="718" t="s">
        <v>211</v>
      </c>
      <c r="E10" s="712" t="s">
        <v>2</v>
      </c>
      <c r="F10" s="4" t="s">
        <v>210</v>
      </c>
      <c r="G10" s="718" t="s">
        <v>211</v>
      </c>
      <c r="I10" s="714" t="s">
        <v>2</v>
      </c>
      <c r="J10" s="4" t="s">
        <v>210</v>
      </c>
      <c r="K10" s="718" t="s">
        <v>211</v>
      </c>
      <c r="M10" s="712" t="s">
        <v>2</v>
      </c>
      <c r="N10" s="5" t="s">
        <v>210</v>
      </c>
      <c r="O10" s="713" t="s">
        <v>211</v>
      </c>
    </row>
    <row r="11" spans="1:15" ht="15">
      <c r="A11" s="702">
        <v>45292</v>
      </c>
      <c r="B11" s="172">
        <f>'10+UNIDADES_2024'!M7</f>
        <v>711</v>
      </c>
      <c r="C11" s="719">
        <f>((B11-350)/350)*100</f>
        <v>103.14285714285714</v>
      </c>
      <c r="E11" s="702">
        <v>45292</v>
      </c>
      <c r="F11" s="172">
        <f>'10+UNIDADES_2024'!M8</f>
        <v>560</v>
      </c>
      <c r="G11" s="719">
        <f>((F11-514)/514)*100</f>
        <v>8.9494163424124515</v>
      </c>
      <c r="I11" s="702">
        <v>45292</v>
      </c>
      <c r="J11" s="172">
        <f>'10+UNIDADES_2024'!M9</f>
        <v>439</v>
      </c>
      <c r="K11" s="719">
        <f>((J11-398)/398)*100</f>
        <v>10.301507537688442</v>
      </c>
      <c r="M11" s="702">
        <v>45292</v>
      </c>
      <c r="N11" s="118">
        <f>'10+UNIDADES_2024'!M10</f>
        <v>379</v>
      </c>
      <c r="O11" s="720">
        <f>((N11-336)/336)*100</f>
        <v>12.797619047619047</v>
      </c>
    </row>
    <row r="12" spans="1:15" ht="15">
      <c r="A12" s="704">
        <v>45323</v>
      </c>
      <c r="B12" s="790">
        <f>'10+UNIDADES_2024'!L7</f>
        <v>0</v>
      </c>
      <c r="C12" s="791">
        <f t="shared" ref="C12:C18" si="0">((B12-B11)/B11)*100</f>
        <v>-100</v>
      </c>
      <c r="E12" s="704">
        <v>45323</v>
      </c>
      <c r="F12" s="790">
        <f>'10+UNIDADES_2024'!L8</f>
        <v>0</v>
      </c>
      <c r="G12" s="791">
        <f t="shared" ref="G12:G17" si="1">((F12-F11)/F11)*100</f>
        <v>-100</v>
      </c>
      <c r="I12" s="704">
        <v>45323</v>
      </c>
      <c r="J12" s="790">
        <f>'10+UNIDADES_2024'!L9</f>
        <v>0</v>
      </c>
      <c r="K12" s="791">
        <f t="shared" ref="K12:K17" si="2">((J12-J11)/J11)*100</f>
        <v>-100</v>
      </c>
      <c r="M12" s="704">
        <v>45323</v>
      </c>
      <c r="N12" s="783">
        <f>'10+UNIDADES_2024'!L10</f>
        <v>0</v>
      </c>
      <c r="O12" s="784">
        <f t="shared" ref="O12:O17" si="3">((N12-N11)/N11)*100</f>
        <v>-100</v>
      </c>
    </row>
    <row r="13" spans="1:15" ht="15">
      <c r="A13" s="704">
        <v>45352</v>
      </c>
      <c r="B13" s="790">
        <f>'10+UNIDADES_2024'!K7</f>
        <v>0</v>
      </c>
      <c r="C13" s="791" t="e">
        <f t="shared" si="0"/>
        <v>#DIV/0!</v>
      </c>
      <c r="E13" s="704">
        <v>45352</v>
      </c>
      <c r="F13" s="790">
        <f>'10+UNIDADES_2024'!K8</f>
        <v>0</v>
      </c>
      <c r="G13" s="791" t="e">
        <f t="shared" si="1"/>
        <v>#DIV/0!</v>
      </c>
      <c r="I13" s="704">
        <v>45352</v>
      </c>
      <c r="J13" s="790">
        <f>'10+UNIDADES_2024'!K9</f>
        <v>0</v>
      </c>
      <c r="K13" s="791" t="e">
        <f t="shared" si="2"/>
        <v>#DIV/0!</v>
      </c>
      <c r="M13" s="704">
        <v>45352</v>
      </c>
      <c r="N13" s="783">
        <f>'10+UNIDADES_2024'!K10</f>
        <v>0</v>
      </c>
      <c r="O13" s="784" t="e">
        <f t="shared" si="3"/>
        <v>#DIV/0!</v>
      </c>
    </row>
    <row r="14" spans="1:15" ht="15">
      <c r="A14" s="704">
        <v>45383</v>
      </c>
      <c r="B14" s="790">
        <f>'10+UNIDADES_2024'!J$7</f>
        <v>0</v>
      </c>
      <c r="C14" s="791" t="e">
        <f t="shared" si="0"/>
        <v>#DIV/0!</v>
      </c>
      <c r="E14" s="704">
        <v>45383</v>
      </c>
      <c r="F14" s="790">
        <f>'10+UNIDADES_2024'!J$8</f>
        <v>0</v>
      </c>
      <c r="G14" s="791" t="e">
        <f t="shared" si="1"/>
        <v>#DIV/0!</v>
      </c>
      <c r="I14" s="704">
        <v>45383</v>
      </c>
      <c r="J14" s="790">
        <f>'10+UNIDADES_2024'!J$9</f>
        <v>0</v>
      </c>
      <c r="K14" s="791" t="e">
        <f t="shared" si="2"/>
        <v>#DIV/0!</v>
      </c>
      <c r="M14" s="704">
        <v>45383</v>
      </c>
      <c r="N14" s="783">
        <f>'10+UNIDADES_2024'!J$10</f>
        <v>0</v>
      </c>
      <c r="O14" s="784" t="e">
        <f t="shared" si="3"/>
        <v>#DIV/0!</v>
      </c>
    </row>
    <row r="15" spans="1:15" ht="15">
      <c r="A15" s="704">
        <v>45413</v>
      </c>
      <c r="B15" s="790">
        <f>'10+UNIDADES_2024'!I$7</f>
        <v>0</v>
      </c>
      <c r="C15" s="791" t="e">
        <f t="shared" si="0"/>
        <v>#DIV/0!</v>
      </c>
      <c r="E15" s="704">
        <v>45413</v>
      </c>
      <c r="F15" s="790">
        <f>'10+UNIDADES_2024'!I$8</f>
        <v>0</v>
      </c>
      <c r="G15" s="791" t="e">
        <f t="shared" si="1"/>
        <v>#DIV/0!</v>
      </c>
      <c r="I15" s="704">
        <v>45413</v>
      </c>
      <c r="J15" s="790">
        <f>'10+UNIDADES_2024'!I$9</f>
        <v>0</v>
      </c>
      <c r="K15" s="791" t="e">
        <f t="shared" si="2"/>
        <v>#DIV/0!</v>
      </c>
      <c r="M15" s="704">
        <v>45413</v>
      </c>
      <c r="N15" s="783">
        <f>'10+UNIDADES_2024'!I$10</f>
        <v>0</v>
      </c>
      <c r="O15" s="784" t="e">
        <f t="shared" si="3"/>
        <v>#DIV/0!</v>
      </c>
    </row>
    <row r="16" spans="1:15" ht="15">
      <c r="A16" s="704">
        <v>45444</v>
      </c>
      <c r="B16" s="790">
        <f>'10+UNIDADES_2024'!H$7</f>
        <v>0</v>
      </c>
      <c r="C16" s="791" t="e">
        <f t="shared" si="0"/>
        <v>#DIV/0!</v>
      </c>
      <c r="E16" s="704">
        <v>45444</v>
      </c>
      <c r="F16" s="790">
        <f>'10+UNIDADES_2024'!H$8</f>
        <v>0</v>
      </c>
      <c r="G16" s="791" t="e">
        <f t="shared" si="1"/>
        <v>#DIV/0!</v>
      </c>
      <c r="I16" s="704">
        <v>45444</v>
      </c>
      <c r="J16" s="790">
        <f>'10+UNIDADES_2024'!H$9</f>
        <v>0</v>
      </c>
      <c r="K16" s="791" t="e">
        <f t="shared" si="2"/>
        <v>#DIV/0!</v>
      </c>
      <c r="M16" s="704">
        <v>45444</v>
      </c>
      <c r="N16" s="783">
        <f>'10+UNIDADES_2024'!H$10</f>
        <v>0</v>
      </c>
      <c r="O16" s="784" t="e">
        <f t="shared" si="3"/>
        <v>#DIV/0!</v>
      </c>
    </row>
    <row r="17" spans="1:15" ht="15">
      <c r="A17" s="704">
        <v>45474</v>
      </c>
      <c r="B17" s="790">
        <f>'10+UNIDADES_2024'!G$7</f>
        <v>0</v>
      </c>
      <c r="C17" s="791" t="e">
        <f t="shared" si="0"/>
        <v>#DIV/0!</v>
      </c>
      <c r="E17" s="704">
        <v>45474</v>
      </c>
      <c r="F17" s="790">
        <f>'10+UNIDADES_2024'!G$8</f>
        <v>0</v>
      </c>
      <c r="G17" s="791" t="e">
        <f t="shared" si="1"/>
        <v>#DIV/0!</v>
      </c>
      <c r="I17" s="704">
        <v>45474</v>
      </c>
      <c r="J17" s="790">
        <f>'10+UNIDADES_2024'!G$9</f>
        <v>0</v>
      </c>
      <c r="K17" s="791" t="e">
        <f t="shared" si="2"/>
        <v>#DIV/0!</v>
      </c>
      <c r="M17" s="704">
        <v>45474</v>
      </c>
      <c r="N17" s="783">
        <f>'10+UNIDADES_2024'!G$10</f>
        <v>0</v>
      </c>
      <c r="O17" s="784" t="e">
        <f t="shared" si="3"/>
        <v>#DIV/0!</v>
      </c>
    </row>
    <row r="18" spans="1:15" ht="15">
      <c r="A18" s="704">
        <v>45505</v>
      </c>
      <c r="B18" s="790">
        <f>'10+UNIDADES_2024'!F$7</f>
        <v>0</v>
      </c>
      <c r="C18" s="791" t="e">
        <f t="shared" si="0"/>
        <v>#DIV/0!</v>
      </c>
      <c r="E18" s="704">
        <v>45505</v>
      </c>
      <c r="F18" s="790">
        <f>'10+UNIDADES_2024'!F$8</f>
        <v>0</v>
      </c>
      <c r="G18" s="791" t="e">
        <f t="shared" ref="G18" si="4">((F18-F17)/F17)*100</f>
        <v>#DIV/0!</v>
      </c>
      <c r="I18" s="704">
        <v>45505</v>
      </c>
      <c r="J18" s="790">
        <f>'10+UNIDADES_2024'!F$9</f>
        <v>0</v>
      </c>
      <c r="K18" s="791" t="e">
        <f t="shared" ref="K18" si="5">((J18-J17)/J17)*100</f>
        <v>#DIV/0!</v>
      </c>
      <c r="M18" s="704">
        <v>45505</v>
      </c>
      <c r="N18" s="783">
        <f>'10+UNIDADES_2024'!F$10</f>
        <v>0</v>
      </c>
      <c r="O18" s="784" t="e">
        <f t="shared" ref="O18" si="6">((N18-N17)/N17)*100</f>
        <v>#DIV/0!</v>
      </c>
    </row>
    <row r="19" spans="1:15" ht="15">
      <c r="A19" s="704">
        <v>45536</v>
      </c>
      <c r="B19" s="790">
        <f>'10+UNIDADES_2024'!E$7</f>
        <v>0</v>
      </c>
      <c r="C19" s="791" t="e">
        <f t="shared" ref="C19:C21" si="7">((B19-B18)/B18)*100</f>
        <v>#DIV/0!</v>
      </c>
      <c r="E19" s="704">
        <v>45536</v>
      </c>
      <c r="F19" s="790">
        <f>'10+UNIDADES_2024'!E$8</f>
        <v>0</v>
      </c>
      <c r="G19" s="791" t="e">
        <f t="shared" ref="G19:G21" si="8">((F19-F18)/F18)*100</f>
        <v>#DIV/0!</v>
      </c>
      <c r="I19" s="704">
        <v>45536</v>
      </c>
      <c r="J19" s="790">
        <f>'10+UNIDADES_2024'!E$9</f>
        <v>0</v>
      </c>
      <c r="K19" s="791" t="e">
        <f t="shared" ref="K19:K21" si="9">((J19-J18)/J18)*100</f>
        <v>#DIV/0!</v>
      </c>
      <c r="M19" s="704">
        <v>45536</v>
      </c>
      <c r="N19" s="783">
        <f>'10+UNIDADES_2024'!E$10</f>
        <v>0</v>
      </c>
      <c r="O19" s="784" t="e">
        <f t="shared" ref="O19:O21" si="10">((N19-N18)/N18)*100</f>
        <v>#DIV/0!</v>
      </c>
    </row>
    <row r="20" spans="1:15" ht="15">
      <c r="A20" s="704">
        <v>45566</v>
      </c>
      <c r="B20" s="790">
        <f>'10+UNIDADES_2024'!D$7</f>
        <v>0</v>
      </c>
      <c r="C20" s="791" t="e">
        <f t="shared" si="7"/>
        <v>#DIV/0!</v>
      </c>
      <c r="E20" s="704">
        <v>45566</v>
      </c>
      <c r="F20" s="790">
        <f>'10+UNIDADES_2024'!D$8</f>
        <v>0</v>
      </c>
      <c r="G20" s="791" t="e">
        <f t="shared" si="8"/>
        <v>#DIV/0!</v>
      </c>
      <c r="I20" s="704">
        <v>45566</v>
      </c>
      <c r="J20" s="790">
        <f>'10+UNIDADES_2024'!D$9</f>
        <v>0</v>
      </c>
      <c r="K20" s="791" t="e">
        <f t="shared" si="9"/>
        <v>#DIV/0!</v>
      </c>
      <c r="M20" s="704">
        <v>45566</v>
      </c>
      <c r="N20" s="783">
        <f>'10+UNIDADES_2024'!D$10</f>
        <v>0</v>
      </c>
      <c r="O20" s="784" t="e">
        <f t="shared" si="10"/>
        <v>#DIV/0!</v>
      </c>
    </row>
    <row r="21" spans="1:15" ht="15">
      <c r="A21" s="704">
        <v>45597</v>
      </c>
      <c r="B21" s="790">
        <f>'10+UNIDADES_2024'!C$7</f>
        <v>0</v>
      </c>
      <c r="C21" s="791" t="e">
        <f t="shared" si="7"/>
        <v>#DIV/0!</v>
      </c>
      <c r="E21" s="704">
        <v>45597</v>
      </c>
      <c r="F21" s="790">
        <f>'10+UNIDADES_2024'!C$8</f>
        <v>0</v>
      </c>
      <c r="G21" s="791" t="e">
        <f t="shared" si="8"/>
        <v>#DIV/0!</v>
      </c>
      <c r="I21" s="704">
        <v>45597</v>
      </c>
      <c r="J21" s="790">
        <f>'10+UNIDADES_2024'!C$9</f>
        <v>0</v>
      </c>
      <c r="K21" s="791" t="e">
        <f t="shared" si="9"/>
        <v>#DIV/0!</v>
      </c>
      <c r="M21" s="704">
        <v>45597</v>
      </c>
      <c r="N21" s="783">
        <f>'10+UNIDADES_2024'!C$10</f>
        <v>0</v>
      </c>
      <c r="O21" s="784" t="e">
        <f t="shared" si="10"/>
        <v>#DIV/0!</v>
      </c>
    </row>
    <row r="22" spans="1:15" ht="15.75" thickBot="1">
      <c r="A22" s="705">
        <v>45627</v>
      </c>
      <c r="B22" s="792">
        <f>'10+UNIDADES_2024'!B$7</f>
        <v>0</v>
      </c>
      <c r="C22" s="793" t="e">
        <f t="shared" ref="C22" si="11">((B22-B21)/B21)*100</f>
        <v>#DIV/0!</v>
      </c>
      <c r="E22" s="705">
        <v>45627</v>
      </c>
      <c r="F22" s="792">
        <f>'10+UNIDADES_2024'!B$8</f>
        <v>0</v>
      </c>
      <c r="G22" s="793" t="e">
        <f t="shared" ref="G22" si="12">((F22-F21)/F21)*100</f>
        <v>#DIV/0!</v>
      </c>
      <c r="I22" s="705">
        <v>45627</v>
      </c>
      <c r="J22" s="792">
        <f>'10+UNIDADES_2024'!B$9</f>
        <v>0</v>
      </c>
      <c r="K22" s="793" t="e">
        <f t="shared" ref="K22" si="13">((J22-J21)/J21)*100</f>
        <v>#DIV/0!</v>
      </c>
      <c r="M22" s="705">
        <v>45627</v>
      </c>
      <c r="N22" s="785">
        <f>'10+UNIDADES_2024'!B$10</f>
        <v>0</v>
      </c>
      <c r="O22" s="786" t="e">
        <f t="shared" ref="O22" si="14"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30.75" customHeight="1" thickBot="1">
      <c r="A25" s="967" t="str">
        <f>'10+UNIDADES_2024'!A11</f>
        <v>Secretaria Municipal da Fazenda</v>
      </c>
      <c r="B25" s="968"/>
      <c r="C25" s="969"/>
      <c r="E25" s="967" t="str">
        <f>'10+UNIDADES_2024'!A12</f>
        <v>Companhia de Engenharia de Tráfego - CET</v>
      </c>
      <c r="F25" s="968"/>
      <c r="G25" s="969"/>
      <c r="I25" s="967" t="str">
        <f>'10+UNIDADES_2024'!A13</f>
        <v>Secretaria Municipal de Educação</v>
      </c>
      <c r="J25" s="968"/>
      <c r="K25" s="969"/>
      <c r="M25" s="967" t="str">
        <f>'10+UNIDADES_2024'!A14</f>
        <v>São Paulo Transportes - SPTRANS</v>
      </c>
      <c r="N25" s="968"/>
      <c r="O25" s="969"/>
    </row>
    <row r="26" spans="1:15" ht="15.75" thickBot="1">
      <c r="A26" s="714" t="s">
        <v>2</v>
      </c>
      <c r="B26" s="5" t="s">
        <v>210</v>
      </c>
      <c r="C26" s="713" t="s">
        <v>211</v>
      </c>
      <c r="E26" s="712" t="s">
        <v>2</v>
      </c>
      <c r="F26" s="5" t="s">
        <v>210</v>
      </c>
      <c r="G26" s="713" t="s">
        <v>211</v>
      </c>
      <c r="I26" s="714" t="s">
        <v>2</v>
      </c>
      <c r="J26" s="5" t="s">
        <v>210</v>
      </c>
      <c r="K26" s="713" t="s">
        <v>211</v>
      </c>
      <c r="M26" s="721" t="s">
        <v>2</v>
      </c>
      <c r="N26" s="5" t="s">
        <v>210</v>
      </c>
      <c r="O26" s="713" t="s">
        <v>211</v>
      </c>
    </row>
    <row r="27" spans="1:15" ht="15">
      <c r="A27" s="702">
        <v>45292</v>
      </c>
      <c r="B27" s="118">
        <f>'10+UNIDADES_2024'!M11</f>
        <v>354</v>
      </c>
      <c r="C27" s="720">
        <f>((B27-301)/301)*100</f>
        <v>17.607973421926911</v>
      </c>
      <c r="E27" s="702">
        <v>45292</v>
      </c>
      <c r="F27" s="118">
        <f>'10+UNIDADES_2024'!M12</f>
        <v>328</v>
      </c>
      <c r="G27" s="720">
        <f>((F27-266)/266)*100</f>
        <v>23.308270676691727</v>
      </c>
      <c r="I27" s="702">
        <v>45292</v>
      </c>
      <c r="J27" s="118">
        <f>'10+UNIDADES_2024'!M13</f>
        <v>268</v>
      </c>
      <c r="K27" s="720">
        <f>((J27-148)/148)*100</f>
        <v>81.081081081081081</v>
      </c>
      <c r="M27" s="702">
        <v>45292</v>
      </c>
      <c r="N27" s="118">
        <f>'10+UNIDADES_2024'!M14</f>
        <v>180</v>
      </c>
      <c r="O27" s="720">
        <f>((N27-163)/163)*100</f>
        <v>10.429447852760736</v>
      </c>
    </row>
    <row r="28" spans="1:15" ht="15">
      <c r="A28" s="704">
        <v>45323</v>
      </c>
      <c r="B28" s="783">
        <f>'10+UNIDADES_2024'!L11</f>
        <v>0</v>
      </c>
      <c r="C28" s="784">
        <f t="shared" ref="C28:C33" si="15">((B28-B27)/B27)*100</f>
        <v>-100</v>
      </c>
      <c r="E28" s="704">
        <v>45323</v>
      </c>
      <c r="F28" s="783">
        <f>'10+UNIDADES_2024'!L12</f>
        <v>0</v>
      </c>
      <c r="G28" s="784">
        <f t="shared" ref="G28:G33" si="16">((F28-F27)/F27)*100</f>
        <v>-100</v>
      </c>
      <c r="I28" s="704">
        <v>45323</v>
      </c>
      <c r="J28" s="783">
        <f>'10+UNIDADES_2024'!L13</f>
        <v>0</v>
      </c>
      <c r="K28" s="784">
        <f t="shared" ref="K28:K33" si="17">((J28-J27)/J27)*100</f>
        <v>-100</v>
      </c>
      <c r="M28" s="704">
        <v>45323</v>
      </c>
      <c r="N28" s="783">
        <f>'10+UNIDADES_2024'!L14</f>
        <v>0</v>
      </c>
      <c r="O28" s="784">
        <f t="shared" ref="O28:O33" si="18">((N28-N27)/N27)*100</f>
        <v>-100</v>
      </c>
    </row>
    <row r="29" spans="1:15" ht="15">
      <c r="A29" s="704">
        <v>45352</v>
      </c>
      <c r="B29" s="783">
        <f>'10+UNIDADES_2024'!K11</f>
        <v>0</v>
      </c>
      <c r="C29" s="784" t="e">
        <f t="shared" si="15"/>
        <v>#DIV/0!</v>
      </c>
      <c r="E29" s="704">
        <v>45352</v>
      </c>
      <c r="F29" s="783">
        <f>'10+UNIDADES_2024'!K12</f>
        <v>0</v>
      </c>
      <c r="G29" s="784" t="e">
        <f t="shared" si="16"/>
        <v>#DIV/0!</v>
      </c>
      <c r="I29" s="704">
        <v>45352</v>
      </c>
      <c r="J29" s="783">
        <f>'10+UNIDADES_2024'!K13</f>
        <v>0</v>
      </c>
      <c r="K29" s="784" t="e">
        <f t="shared" si="17"/>
        <v>#DIV/0!</v>
      </c>
      <c r="M29" s="704">
        <v>45352</v>
      </c>
      <c r="N29" s="783">
        <f>'10+UNIDADES_2024'!K14</f>
        <v>0</v>
      </c>
      <c r="O29" s="784" t="e">
        <f t="shared" si="18"/>
        <v>#DIV/0!</v>
      </c>
    </row>
    <row r="30" spans="1:15" ht="15">
      <c r="A30" s="704">
        <v>45383</v>
      </c>
      <c r="B30" s="783">
        <f>'10+UNIDADES_2024'!J$11</f>
        <v>0</v>
      </c>
      <c r="C30" s="784" t="e">
        <f t="shared" si="15"/>
        <v>#DIV/0!</v>
      </c>
      <c r="E30" s="704">
        <v>45383</v>
      </c>
      <c r="F30" s="783">
        <f>'10+UNIDADES_2024'!J$12</f>
        <v>0</v>
      </c>
      <c r="G30" s="784" t="e">
        <f t="shared" si="16"/>
        <v>#DIV/0!</v>
      </c>
      <c r="I30" s="704">
        <v>45383</v>
      </c>
      <c r="J30" s="783">
        <f>'10+UNIDADES_2024'!J$13</f>
        <v>0</v>
      </c>
      <c r="K30" s="784" t="e">
        <f t="shared" si="17"/>
        <v>#DIV/0!</v>
      </c>
      <c r="M30" s="704">
        <v>45383</v>
      </c>
      <c r="N30" s="783">
        <f>'10+UNIDADES_2024'!J$14</f>
        <v>0</v>
      </c>
      <c r="O30" s="784" t="e">
        <f t="shared" si="18"/>
        <v>#DIV/0!</v>
      </c>
    </row>
    <row r="31" spans="1:15" ht="15">
      <c r="A31" s="704">
        <v>45413</v>
      </c>
      <c r="B31" s="783">
        <f>'10+UNIDADES_2024'!I$11</f>
        <v>0</v>
      </c>
      <c r="C31" s="784" t="e">
        <f t="shared" si="15"/>
        <v>#DIV/0!</v>
      </c>
      <c r="E31" s="704">
        <v>45413</v>
      </c>
      <c r="F31" s="783">
        <f>'10+UNIDADES_2024'!I$12</f>
        <v>0</v>
      </c>
      <c r="G31" s="784" t="e">
        <f t="shared" si="16"/>
        <v>#DIV/0!</v>
      </c>
      <c r="I31" s="704">
        <v>45413</v>
      </c>
      <c r="J31" s="783">
        <f>'10+UNIDADES_2024'!I$13</f>
        <v>0</v>
      </c>
      <c r="K31" s="784" t="e">
        <f t="shared" si="17"/>
        <v>#DIV/0!</v>
      </c>
      <c r="M31" s="704">
        <v>45413</v>
      </c>
      <c r="N31" s="783">
        <f>'10+UNIDADES_2024'!I$14</f>
        <v>0</v>
      </c>
      <c r="O31" s="784" t="e">
        <f t="shared" si="18"/>
        <v>#DIV/0!</v>
      </c>
    </row>
    <row r="32" spans="1:15" ht="15">
      <c r="A32" s="704">
        <v>45444</v>
      </c>
      <c r="B32" s="783">
        <f>'10+UNIDADES_2024'!H$11</f>
        <v>0</v>
      </c>
      <c r="C32" s="784" t="e">
        <f t="shared" si="15"/>
        <v>#DIV/0!</v>
      </c>
      <c r="E32" s="704">
        <v>45444</v>
      </c>
      <c r="F32" s="783">
        <f>'10+UNIDADES_2024'!H$12</f>
        <v>0</v>
      </c>
      <c r="G32" s="784" t="e">
        <f t="shared" si="16"/>
        <v>#DIV/0!</v>
      </c>
      <c r="I32" s="704">
        <v>45444</v>
      </c>
      <c r="J32" s="783">
        <f>'10+UNIDADES_2024'!H$13</f>
        <v>0</v>
      </c>
      <c r="K32" s="784" t="e">
        <f t="shared" si="17"/>
        <v>#DIV/0!</v>
      </c>
      <c r="M32" s="704">
        <v>45444</v>
      </c>
      <c r="N32" s="783">
        <f>'10+UNIDADES_2024'!H$14</f>
        <v>0</v>
      </c>
      <c r="O32" s="784" t="e">
        <f t="shared" si="18"/>
        <v>#DIV/0!</v>
      </c>
    </row>
    <row r="33" spans="1:15" ht="15">
      <c r="A33" s="704">
        <v>45474</v>
      </c>
      <c r="B33" s="783">
        <f>'10+UNIDADES_2024'!G$11</f>
        <v>0</v>
      </c>
      <c r="C33" s="784" t="e">
        <f t="shared" si="15"/>
        <v>#DIV/0!</v>
      </c>
      <c r="E33" s="704">
        <v>45474</v>
      </c>
      <c r="F33" s="783">
        <f>'10+UNIDADES_2024'!G$12</f>
        <v>0</v>
      </c>
      <c r="G33" s="784" t="e">
        <f t="shared" si="16"/>
        <v>#DIV/0!</v>
      </c>
      <c r="I33" s="704">
        <v>45474</v>
      </c>
      <c r="J33" s="783">
        <f>'10+UNIDADES_2024'!G$13</f>
        <v>0</v>
      </c>
      <c r="K33" s="784" t="e">
        <f t="shared" si="17"/>
        <v>#DIV/0!</v>
      </c>
      <c r="M33" s="704">
        <v>45474</v>
      </c>
      <c r="N33" s="783">
        <f>'10+UNIDADES_2024'!G$14</f>
        <v>0</v>
      </c>
      <c r="O33" s="784" t="e">
        <f t="shared" si="18"/>
        <v>#DIV/0!</v>
      </c>
    </row>
    <row r="34" spans="1:15" ht="15">
      <c r="A34" s="704">
        <v>45505</v>
      </c>
      <c r="B34" s="783">
        <f>'10+UNIDADES_2024'!F$11</f>
        <v>0</v>
      </c>
      <c r="C34" s="784" t="e">
        <f t="shared" ref="C34" si="19">((B34-B33)/B33)*100</f>
        <v>#DIV/0!</v>
      </c>
      <c r="E34" s="704">
        <v>45505</v>
      </c>
      <c r="F34" s="783">
        <f>'10+UNIDADES_2024'!F$12</f>
        <v>0</v>
      </c>
      <c r="G34" s="784" t="e">
        <f t="shared" ref="G34" si="20">((F34-F33)/F33)*100</f>
        <v>#DIV/0!</v>
      </c>
      <c r="I34" s="704">
        <v>45505</v>
      </c>
      <c r="J34" s="783">
        <f>'10+UNIDADES_2024'!F$13</f>
        <v>0</v>
      </c>
      <c r="K34" s="784" t="e">
        <f t="shared" ref="K34" si="21">((J34-J33)/J33)*100</f>
        <v>#DIV/0!</v>
      </c>
      <c r="M34" s="704">
        <v>45505</v>
      </c>
      <c r="N34" s="783">
        <f>'10+UNIDADES_2024'!F$14</f>
        <v>0</v>
      </c>
      <c r="O34" s="784" t="e">
        <f t="shared" ref="O34" si="22">((N34-N33)/N33)*100</f>
        <v>#DIV/0!</v>
      </c>
    </row>
    <row r="35" spans="1:15" ht="15">
      <c r="A35" s="704">
        <v>45536</v>
      </c>
      <c r="B35" s="783">
        <f>'10+UNIDADES_2024'!E$11</f>
        <v>0</v>
      </c>
      <c r="C35" s="784" t="e">
        <f t="shared" ref="C35:C37" si="23">((B35-B34)/B34)*100</f>
        <v>#DIV/0!</v>
      </c>
      <c r="E35" s="704">
        <v>45536</v>
      </c>
      <c r="F35" s="783">
        <f>'10+UNIDADES_2024'!E$12</f>
        <v>0</v>
      </c>
      <c r="G35" s="784" t="e">
        <f t="shared" ref="G35:G38" si="24">((F35-F34)/F34)*100</f>
        <v>#DIV/0!</v>
      </c>
      <c r="I35" s="704">
        <v>45536</v>
      </c>
      <c r="J35" s="783">
        <f>'10+UNIDADES_2024'!E$13</f>
        <v>0</v>
      </c>
      <c r="K35" s="784" t="e">
        <f t="shared" ref="K35:K37" si="25">((J35-J34)/J34)*100</f>
        <v>#DIV/0!</v>
      </c>
      <c r="M35" s="704">
        <v>45536</v>
      </c>
      <c r="N35" s="783">
        <f>'10+UNIDADES_2024'!E$14</f>
        <v>0</v>
      </c>
      <c r="O35" s="784" t="e">
        <f t="shared" ref="O35:O37" si="26">((N35-N34)/N34)*100</f>
        <v>#DIV/0!</v>
      </c>
    </row>
    <row r="36" spans="1:15" ht="15">
      <c r="A36" s="704">
        <v>45566</v>
      </c>
      <c r="B36" s="783">
        <f>'10+UNIDADES_2024'!D$11</f>
        <v>0</v>
      </c>
      <c r="C36" s="784" t="e">
        <f t="shared" si="23"/>
        <v>#DIV/0!</v>
      </c>
      <c r="E36" s="704">
        <v>45566</v>
      </c>
      <c r="F36" s="783">
        <f>'10+UNIDADES_2024'!D$12</f>
        <v>0</v>
      </c>
      <c r="G36" s="784" t="e">
        <f t="shared" si="24"/>
        <v>#DIV/0!</v>
      </c>
      <c r="I36" s="704">
        <v>45566</v>
      </c>
      <c r="J36" s="783">
        <f>'10+UNIDADES_2024'!D$13</f>
        <v>0</v>
      </c>
      <c r="K36" s="784" t="e">
        <f t="shared" si="25"/>
        <v>#DIV/0!</v>
      </c>
      <c r="M36" s="704">
        <v>45566</v>
      </c>
      <c r="N36" s="783">
        <f>'10+UNIDADES_2024'!D$14</f>
        <v>0</v>
      </c>
      <c r="O36" s="784" t="e">
        <f t="shared" si="26"/>
        <v>#DIV/0!</v>
      </c>
    </row>
    <row r="37" spans="1:15" ht="15">
      <c r="A37" s="704">
        <v>45597</v>
      </c>
      <c r="B37" s="783">
        <f>'10+UNIDADES_2024'!C$11</f>
        <v>0</v>
      </c>
      <c r="C37" s="784" t="e">
        <f t="shared" si="23"/>
        <v>#DIV/0!</v>
      </c>
      <c r="E37" s="704">
        <v>45597</v>
      </c>
      <c r="F37" s="783">
        <f>'10+UNIDADES_2024'!C$12</f>
        <v>0</v>
      </c>
      <c r="G37" s="784" t="e">
        <f t="shared" si="24"/>
        <v>#DIV/0!</v>
      </c>
      <c r="I37" s="704">
        <v>45597</v>
      </c>
      <c r="J37" s="783">
        <f>'10+UNIDADES_2024'!C$13</f>
        <v>0</v>
      </c>
      <c r="K37" s="784" t="e">
        <f t="shared" si="25"/>
        <v>#DIV/0!</v>
      </c>
      <c r="M37" s="704">
        <v>45597</v>
      </c>
      <c r="N37" s="783">
        <f>'10+UNIDADES_2024'!C$14</f>
        <v>0</v>
      </c>
      <c r="O37" s="784" t="e">
        <f t="shared" si="26"/>
        <v>#DIV/0!</v>
      </c>
    </row>
    <row r="38" spans="1:15" ht="15.75" thickBot="1">
      <c r="A38" s="705">
        <v>45627</v>
      </c>
      <c r="B38" s="785">
        <f>'10+UNIDADES_2024'!B$11</f>
        <v>0</v>
      </c>
      <c r="C38" s="786" t="e">
        <f t="shared" ref="C38" si="27">((B38-B37)/B37)*100</f>
        <v>#DIV/0!</v>
      </c>
      <c r="E38" s="705">
        <v>45627</v>
      </c>
      <c r="F38" s="785">
        <f>'10+UNIDADES_2024'!B$12</f>
        <v>0</v>
      </c>
      <c r="G38" s="786" t="e">
        <f t="shared" si="24"/>
        <v>#DIV/0!</v>
      </c>
      <c r="I38" s="705">
        <v>45627</v>
      </c>
      <c r="J38" s="785">
        <f>'10+UNIDADES_2024'!B$13</f>
        <v>0</v>
      </c>
      <c r="K38" s="786" t="e">
        <f t="shared" ref="K38" si="28">((J38-J37)/J37)*100</f>
        <v>#DIV/0!</v>
      </c>
      <c r="M38" s="705">
        <v>45627</v>
      </c>
      <c r="N38" s="785">
        <f>'10+UNIDADES_2024'!B$14</f>
        <v>0</v>
      </c>
      <c r="O38" s="786" t="e">
        <f t="shared" ref="O38" si="29">((N38-N37)/N37)*100</f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967" t="str">
        <f>'10+UNIDADES_2024'!A15</f>
        <v>Órgão externo</v>
      </c>
      <c r="B41" s="968"/>
      <c r="C41" s="969"/>
      <c r="E41" s="967" t="str">
        <f>'10+UNIDADES_2024'!A16</f>
        <v xml:space="preserve">Agência Reguladora de Serviços Públicos do Município de São Paulo** </v>
      </c>
      <c r="F41" s="968"/>
      <c r="G41" s="969"/>
    </row>
    <row r="42" spans="1:15" ht="15.75" thickBot="1">
      <c r="A42" s="721" t="s">
        <v>2</v>
      </c>
      <c r="B42" s="5" t="s">
        <v>210</v>
      </c>
      <c r="C42" s="713" t="s">
        <v>211</v>
      </c>
      <c r="E42" s="714" t="s">
        <v>2</v>
      </c>
      <c r="F42" s="5" t="s">
        <v>210</v>
      </c>
      <c r="G42" s="713" t="s">
        <v>211</v>
      </c>
    </row>
    <row r="43" spans="1:15" ht="15">
      <c r="A43" s="702">
        <v>45292</v>
      </c>
      <c r="B43" s="118">
        <f>'10+UNIDADES_2024'!M15</f>
        <v>175</v>
      </c>
      <c r="C43" s="720">
        <f>((B43-159)/159)*100</f>
        <v>10.062893081761008</v>
      </c>
      <c r="E43" s="702">
        <v>45292</v>
      </c>
      <c r="F43" s="118">
        <f>'10+UNIDADES_2024'!M16</f>
        <v>111</v>
      </c>
      <c r="G43" s="720">
        <f>((F43-59)/59)*100</f>
        <v>88.135593220338976</v>
      </c>
    </row>
    <row r="44" spans="1:15" ht="15">
      <c r="A44" s="704">
        <v>45323</v>
      </c>
      <c r="B44" s="783">
        <f>'10+UNIDADES_2024'!L15</f>
        <v>0</v>
      </c>
      <c r="C44" s="784">
        <f t="shared" ref="C44:C49" si="30">((B44-B43)/B43)*100</f>
        <v>-100</v>
      </c>
      <c r="E44" s="704">
        <v>45323</v>
      </c>
      <c r="F44" s="783">
        <f>'10+UNIDADES_2024'!L16</f>
        <v>0</v>
      </c>
      <c r="G44" s="784">
        <f t="shared" ref="G44:G49" si="31">((F44-F43)/F43)*100</f>
        <v>-100</v>
      </c>
    </row>
    <row r="45" spans="1:15" ht="15">
      <c r="A45" s="704">
        <v>45352</v>
      </c>
      <c r="B45" s="783">
        <f>'10+UNIDADES_2024'!K15</f>
        <v>0</v>
      </c>
      <c r="C45" s="784" t="e">
        <f t="shared" si="30"/>
        <v>#DIV/0!</v>
      </c>
      <c r="E45" s="704">
        <v>45352</v>
      </c>
      <c r="F45" s="783">
        <f>'10+UNIDADES_2024'!K16</f>
        <v>0</v>
      </c>
      <c r="G45" s="784" t="e">
        <f t="shared" si="31"/>
        <v>#DIV/0!</v>
      </c>
    </row>
    <row r="46" spans="1:15" ht="15">
      <c r="A46" s="704">
        <v>45383</v>
      </c>
      <c r="B46" s="783">
        <f>'10+UNIDADES_2024'!J$15</f>
        <v>0</v>
      </c>
      <c r="C46" s="784" t="e">
        <f t="shared" si="30"/>
        <v>#DIV/0!</v>
      </c>
      <c r="E46" s="704">
        <v>45383</v>
      </c>
      <c r="F46" s="783">
        <f>'10+UNIDADES_2024'!J$16</f>
        <v>0</v>
      </c>
      <c r="G46" s="784" t="e">
        <f t="shared" si="31"/>
        <v>#DIV/0!</v>
      </c>
    </row>
    <row r="47" spans="1:15" ht="15">
      <c r="A47" s="704">
        <v>45413</v>
      </c>
      <c r="B47" s="783">
        <f>'10+UNIDADES_2024'!I$15</f>
        <v>0</v>
      </c>
      <c r="C47" s="784" t="e">
        <f t="shared" si="30"/>
        <v>#DIV/0!</v>
      </c>
      <c r="E47" s="704">
        <v>45413</v>
      </c>
      <c r="F47" s="783">
        <f>'10+UNIDADES_2024'!I$16</f>
        <v>0</v>
      </c>
      <c r="G47" s="784" t="e">
        <f t="shared" si="31"/>
        <v>#DIV/0!</v>
      </c>
    </row>
    <row r="48" spans="1:15" ht="15">
      <c r="A48" s="704">
        <v>45444</v>
      </c>
      <c r="B48" s="783">
        <f>'10+UNIDADES_2024'!H$15</f>
        <v>0</v>
      </c>
      <c r="C48" s="784" t="e">
        <f t="shared" si="30"/>
        <v>#DIV/0!</v>
      </c>
      <c r="E48" s="704">
        <v>45444</v>
      </c>
      <c r="F48" s="783">
        <f>'10+UNIDADES_2024'!H$16</f>
        <v>0</v>
      </c>
      <c r="G48" s="784" t="e">
        <f t="shared" si="31"/>
        <v>#DIV/0!</v>
      </c>
    </row>
    <row r="49" spans="1:7" ht="15">
      <c r="A49" s="704">
        <v>45474</v>
      </c>
      <c r="B49" s="783">
        <f>'10+UNIDADES_2024'!G$15</f>
        <v>0</v>
      </c>
      <c r="C49" s="784" t="e">
        <f t="shared" si="30"/>
        <v>#DIV/0!</v>
      </c>
      <c r="E49" s="704">
        <v>45474</v>
      </c>
      <c r="F49" s="783">
        <f>'10+UNIDADES_2024'!G$16</f>
        <v>0</v>
      </c>
      <c r="G49" s="784" t="e">
        <f t="shared" si="31"/>
        <v>#DIV/0!</v>
      </c>
    </row>
    <row r="50" spans="1:7" ht="15">
      <c r="A50" s="704">
        <v>45505</v>
      </c>
      <c r="B50" s="783">
        <f>'10+UNIDADES_2024'!F$15</f>
        <v>0</v>
      </c>
      <c r="C50" s="784" t="e">
        <f t="shared" ref="C50" si="32">((B50-B49)/B49)*100</f>
        <v>#DIV/0!</v>
      </c>
      <c r="E50" s="704">
        <v>45505</v>
      </c>
      <c r="F50" s="783">
        <f>'10+UNIDADES_2024'!F$16</f>
        <v>0</v>
      </c>
      <c r="G50" s="784" t="e">
        <f t="shared" ref="G50" si="33">((F50-F49)/F49)*100</f>
        <v>#DIV/0!</v>
      </c>
    </row>
    <row r="51" spans="1:7" ht="15">
      <c r="A51" s="704">
        <v>45536</v>
      </c>
      <c r="B51" s="783">
        <f>'10+UNIDADES_2024'!E$15</f>
        <v>0</v>
      </c>
      <c r="C51" s="784" t="e">
        <f t="shared" ref="C51:C53" si="34">((B51-B50)/B50)*100</f>
        <v>#DIV/0!</v>
      </c>
      <c r="E51" s="704">
        <v>45536</v>
      </c>
      <c r="F51" s="783">
        <f>'10+UNIDADES_2024'!E$16</f>
        <v>0</v>
      </c>
      <c r="G51" s="784" t="e">
        <f t="shared" ref="G51:G53" si="35">((F51-F50)/F50)*100</f>
        <v>#DIV/0!</v>
      </c>
    </row>
    <row r="52" spans="1:7" ht="15">
      <c r="A52" s="704">
        <v>45566</v>
      </c>
      <c r="B52" s="783">
        <f>'10+UNIDADES_2024'!D$15</f>
        <v>0</v>
      </c>
      <c r="C52" s="784" t="e">
        <f t="shared" si="34"/>
        <v>#DIV/0!</v>
      </c>
      <c r="E52" s="704">
        <v>45566</v>
      </c>
      <c r="F52" s="783">
        <f>'10+UNIDADES_2024'!D$16</f>
        <v>0</v>
      </c>
      <c r="G52" s="784" t="e">
        <f t="shared" si="35"/>
        <v>#DIV/0!</v>
      </c>
    </row>
    <row r="53" spans="1:7" ht="15">
      <c r="A53" s="704">
        <v>45597</v>
      </c>
      <c r="B53" s="783">
        <f>'10+UNIDADES_2024'!C$15</f>
        <v>0</v>
      </c>
      <c r="C53" s="784" t="e">
        <f t="shared" si="34"/>
        <v>#DIV/0!</v>
      </c>
      <c r="E53" s="704">
        <v>45597</v>
      </c>
      <c r="F53" s="783">
        <f>'10+UNIDADES_2024'!C$16</f>
        <v>0</v>
      </c>
      <c r="G53" s="784" t="e">
        <f t="shared" si="35"/>
        <v>#DIV/0!</v>
      </c>
    </row>
    <row r="54" spans="1:7" ht="15.75" thickBot="1">
      <c r="A54" s="705">
        <v>45627</v>
      </c>
      <c r="B54" s="785">
        <f>'10+UNIDADES_2024'!B$15</f>
        <v>0</v>
      </c>
      <c r="C54" s="786" t="e">
        <f t="shared" ref="C54" si="36">((B54-B53)/B53)*100</f>
        <v>#DIV/0!</v>
      </c>
      <c r="E54" s="705">
        <v>45627</v>
      </c>
      <c r="F54" s="785">
        <f>'10+UNIDADES_2024'!B$16</f>
        <v>0</v>
      </c>
      <c r="G54" s="786" t="e">
        <f t="shared" ref="G54" si="37">((F54-F53)/F53)*100</f>
        <v>#DIV/0!</v>
      </c>
    </row>
    <row r="55" spans="1:7">
      <c r="B55" s="9"/>
      <c r="C55" s="9"/>
    </row>
    <row r="56" spans="1:7">
      <c r="B56" s="9"/>
      <c r="C56" s="9"/>
    </row>
    <row r="57" spans="1:7">
      <c r="B57" s="9"/>
      <c r="C57" s="9"/>
    </row>
    <row r="58" spans="1:7">
      <c r="B58" s="9"/>
      <c r="C58" s="9"/>
    </row>
    <row r="59" spans="1:7">
      <c r="B59" s="9"/>
      <c r="C59" s="9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>
      <selection activeCell="K23" sqref="K23"/>
    </sheetView>
  </sheetViews>
  <sheetFormatPr defaultColWidth="5.5703125" defaultRowHeight="14.25"/>
  <cols>
    <col min="1" max="1" width="52.42578125" style="9" customWidth="1"/>
    <col min="2" max="2" width="7.7109375" style="110" bestFit="1" customWidth="1"/>
    <col min="3" max="4" width="7.5703125" style="110" bestFit="1" customWidth="1"/>
    <col min="5" max="5" width="7.5703125" style="110" customWidth="1"/>
    <col min="6" max="6" width="9.140625" style="110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94" t="s">
        <v>0</v>
      </c>
      <c r="B1" s="140"/>
      <c r="C1" s="140"/>
      <c r="D1" s="140"/>
      <c r="E1" s="140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495</v>
      </c>
      <c r="B4" s="6"/>
      <c r="C4" s="6"/>
      <c r="D4" s="6"/>
      <c r="E4" s="6"/>
    </row>
    <row r="6" spans="1:18" ht="15.75" thickBot="1">
      <c r="A6" s="173" t="s">
        <v>205</v>
      </c>
      <c r="B6" s="136">
        <v>45292</v>
      </c>
      <c r="C6" s="136">
        <v>45261</v>
      </c>
      <c r="D6" s="145">
        <v>45231</v>
      </c>
      <c r="E6" s="136" t="s">
        <v>5</v>
      </c>
      <c r="F6" s="171" t="s">
        <v>6</v>
      </c>
    </row>
    <row r="7" spans="1:18" ht="14.25" customHeight="1" thickBot="1">
      <c r="A7" s="471" t="s">
        <v>229</v>
      </c>
      <c r="B7" s="473">
        <v>711</v>
      </c>
      <c r="C7" s="473">
        <v>350</v>
      </c>
      <c r="D7" s="473">
        <v>630</v>
      </c>
      <c r="E7" s="174">
        <f>SUM(B7:D7)</f>
        <v>1691</v>
      </c>
      <c r="F7" s="175">
        <f>AVERAGE(B7:D7)</f>
        <v>563.66666666666663</v>
      </c>
      <c r="R7" s="109"/>
    </row>
    <row r="8" spans="1:18" ht="15" customHeight="1" thickBot="1">
      <c r="A8" s="472" t="s">
        <v>228</v>
      </c>
      <c r="B8" s="27">
        <v>560</v>
      </c>
      <c r="C8" s="27">
        <v>514</v>
      </c>
      <c r="D8" s="37">
        <v>592</v>
      </c>
      <c r="E8" s="32">
        <f t="shared" ref="E8:E16" si="0">SUM(B8:D8)</f>
        <v>1666</v>
      </c>
      <c r="F8" s="148">
        <f t="shared" ref="F8:F17" si="1">AVERAGE(B8:D8)</f>
        <v>555.33333333333337</v>
      </c>
      <c r="R8" s="109"/>
    </row>
    <row r="9" spans="1:18" ht="15.75" thickBot="1">
      <c r="A9" s="472" t="s">
        <v>227</v>
      </c>
      <c r="B9" s="37">
        <v>439</v>
      </c>
      <c r="C9" s="37">
        <v>398</v>
      </c>
      <c r="D9" s="37">
        <v>394</v>
      </c>
      <c r="E9" s="32">
        <f t="shared" si="0"/>
        <v>1231</v>
      </c>
      <c r="F9" s="148">
        <f t="shared" si="1"/>
        <v>410.33333333333331</v>
      </c>
      <c r="R9" s="109"/>
    </row>
    <row r="10" spans="1:18" ht="15.75" thickBot="1">
      <c r="A10" s="472" t="s">
        <v>224</v>
      </c>
      <c r="B10" s="37">
        <v>379</v>
      </c>
      <c r="C10" s="37">
        <v>336</v>
      </c>
      <c r="D10" s="37">
        <v>255</v>
      </c>
      <c r="E10" s="32">
        <f t="shared" si="0"/>
        <v>970</v>
      </c>
      <c r="F10" s="148">
        <f t="shared" si="1"/>
        <v>323.33333333333331</v>
      </c>
      <c r="R10" s="109"/>
    </row>
    <row r="11" spans="1:18" ht="15.75" thickBot="1">
      <c r="A11" s="472" t="s">
        <v>225</v>
      </c>
      <c r="B11" s="37">
        <v>354</v>
      </c>
      <c r="C11" s="37">
        <v>301</v>
      </c>
      <c r="D11" s="37">
        <v>269</v>
      </c>
      <c r="E11" s="32">
        <f t="shared" si="0"/>
        <v>924</v>
      </c>
      <c r="F11" s="148">
        <f t="shared" si="1"/>
        <v>308</v>
      </c>
      <c r="R11" s="109"/>
    </row>
    <row r="12" spans="1:18" ht="15" customHeight="1" thickBot="1">
      <c r="A12" s="472" t="s">
        <v>214</v>
      </c>
      <c r="B12" s="37">
        <v>328</v>
      </c>
      <c r="C12" s="37">
        <v>266</v>
      </c>
      <c r="D12" s="37">
        <v>274</v>
      </c>
      <c r="E12" s="32">
        <f t="shared" si="0"/>
        <v>868</v>
      </c>
      <c r="F12" s="148">
        <f t="shared" si="1"/>
        <v>289.33333333333331</v>
      </c>
      <c r="R12" s="109"/>
    </row>
    <row r="13" spans="1:18" ht="15.75" thickBot="1">
      <c r="A13" s="472" t="s">
        <v>220</v>
      </c>
      <c r="B13" s="37">
        <v>180</v>
      </c>
      <c r="C13" s="37">
        <v>163</v>
      </c>
      <c r="D13" s="37">
        <v>234</v>
      </c>
      <c r="E13" s="32">
        <f t="shared" si="0"/>
        <v>577</v>
      </c>
      <c r="F13" s="148">
        <f t="shared" si="1"/>
        <v>192.33333333333334</v>
      </c>
      <c r="R13" s="109"/>
    </row>
    <row r="14" spans="1:18" ht="15.75" thickBot="1">
      <c r="A14" s="472" t="s">
        <v>233</v>
      </c>
      <c r="B14" s="37">
        <v>268</v>
      </c>
      <c r="C14" s="37">
        <v>148</v>
      </c>
      <c r="D14" s="37">
        <v>146</v>
      </c>
      <c r="E14" s="32">
        <f t="shared" si="0"/>
        <v>562</v>
      </c>
      <c r="F14" s="148">
        <f t="shared" si="1"/>
        <v>187.33333333333334</v>
      </c>
      <c r="R14" s="109"/>
    </row>
    <row r="15" spans="1:18" ht="15.75" thickBot="1">
      <c r="A15" s="472" t="s">
        <v>144</v>
      </c>
      <c r="B15" s="37">
        <v>175</v>
      </c>
      <c r="C15" s="37">
        <v>159</v>
      </c>
      <c r="D15" s="37">
        <v>195</v>
      </c>
      <c r="E15" s="32">
        <f t="shared" si="0"/>
        <v>529</v>
      </c>
      <c r="F15" s="148">
        <f t="shared" si="1"/>
        <v>176.33333333333334</v>
      </c>
      <c r="R15" s="109"/>
    </row>
    <row r="16" spans="1:18" ht="15.75" thickBot="1">
      <c r="A16" s="472" t="s">
        <v>273</v>
      </c>
      <c r="B16" s="37">
        <v>77</v>
      </c>
      <c r="C16" s="37">
        <v>54</v>
      </c>
      <c r="D16" s="37">
        <v>334</v>
      </c>
      <c r="E16" s="176">
        <f t="shared" si="0"/>
        <v>465</v>
      </c>
      <c r="F16" s="177">
        <f t="shared" si="1"/>
        <v>155</v>
      </c>
      <c r="R16" s="109"/>
    </row>
    <row r="17" spans="1:7" ht="15.75" customHeight="1" thickBot="1">
      <c r="A17" s="105" t="s">
        <v>5</v>
      </c>
      <c r="B17" s="53">
        <f>SUM(B7:B16)</f>
        <v>3471</v>
      </c>
      <c r="C17" s="173">
        <f>SUM(C7:C16)</f>
        <v>2689</v>
      </c>
      <c r="D17" s="54">
        <f>SUM(D7:D16)</f>
        <v>3323</v>
      </c>
      <c r="E17" s="162">
        <f>SUM(E7:E16)</f>
        <v>9483</v>
      </c>
      <c r="F17" s="178">
        <f t="shared" si="1"/>
        <v>3161</v>
      </c>
    </row>
    <row r="18" spans="1:7" ht="15">
      <c r="A18" s="179"/>
      <c r="B18" s="6"/>
      <c r="C18" s="6"/>
      <c r="D18" s="6"/>
      <c r="E18" s="6"/>
    </row>
    <row r="19" spans="1:7" ht="57" customHeight="1">
      <c r="A19" s="106"/>
      <c r="B19" s="180"/>
      <c r="C19" s="180"/>
      <c r="D19" s="180"/>
      <c r="E19" s="180"/>
      <c r="F19" s="954"/>
      <c r="G19" s="954"/>
    </row>
    <row r="20" spans="1:7">
      <c r="A20" s="107"/>
      <c r="B20" s="181"/>
      <c r="C20" s="181"/>
      <c r="D20" s="181"/>
      <c r="E20" s="181"/>
    </row>
    <row r="21" spans="1:7" ht="82.5" customHeight="1">
      <c r="A21" s="106"/>
      <c r="B21" s="180"/>
      <c r="C21" s="180"/>
      <c r="D21" s="180"/>
      <c r="E21" s="180"/>
      <c r="F21" s="954"/>
      <c r="G21" s="954"/>
    </row>
    <row r="22" spans="1:7">
      <c r="A22" s="106"/>
      <c r="B22" s="180"/>
      <c r="C22" s="180"/>
      <c r="D22" s="180"/>
      <c r="E22" s="180"/>
    </row>
    <row r="23" spans="1:7" ht="66.75" customHeight="1">
      <c r="A23" s="106"/>
      <c r="B23" s="180"/>
      <c r="C23" s="180"/>
      <c r="D23" s="180"/>
      <c r="E23" s="180"/>
      <c r="F23" s="954"/>
      <c r="G23" s="954"/>
    </row>
    <row r="24" spans="1:7">
      <c r="A24" s="107"/>
      <c r="B24" s="181"/>
      <c r="C24" s="181"/>
      <c r="D24" s="181"/>
      <c r="E24" s="181"/>
    </row>
    <row r="25" spans="1:7">
      <c r="A25" s="106"/>
      <c r="B25" s="180"/>
      <c r="C25" s="180"/>
      <c r="D25" s="180"/>
      <c r="E25" s="180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workbookViewId="0">
      <selection activeCell="T36" sqref="T36"/>
    </sheetView>
  </sheetViews>
  <sheetFormatPr defaultColWidth="5.5703125" defaultRowHeight="14.25"/>
  <cols>
    <col min="1" max="1" width="58.28515625" style="9" customWidth="1"/>
    <col min="2" max="2" width="8.140625" style="110" customWidth="1"/>
    <col min="3" max="16" width="9.140625" style="9" customWidth="1"/>
    <col min="17" max="21" width="9.140625" style="97" customWidth="1"/>
    <col min="22" max="22" width="12" style="97" customWidth="1"/>
    <col min="23" max="23" width="9.140625" style="97" customWidth="1"/>
    <col min="24" max="24" width="12.85546875" style="97" customWidth="1"/>
    <col min="25" max="25" width="20.28515625" style="97" bestFit="1" customWidth="1"/>
    <col min="26" max="26" width="24.28515625" style="97" hidden="1" customWidth="1"/>
    <col min="27" max="27" width="9.140625" style="97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94" t="s">
        <v>0</v>
      </c>
    </row>
    <row r="2" spans="1:15" ht="15">
      <c r="A2" s="1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">
      <c r="A3" s="1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5">
      <c r="A4" s="1" t="s">
        <v>496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15" thickBot="1"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5" ht="15.75" thickBot="1">
      <c r="A6" s="635" t="s">
        <v>205</v>
      </c>
      <c r="B6" s="55">
        <v>45292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>
      <c r="A7" s="642" t="s">
        <v>229</v>
      </c>
      <c r="B7" s="637">
        <v>711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5">
      <c r="A8" s="636" t="s">
        <v>228</v>
      </c>
      <c r="B8" s="643">
        <v>560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5" ht="15" customHeight="1">
      <c r="A9" s="636" t="s">
        <v>227</v>
      </c>
      <c r="B9" s="638">
        <v>439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>
      <c r="A10" s="636" t="s">
        <v>477</v>
      </c>
      <c r="B10" s="638">
        <v>379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>
      <c r="A11" s="636" t="s">
        <v>225</v>
      </c>
      <c r="B11" s="638">
        <v>354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1:15">
      <c r="A12" s="636" t="s">
        <v>478</v>
      </c>
      <c r="B12" s="638">
        <v>328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1:15" ht="15" customHeight="1">
      <c r="A13" s="636" t="s">
        <v>233</v>
      </c>
      <c r="B13" s="638">
        <v>268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1:15">
      <c r="A14" s="636" t="s">
        <v>479</v>
      </c>
      <c r="B14" s="638">
        <v>180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>
      <c r="A15" s="636" t="s">
        <v>144</v>
      </c>
      <c r="B15" s="638">
        <v>175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5" ht="15" thickBot="1">
      <c r="A16" s="640" t="s">
        <v>480</v>
      </c>
      <c r="B16" s="639">
        <v>111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1:31" ht="15.75" thickBot="1">
      <c r="A17" s="641" t="s">
        <v>5</v>
      </c>
      <c r="B17" s="570">
        <f>SUM(B7:B16)</f>
        <v>3505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18" spans="1:31" ht="15">
      <c r="A18" s="474"/>
      <c r="B18" s="475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</row>
    <row r="19" spans="1:31">
      <c r="A19" s="443" t="s">
        <v>278</v>
      </c>
      <c r="B19" s="461"/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29"/>
      <c r="Q19" s="429"/>
      <c r="R19" s="438"/>
      <c r="S19" s="9"/>
      <c r="T19" s="9"/>
    </row>
    <row r="20" spans="1:31" s="429" customFormat="1" ht="15.75" customHeight="1">
      <c r="A20" s="433"/>
      <c r="B20" s="722"/>
    </row>
    <row r="21" spans="1:31" s="429" customFormat="1">
      <c r="A21" s="432"/>
      <c r="B21" s="794"/>
    </row>
    <row r="22" spans="1:31" s="438" customFormat="1" ht="15" customHeight="1">
      <c r="A22" s="442"/>
      <c r="B22" s="438" t="str">
        <f>A7</f>
        <v>Secretaria Municipal de Assistência e Desenvolvimento Social</v>
      </c>
      <c r="C22" s="438" t="str">
        <f>A8</f>
        <v>Secretaria Municipal das Subprefeituras</v>
      </c>
      <c r="D22" s="438" t="str">
        <f>A9</f>
        <v>Secretaria Municipal da Saúde</v>
      </c>
      <c r="E22" s="438" t="str">
        <f>A10</f>
        <v>Secretaria Executiva de Limpeza Urbana</v>
      </c>
      <c r="F22" s="438" t="str">
        <f>A11</f>
        <v>Secretaria Municipal da Fazenda</v>
      </c>
      <c r="G22" s="438" t="str">
        <f>A12</f>
        <v>Companhia de Engenharia de Tráfego</v>
      </c>
      <c r="H22" s="438" t="str">
        <f>A13</f>
        <v>Secretaria Municipal de Educação</v>
      </c>
      <c r="I22" s="438" t="str">
        <f>A14</f>
        <v>São Paulo Transportes</v>
      </c>
      <c r="J22" s="438" t="str">
        <f>A15</f>
        <v>Órgão externo</v>
      </c>
      <c r="K22" s="438" t="str">
        <f>A16</f>
        <v>Agência Reguladora de Serviços Públicos do Município</v>
      </c>
      <c r="L22" s="438" t="s">
        <v>5</v>
      </c>
    </row>
    <row r="23" spans="1:31" s="438" customFormat="1">
      <c r="A23" s="443"/>
      <c r="B23" s="438">
        <f>B7</f>
        <v>711</v>
      </c>
      <c r="C23" s="438">
        <f>B8</f>
        <v>560</v>
      </c>
      <c r="D23" s="438">
        <f>B9</f>
        <v>439</v>
      </c>
      <c r="E23" s="438">
        <f>B10</f>
        <v>379</v>
      </c>
      <c r="F23" s="438">
        <f>B11</f>
        <v>354</v>
      </c>
      <c r="G23" s="438">
        <f>B12</f>
        <v>328</v>
      </c>
      <c r="H23" s="438">
        <f>B13</f>
        <v>268</v>
      </c>
      <c r="I23" s="438">
        <f>B14</f>
        <v>180</v>
      </c>
      <c r="J23" s="438">
        <f>B15</f>
        <v>175</v>
      </c>
      <c r="K23" s="438">
        <f>B16</f>
        <v>111</v>
      </c>
      <c r="L23" s="444"/>
      <c r="S23" s="445"/>
      <c r="T23" s="446"/>
      <c r="U23" s="446"/>
      <c r="V23" s="446"/>
      <c r="W23" s="446"/>
      <c r="X23" s="446"/>
      <c r="Y23" s="446"/>
      <c r="Z23" s="439"/>
      <c r="AA23" s="446"/>
      <c r="AB23" s="446"/>
      <c r="AC23" s="446"/>
      <c r="AD23" s="446"/>
      <c r="AE23" s="447"/>
    </row>
    <row r="24" spans="1:31" s="438" customFormat="1" ht="16.5" customHeight="1">
      <c r="A24" s="448"/>
      <c r="L24" s="444"/>
      <c r="S24" s="445"/>
      <c r="T24" s="446"/>
      <c r="U24" s="446"/>
      <c r="V24" s="446"/>
      <c r="W24" s="446"/>
      <c r="X24" s="446"/>
      <c r="Y24" s="446"/>
      <c r="Z24" s="439"/>
      <c r="AA24" s="446"/>
      <c r="AB24" s="446"/>
      <c r="AC24" s="446"/>
      <c r="AD24" s="446"/>
      <c r="AE24" s="447"/>
    </row>
    <row r="25" spans="1:31" s="438" customFormat="1">
      <c r="A25" s="443"/>
      <c r="K25" s="438">
        <v>250</v>
      </c>
      <c r="L25" s="444">
        <f>UNIDADES!M71</f>
        <v>5382</v>
      </c>
      <c r="S25" s="445"/>
      <c r="T25" s="446"/>
      <c r="U25" s="446"/>
      <c r="V25" s="446"/>
      <c r="W25" s="446"/>
      <c r="X25" s="446"/>
      <c r="Y25" s="446"/>
      <c r="Z25" s="439"/>
      <c r="AA25" s="446"/>
      <c r="AB25" s="446"/>
      <c r="AC25" s="446"/>
      <c r="AD25" s="446"/>
      <c r="AE25" s="447"/>
    </row>
    <row r="26" spans="1:31" s="429" customFormat="1" ht="15">
      <c r="B26" s="435"/>
      <c r="H26" s="516"/>
      <c r="S26" s="434"/>
      <c r="T26" s="435"/>
      <c r="U26" s="435"/>
      <c r="V26" s="435"/>
      <c r="W26" s="435"/>
      <c r="X26" s="435"/>
      <c r="Y26" s="435"/>
      <c r="Z26" s="430"/>
      <c r="AA26" s="435"/>
      <c r="AB26" s="435"/>
      <c r="AC26" s="435"/>
      <c r="AD26" s="435"/>
      <c r="AE26" s="436"/>
    </row>
    <row r="27" spans="1:31" s="429" customFormat="1">
      <c r="B27" s="435"/>
      <c r="S27" s="434"/>
      <c r="T27" s="435"/>
      <c r="U27" s="435"/>
      <c r="V27" s="435"/>
      <c r="W27" s="435"/>
      <c r="X27" s="435"/>
      <c r="Y27" s="435"/>
      <c r="Z27" s="430"/>
      <c r="AA27" s="435"/>
      <c r="AB27" s="435"/>
      <c r="AC27" s="435"/>
      <c r="AD27" s="435"/>
      <c r="AE27" s="436"/>
    </row>
    <row r="28" spans="1:31" s="429" customFormat="1">
      <c r="B28" s="435"/>
      <c r="S28" s="434"/>
      <c r="T28" s="435"/>
      <c r="U28" s="435"/>
      <c r="V28" s="435"/>
      <c r="W28" s="435"/>
      <c r="X28" s="435"/>
      <c r="Y28" s="435"/>
      <c r="Z28" s="430"/>
      <c r="AA28" s="435"/>
      <c r="AB28" s="435"/>
      <c r="AC28" s="435"/>
      <c r="AD28" s="435"/>
      <c r="AE28" s="436"/>
    </row>
    <row r="29" spans="1:31" s="429" customFormat="1">
      <c r="B29" s="435"/>
      <c r="S29" s="434"/>
      <c r="T29" s="435"/>
      <c r="U29" s="435"/>
      <c r="V29" s="435"/>
      <c r="W29" s="435"/>
      <c r="X29" s="435"/>
      <c r="Y29" s="435"/>
      <c r="Z29" s="430"/>
      <c r="AA29" s="435"/>
      <c r="AB29" s="435"/>
      <c r="AC29" s="435"/>
      <c r="AD29" s="435"/>
      <c r="AE29" s="436"/>
    </row>
    <row r="30" spans="1:31" s="429" customFormat="1">
      <c r="B30" s="435"/>
      <c r="S30" s="434"/>
      <c r="T30" s="435"/>
      <c r="U30" s="435"/>
      <c r="V30" s="435"/>
      <c r="W30" s="435"/>
      <c r="X30" s="435"/>
      <c r="Y30" s="435"/>
      <c r="Z30" s="430"/>
      <c r="AA30" s="435"/>
      <c r="AB30" s="435"/>
      <c r="AC30" s="435"/>
      <c r="AD30" s="435"/>
      <c r="AE30" s="436"/>
    </row>
    <row r="31" spans="1:31" s="429" customFormat="1">
      <c r="B31" s="435"/>
      <c r="S31" s="434"/>
      <c r="T31" s="435"/>
      <c r="U31" s="435"/>
      <c r="V31" s="435"/>
      <c r="W31" s="435"/>
      <c r="X31" s="435"/>
      <c r="Y31" s="435"/>
      <c r="Z31" s="430"/>
      <c r="AA31" s="435"/>
      <c r="AB31" s="435"/>
      <c r="AC31" s="435"/>
      <c r="AD31" s="435"/>
      <c r="AE31" s="436"/>
    </row>
    <row r="32" spans="1:31" s="429" customFormat="1">
      <c r="B32" s="435"/>
      <c r="S32" s="434"/>
      <c r="T32" s="435"/>
      <c r="U32" s="435"/>
      <c r="V32" s="435"/>
      <c r="W32" s="435"/>
      <c r="X32" s="435"/>
      <c r="Y32" s="435"/>
      <c r="Z32" s="430"/>
      <c r="AA32" s="435"/>
      <c r="AB32" s="435"/>
      <c r="AC32" s="435"/>
      <c r="AD32" s="435"/>
      <c r="AE32" s="436"/>
    </row>
    <row r="33" spans="1:28" s="429" customFormat="1">
      <c r="B33" s="435"/>
    </row>
    <row r="34" spans="1:28" s="429" customFormat="1">
      <c r="B34" s="435"/>
    </row>
    <row r="35" spans="1:28">
      <c r="A35" s="97"/>
      <c r="B35" s="18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U35" s="9"/>
      <c r="V35" s="9"/>
      <c r="W35" s="9"/>
      <c r="X35" s="9"/>
      <c r="Y35" s="9"/>
      <c r="Z35" s="9"/>
      <c r="AA35" s="9"/>
      <c r="AB35" s="97"/>
    </row>
    <row r="36" spans="1:28">
      <c r="A36" s="97"/>
      <c r="B36" s="18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U36" s="9"/>
      <c r="V36" s="9"/>
      <c r="W36" s="9"/>
      <c r="X36" s="9"/>
      <c r="Y36" s="9"/>
      <c r="Z36" s="9"/>
      <c r="AA36" s="9"/>
      <c r="AB36" s="97"/>
    </row>
    <row r="37" spans="1:28">
      <c r="A37" s="97"/>
      <c r="B37" s="18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U37" s="9"/>
      <c r="V37" s="9"/>
      <c r="W37" s="9"/>
      <c r="X37" s="9"/>
      <c r="Y37" s="9"/>
      <c r="Z37" s="9"/>
      <c r="AA37" s="9"/>
      <c r="AB37" s="97"/>
    </row>
    <row r="38" spans="1:28">
      <c r="A38" s="97"/>
      <c r="B38" s="18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U38" s="9"/>
      <c r="V38" s="9"/>
      <c r="W38" s="9"/>
      <c r="X38" s="9"/>
      <c r="Y38" s="9"/>
      <c r="Z38" s="9"/>
      <c r="AA38" s="9"/>
      <c r="AB38" s="97"/>
    </row>
    <row r="39" spans="1:28">
      <c r="A39" s="97"/>
      <c r="B39" s="18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U39" s="9"/>
      <c r="V39" s="9"/>
      <c r="W39" s="9"/>
      <c r="X39" s="9"/>
      <c r="Y39" s="9"/>
      <c r="Z39" s="9"/>
      <c r="AA39" s="9"/>
      <c r="AB39" s="97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90" zoomScaleNormal="90" workbookViewId="0"/>
  </sheetViews>
  <sheetFormatPr defaultRowHeight="15"/>
  <cols>
    <col min="1" max="1" width="24.85546875" style="189" customWidth="1"/>
    <col min="2" max="3" width="6.85546875" bestFit="1" customWidth="1"/>
    <col min="4" max="4" width="6.42578125" bestFit="1" customWidth="1"/>
    <col min="5" max="5" width="6.5703125" style="73" customWidth="1"/>
    <col min="6" max="6" width="7" style="93" bestFit="1" customWidth="1"/>
    <col min="7" max="7" width="5.85546875" style="93" bestFit="1" customWidth="1"/>
    <col min="8" max="8" width="6.42578125" style="93" bestFit="1" customWidth="1"/>
    <col min="9" max="9" width="7" style="93" bestFit="1" customWidth="1"/>
    <col min="10" max="10" width="6.5703125" style="129" bestFit="1" customWidth="1"/>
    <col min="11" max="11" width="7.140625" style="93" bestFit="1" customWidth="1"/>
    <col min="12" max="12" width="6.28515625" style="93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88" t="s">
        <v>0</v>
      </c>
      <c r="B1" s="94"/>
      <c r="C1" s="94"/>
      <c r="D1" s="94"/>
      <c r="E1" s="95"/>
      <c r="F1" s="140"/>
      <c r="G1" s="140"/>
    </row>
    <row r="2" spans="1:16">
      <c r="A2" s="141" t="s">
        <v>1</v>
      </c>
      <c r="B2" s="1"/>
      <c r="C2" s="1"/>
      <c r="D2" s="1"/>
      <c r="E2" s="72"/>
      <c r="F2" s="6"/>
      <c r="G2" s="6"/>
    </row>
    <row r="3" spans="1:16" ht="15.75" thickBot="1"/>
    <row r="4" spans="1:16" ht="39.75" thickBot="1">
      <c r="A4" s="51" t="s">
        <v>481</v>
      </c>
      <c r="B4" s="190">
        <v>45627</v>
      </c>
      <c r="C4" s="191">
        <v>45597</v>
      </c>
      <c r="D4" s="192">
        <v>45566</v>
      </c>
      <c r="E4" s="190">
        <v>45536</v>
      </c>
      <c r="F4" s="191">
        <v>45505</v>
      </c>
      <c r="G4" s="192">
        <v>45474</v>
      </c>
      <c r="H4" s="190">
        <v>45444</v>
      </c>
      <c r="I4" s="190">
        <v>45413</v>
      </c>
      <c r="J4" s="190">
        <v>45383</v>
      </c>
      <c r="K4" s="190">
        <v>45352</v>
      </c>
      <c r="L4" s="190">
        <v>45323</v>
      </c>
      <c r="M4" s="191">
        <v>45292</v>
      </c>
      <c r="N4" s="80" t="s">
        <v>5</v>
      </c>
      <c r="O4" s="80" t="s">
        <v>6</v>
      </c>
      <c r="P4" s="193" t="s">
        <v>279</v>
      </c>
    </row>
    <row r="5" spans="1:16">
      <c r="A5" s="146" t="s">
        <v>280</v>
      </c>
      <c r="B5" s="27"/>
      <c r="C5" s="27"/>
      <c r="D5" s="27"/>
      <c r="E5" s="27"/>
      <c r="F5" s="27"/>
      <c r="G5" s="27"/>
      <c r="H5" s="27"/>
      <c r="I5" s="27"/>
      <c r="J5" s="27"/>
      <c r="K5" s="37"/>
      <c r="L5" s="27"/>
      <c r="M5" s="194">
        <v>22</v>
      </c>
      <c r="N5" s="195">
        <f t="shared" ref="N5:N36" si="0">SUM(B5:M5)</f>
        <v>22</v>
      </c>
      <c r="O5" s="196">
        <f t="shared" ref="O5:O37" si="1">AVERAGE(B5:M5)</f>
        <v>22</v>
      </c>
      <c r="P5" s="197">
        <f>N5/$N$37*100</f>
        <v>1.790073230268511</v>
      </c>
    </row>
    <row r="6" spans="1:16">
      <c r="A6" s="151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5">
        <v>48</v>
      </c>
      <c r="N6" s="198">
        <f t="shared" si="0"/>
        <v>48</v>
      </c>
      <c r="O6" s="199">
        <f t="shared" si="1"/>
        <v>48</v>
      </c>
      <c r="P6" s="200">
        <f t="shared" ref="P6:P36" si="2">N6/$N$37*100</f>
        <v>3.9056143205858422</v>
      </c>
    </row>
    <row r="7" spans="1:16">
      <c r="A7" s="151" t="s">
        <v>282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5">
        <v>34</v>
      </c>
      <c r="N7" s="198">
        <f t="shared" si="0"/>
        <v>34</v>
      </c>
      <c r="O7" s="199">
        <f t="shared" si="1"/>
        <v>34</v>
      </c>
      <c r="P7" s="200">
        <f t="shared" si="2"/>
        <v>2.7664768104149715</v>
      </c>
    </row>
    <row r="8" spans="1:16">
      <c r="A8" s="151" t="s">
        <v>283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5">
        <v>29</v>
      </c>
      <c r="N8" s="198">
        <f t="shared" si="0"/>
        <v>29</v>
      </c>
      <c r="O8" s="199">
        <f t="shared" si="1"/>
        <v>29</v>
      </c>
      <c r="P8" s="200">
        <f t="shared" si="2"/>
        <v>2.3596419853539463</v>
      </c>
    </row>
    <row r="9" spans="1:16">
      <c r="A9" s="151" t="s">
        <v>284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5">
        <v>43</v>
      </c>
      <c r="N9" s="198">
        <f t="shared" si="0"/>
        <v>43</v>
      </c>
      <c r="O9" s="199">
        <f t="shared" si="1"/>
        <v>43</v>
      </c>
      <c r="P9" s="200">
        <f t="shared" si="2"/>
        <v>3.4987794955248166</v>
      </c>
    </row>
    <row r="10" spans="1:16">
      <c r="A10" s="151" t="s">
        <v>285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5">
        <v>35</v>
      </c>
      <c r="N10" s="198">
        <f t="shared" si="0"/>
        <v>35</v>
      </c>
      <c r="O10" s="199">
        <f t="shared" si="1"/>
        <v>35</v>
      </c>
      <c r="P10" s="200">
        <f t="shared" si="2"/>
        <v>2.8478437754271764</v>
      </c>
    </row>
    <row r="11" spans="1:16">
      <c r="A11" s="151" t="s">
        <v>286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5">
        <v>8</v>
      </c>
      <c r="N11" s="198">
        <f t="shared" si="0"/>
        <v>8</v>
      </c>
      <c r="O11" s="199">
        <f t="shared" si="1"/>
        <v>8</v>
      </c>
      <c r="P11" s="200">
        <f t="shared" si="2"/>
        <v>0.65093572009764034</v>
      </c>
    </row>
    <row r="12" spans="1:16">
      <c r="A12" s="151" t="s">
        <v>287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5">
        <v>10</v>
      </c>
      <c r="N12" s="198">
        <f t="shared" si="0"/>
        <v>10</v>
      </c>
      <c r="O12" s="199">
        <f t="shared" si="1"/>
        <v>10</v>
      </c>
      <c r="P12" s="200">
        <f t="shared" si="2"/>
        <v>0.8136696501220505</v>
      </c>
    </row>
    <row r="13" spans="1:16">
      <c r="A13" s="151" t="s">
        <v>288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5">
        <v>32</v>
      </c>
      <c r="N13" s="198">
        <f t="shared" si="0"/>
        <v>32</v>
      </c>
      <c r="O13" s="199">
        <f t="shared" si="1"/>
        <v>32</v>
      </c>
      <c r="P13" s="200">
        <f t="shared" si="2"/>
        <v>2.6037428803905613</v>
      </c>
    </row>
    <row r="14" spans="1:16">
      <c r="A14" s="151" t="s">
        <v>289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5">
        <v>7</v>
      </c>
      <c r="N14" s="198">
        <f t="shared" si="0"/>
        <v>7</v>
      </c>
      <c r="O14" s="199">
        <f t="shared" si="1"/>
        <v>7</v>
      </c>
      <c r="P14" s="200">
        <f t="shared" si="2"/>
        <v>0.56956875508543536</v>
      </c>
    </row>
    <row r="15" spans="1:16">
      <c r="A15" s="151" t="s">
        <v>290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5">
        <v>45</v>
      </c>
      <c r="N15" s="198">
        <f t="shared" si="0"/>
        <v>45</v>
      </c>
      <c r="O15" s="199">
        <f t="shared" si="1"/>
        <v>45</v>
      </c>
      <c r="P15" s="200">
        <f t="shared" si="2"/>
        <v>3.6615134255492268</v>
      </c>
    </row>
    <row r="16" spans="1:16">
      <c r="A16" s="151" t="s">
        <v>291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5">
        <v>21</v>
      </c>
      <c r="N16" s="198">
        <f t="shared" si="0"/>
        <v>21</v>
      </c>
      <c r="O16" s="199">
        <f t="shared" si="1"/>
        <v>21</v>
      </c>
      <c r="P16" s="200">
        <f t="shared" si="2"/>
        <v>1.7087062652563059</v>
      </c>
    </row>
    <row r="17" spans="1:20">
      <c r="A17" s="151" t="s">
        <v>292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5">
        <v>48</v>
      </c>
      <c r="N17" s="198">
        <f t="shared" si="0"/>
        <v>48</v>
      </c>
      <c r="O17" s="199">
        <f t="shared" si="1"/>
        <v>48</v>
      </c>
      <c r="P17" s="200">
        <f t="shared" si="2"/>
        <v>3.9056143205858422</v>
      </c>
    </row>
    <row r="18" spans="1:20">
      <c r="A18" s="151" t="s">
        <v>293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5">
        <v>30</v>
      </c>
      <c r="N18" s="198">
        <f t="shared" si="0"/>
        <v>30</v>
      </c>
      <c r="O18" s="199">
        <f t="shared" si="1"/>
        <v>30</v>
      </c>
      <c r="P18" s="200">
        <f t="shared" si="2"/>
        <v>2.4410089503661516</v>
      </c>
    </row>
    <row r="19" spans="1:20">
      <c r="A19" s="151" t="s">
        <v>294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5">
        <v>35</v>
      </c>
      <c r="N19" s="198">
        <f t="shared" si="0"/>
        <v>35</v>
      </c>
      <c r="O19" s="199">
        <f t="shared" si="1"/>
        <v>35</v>
      </c>
      <c r="P19" s="200">
        <f t="shared" si="2"/>
        <v>2.8478437754271764</v>
      </c>
      <c r="Q19" s="109"/>
      <c r="T19" s="98"/>
    </row>
    <row r="20" spans="1:20">
      <c r="A20" s="151" t="s">
        <v>295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5">
        <v>92</v>
      </c>
      <c r="N20" s="198">
        <f t="shared" si="0"/>
        <v>92</v>
      </c>
      <c r="O20" s="199">
        <f t="shared" si="1"/>
        <v>92</v>
      </c>
      <c r="P20" s="200">
        <f t="shared" si="2"/>
        <v>7.485760781122865</v>
      </c>
      <c r="Q20" s="109"/>
      <c r="T20" s="98"/>
    </row>
    <row r="21" spans="1:20">
      <c r="A21" s="151" t="s">
        <v>296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5">
        <v>23</v>
      </c>
      <c r="N21" s="198">
        <f t="shared" si="0"/>
        <v>23</v>
      </c>
      <c r="O21" s="199">
        <f t="shared" si="1"/>
        <v>23</v>
      </c>
      <c r="P21" s="200">
        <f t="shared" si="2"/>
        <v>1.8714401952807163</v>
      </c>
      <c r="Q21" s="109"/>
      <c r="T21" s="98"/>
    </row>
    <row r="22" spans="1:20">
      <c r="A22" s="151" t="s">
        <v>297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5">
        <v>62</v>
      </c>
      <c r="N22" s="198">
        <f t="shared" si="0"/>
        <v>62</v>
      </c>
      <c r="O22" s="199">
        <f t="shared" si="1"/>
        <v>62</v>
      </c>
      <c r="P22" s="200">
        <f t="shared" si="2"/>
        <v>5.044751830756713</v>
      </c>
      <c r="Q22" s="109"/>
      <c r="T22" s="98"/>
    </row>
    <row r="23" spans="1:20">
      <c r="A23" s="151" t="s">
        <v>298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5">
        <v>17</v>
      </c>
      <c r="N23" s="198">
        <f t="shared" si="0"/>
        <v>17</v>
      </c>
      <c r="O23" s="199">
        <f t="shared" si="1"/>
        <v>17</v>
      </c>
      <c r="P23" s="200">
        <f t="shared" si="2"/>
        <v>1.3832384052074858</v>
      </c>
      <c r="Q23" s="109"/>
      <c r="T23" s="98"/>
    </row>
    <row r="24" spans="1:20">
      <c r="A24" s="151" t="s">
        <v>299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5">
        <v>99</v>
      </c>
      <c r="N24" s="198">
        <f t="shared" si="0"/>
        <v>99</v>
      </c>
      <c r="O24" s="199">
        <f t="shared" si="1"/>
        <v>99</v>
      </c>
      <c r="P24" s="200">
        <f t="shared" si="2"/>
        <v>8.0553295362082995</v>
      </c>
      <c r="Q24" s="109"/>
      <c r="T24" s="98"/>
    </row>
    <row r="25" spans="1:20">
      <c r="A25" s="151" t="s">
        <v>300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5">
        <v>16</v>
      </c>
      <c r="N25" s="198">
        <f t="shared" si="0"/>
        <v>16</v>
      </c>
      <c r="O25" s="199">
        <f t="shared" si="1"/>
        <v>16</v>
      </c>
      <c r="P25" s="200">
        <f t="shared" si="2"/>
        <v>1.3018714401952807</v>
      </c>
      <c r="Q25" s="109"/>
      <c r="T25" s="98"/>
    </row>
    <row r="26" spans="1:20">
      <c r="A26" s="151" t="s">
        <v>301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5">
        <v>52</v>
      </c>
      <c r="N26" s="198">
        <f t="shared" si="0"/>
        <v>52</v>
      </c>
      <c r="O26" s="199">
        <f t="shared" si="1"/>
        <v>52</v>
      </c>
      <c r="P26" s="200">
        <f t="shared" si="2"/>
        <v>4.2310821806346617</v>
      </c>
      <c r="Q26" s="109"/>
      <c r="T26" s="98"/>
    </row>
    <row r="27" spans="1:20">
      <c r="A27" s="151" t="s">
        <v>302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5">
        <v>43</v>
      </c>
      <c r="N27" s="198">
        <f t="shared" si="0"/>
        <v>43</v>
      </c>
      <c r="O27" s="199">
        <f t="shared" si="1"/>
        <v>43</v>
      </c>
      <c r="P27" s="200">
        <f t="shared" si="2"/>
        <v>3.4987794955248166</v>
      </c>
      <c r="Q27" s="109"/>
      <c r="T27" s="98"/>
    </row>
    <row r="28" spans="1:20">
      <c r="A28" s="151" t="s">
        <v>303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5">
        <v>57</v>
      </c>
      <c r="N28" s="198">
        <f t="shared" si="0"/>
        <v>57</v>
      </c>
      <c r="O28" s="199">
        <f t="shared" si="1"/>
        <v>57</v>
      </c>
      <c r="P28" s="200">
        <f t="shared" si="2"/>
        <v>4.6379170056956873</v>
      </c>
      <c r="Q28" s="109"/>
      <c r="T28" s="98"/>
    </row>
    <row r="29" spans="1:20">
      <c r="A29" s="151" t="s">
        <v>304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5">
        <v>57</v>
      </c>
      <c r="N29" s="198">
        <f t="shared" si="0"/>
        <v>57</v>
      </c>
      <c r="O29" s="199">
        <f t="shared" si="1"/>
        <v>57</v>
      </c>
      <c r="P29" s="200">
        <f t="shared" si="2"/>
        <v>4.6379170056956873</v>
      </c>
      <c r="Q29" s="109"/>
      <c r="T29" s="98"/>
    </row>
    <row r="30" spans="1:20">
      <c r="A30" s="151" t="s">
        <v>305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5">
        <v>32</v>
      </c>
      <c r="N30" s="198">
        <f t="shared" si="0"/>
        <v>32</v>
      </c>
      <c r="O30" s="199">
        <f t="shared" si="1"/>
        <v>32</v>
      </c>
      <c r="P30" s="200">
        <f t="shared" si="2"/>
        <v>2.6037428803905613</v>
      </c>
      <c r="Q30" s="109"/>
      <c r="T30" s="98"/>
    </row>
    <row r="31" spans="1:20">
      <c r="A31" s="151" t="s">
        <v>306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5">
        <v>14</v>
      </c>
      <c r="N31" s="198">
        <f t="shared" si="0"/>
        <v>14</v>
      </c>
      <c r="O31" s="199">
        <f t="shared" si="1"/>
        <v>14</v>
      </c>
      <c r="P31" s="200">
        <f t="shared" si="2"/>
        <v>1.1391375101708707</v>
      </c>
      <c r="Q31" s="109"/>
      <c r="T31" s="98"/>
    </row>
    <row r="32" spans="1:20">
      <c r="A32" s="151" t="s">
        <v>307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5">
        <v>7</v>
      </c>
      <c r="N32" s="198">
        <f t="shared" si="0"/>
        <v>7</v>
      </c>
      <c r="O32" s="199">
        <f t="shared" si="1"/>
        <v>7</v>
      </c>
      <c r="P32" s="200">
        <f t="shared" si="2"/>
        <v>0.56956875508543536</v>
      </c>
      <c r="Q32" s="109"/>
      <c r="T32" s="98"/>
    </row>
    <row r="33" spans="1:20">
      <c r="A33" s="151" t="s">
        <v>308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5">
        <v>77</v>
      </c>
      <c r="N33" s="198">
        <f t="shared" si="0"/>
        <v>77</v>
      </c>
      <c r="O33" s="199">
        <f t="shared" si="1"/>
        <v>77</v>
      </c>
      <c r="P33" s="200">
        <f t="shared" si="2"/>
        <v>6.2652563059397881</v>
      </c>
      <c r="Q33" s="109"/>
      <c r="T33" s="98"/>
    </row>
    <row r="34" spans="1:20">
      <c r="A34" s="151" t="s">
        <v>309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5">
        <v>50</v>
      </c>
      <c r="N34" s="198">
        <f t="shared" si="0"/>
        <v>50</v>
      </c>
      <c r="O34" s="199">
        <f t="shared" si="1"/>
        <v>50</v>
      </c>
      <c r="P34" s="200">
        <f t="shared" si="2"/>
        <v>4.068348250610252</v>
      </c>
      <c r="Q34" s="109"/>
      <c r="T34" s="98"/>
    </row>
    <row r="35" spans="1:20">
      <c r="A35" s="151" t="s">
        <v>310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5">
        <v>64</v>
      </c>
      <c r="N35" s="198">
        <f t="shared" si="0"/>
        <v>64</v>
      </c>
      <c r="O35" s="199">
        <f t="shared" si="1"/>
        <v>64</v>
      </c>
      <c r="P35" s="200">
        <f t="shared" si="2"/>
        <v>5.2074857607811227</v>
      </c>
      <c r="Q35" s="109"/>
      <c r="T35" s="98"/>
    </row>
    <row r="36" spans="1:20" ht="15.75" thickBot="1">
      <c r="A36" s="155" t="s">
        <v>311</v>
      </c>
      <c r="B36" s="44"/>
      <c r="C36" s="44"/>
      <c r="D36" s="44"/>
      <c r="E36" s="44"/>
      <c r="F36" s="44"/>
      <c r="G36" s="44"/>
      <c r="H36" s="44"/>
      <c r="I36" s="44"/>
      <c r="J36" s="44"/>
      <c r="K36" s="37"/>
      <c r="L36" s="44"/>
      <c r="M36" s="43">
        <v>20</v>
      </c>
      <c r="N36" s="201">
        <f t="shared" si="0"/>
        <v>20</v>
      </c>
      <c r="O36" s="202">
        <f t="shared" si="1"/>
        <v>20</v>
      </c>
      <c r="P36" s="200">
        <f t="shared" si="2"/>
        <v>1.627339300244101</v>
      </c>
      <c r="Q36" s="109"/>
      <c r="T36" s="98"/>
    </row>
    <row r="37" spans="1:20" ht="15.75" thickBot="1">
      <c r="A37" s="203" t="s">
        <v>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204">
        <f t="shared" ref="M37:N37" si="3">SUM(M5:M36)</f>
        <v>1229</v>
      </c>
      <c r="N37" s="205">
        <f t="shared" si="3"/>
        <v>1229</v>
      </c>
      <c r="O37" s="124">
        <f t="shared" si="1"/>
        <v>1229</v>
      </c>
      <c r="P37" s="206">
        <f>SUM(P5:P36)</f>
        <v>100</v>
      </c>
      <c r="Q37" s="109"/>
      <c r="T37" s="98"/>
    </row>
    <row r="38" spans="1:20">
      <c r="Q38" s="109"/>
      <c r="T38" s="98"/>
    </row>
    <row r="39" spans="1:20">
      <c r="Q39" s="109"/>
      <c r="T39" s="98"/>
    </row>
    <row r="40" spans="1:20">
      <c r="Q40" s="109"/>
      <c r="T40" s="98"/>
    </row>
    <row r="41" spans="1:20">
      <c r="Q41" s="109"/>
      <c r="T41" s="98"/>
    </row>
    <row r="42" spans="1:20">
      <c r="Q42" s="109"/>
      <c r="T42" s="98"/>
    </row>
    <row r="43" spans="1:20">
      <c r="Q43" s="109"/>
      <c r="T43" s="98"/>
    </row>
    <row r="44" spans="1:20">
      <c r="Q44" s="109"/>
      <c r="T44" s="98"/>
    </row>
    <row r="45" spans="1:20">
      <c r="Q45" s="109"/>
      <c r="T45" s="98"/>
    </row>
    <row r="46" spans="1:20">
      <c r="Q46" s="109"/>
      <c r="T46" s="98"/>
    </row>
    <row r="47" spans="1:20">
      <c r="Q47" s="109"/>
      <c r="T47" s="98"/>
    </row>
    <row r="48" spans="1:20">
      <c r="Q48" s="109"/>
      <c r="T48" s="98"/>
    </row>
    <row r="49" spans="17:20">
      <c r="Q49" s="109"/>
      <c r="T49" s="98"/>
    </row>
    <row r="50" spans="17:20">
      <c r="Q50" s="109"/>
      <c r="T50" s="9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90" zoomScaleNormal="90" workbookViewId="0">
      <selection activeCell="AC35" sqref="AC35"/>
    </sheetView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16" bestFit="1" customWidth="1"/>
    <col min="12" max="12" width="7.140625" style="516" bestFit="1" customWidth="1"/>
    <col min="13" max="13" width="7.5703125" style="516" customWidth="1"/>
    <col min="14" max="14" width="6.140625" style="516" bestFit="1" customWidth="1"/>
    <col min="15" max="15" width="7.85546875" style="516" bestFit="1" customWidth="1"/>
    <col min="16" max="16" width="17.85546875" style="516" customWidth="1"/>
    <col min="17" max="17" width="9.140625" customWidth="1"/>
  </cols>
  <sheetData>
    <row r="1" spans="1:16">
      <c r="A1" s="1" t="s">
        <v>0</v>
      </c>
      <c r="J1" s="449"/>
      <c r="K1" s="449"/>
      <c r="L1" s="449"/>
      <c r="M1" s="449"/>
      <c r="N1" s="449"/>
      <c r="O1" s="449"/>
      <c r="P1" s="450">
        <f>Subprefeituras_2024!M37</f>
        <v>1229</v>
      </c>
    </row>
    <row r="2" spans="1:16">
      <c r="A2" s="1" t="s">
        <v>1</v>
      </c>
      <c r="J2" s="449"/>
      <c r="K2" s="449"/>
      <c r="L2" s="449"/>
      <c r="M2" s="449"/>
      <c r="N2" s="449"/>
      <c r="O2" s="449"/>
      <c r="P2" s="449"/>
    </row>
    <row r="3" spans="1:16">
      <c r="A3" s="1"/>
      <c r="J3" s="449"/>
      <c r="K3" s="449"/>
      <c r="L3" s="449"/>
      <c r="M3" s="449"/>
      <c r="N3" s="449"/>
      <c r="O3" s="449"/>
      <c r="P3" s="449"/>
    </row>
    <row r="4" spans="1:16">
      <c r="A4" s="1" t="s">
        <v>497</v>
      </c>
      <c r="J4" s="449"/>
      <c r="K4" s="449"/>
      <c r="L4" s="449"/>
      <c r="M4" s="449"/>
      <c r="N4" s="449"/>
      <c r="O4" s="449"/>
      <c r="P4" s="449"/>
    </row>
    <row r="5" spans="1:16" ht="15.75" thickBot="1">
      <c r="J5" s="449"/>
      <c r="K5" s="449"/>
      <c r="L5" s="449"/>
      <c r="M5" s="449"/>
      <c r="N5" s="449"/>
      <c r="O5" s="449"/>
      <c r="P5" s="449"/>
    </row>
    <row r="6" spans="1:16" ht="45.75" customHeight="1" thickBot="1">
      <c r="A6" s="878" t="s">
        <v>481</v>
      </c>
      <c r="B6" s="17">
        <v>45627</v>
      </c>
      <c r="C6" s="80">
        <v>45597</v>
      </c>
      <c r="D6" s="80">
        <v>45566</v>
      </c>
      <c r="E6" s="80">
        <v>45536</v>
      </c>
      <c r="F6" s="80">
        <v>45505</v>
      </c>
      <c r="G6" s="80">
        <v>45474</v>
      </c>
      <c r="H6" s="166">
        <v>45444</v>
      </c>
      <c r="I6" s="207">
        <v>45413</v>
      </c>
      <c r="J6" s="208">
        <v>45383</v>
      </c>
      <c r="K6" s="571">
        <v>45352</v>
      </c>
      <c r="L6" s="571">
        <v>45323</v>
      </c>
      <c r="M6" s="572">
        <v>45292</v>
      </c>
      <c r="N6" s="723" t="s">
        <v>5</v>
      </c>
      <c r="O6" s="726" t="s">
        <v>6</v>
      </c>
      <c r="P6" s="724" t="s">
        <v>474</v>
      </c>
    </row>
    <row r="7" spans="1:16" ht="15.75" thickBot="1">
      <c r="A7" s="146" t="s">
        <v>299</v>
      </c>
      <c r="B7" s="27"/>
      <c r="C7" s="27"/>
      <c r="D7" s="27"/>
      <c r="E7" s="27"/>
      <c r="F7" s="27"/>
      <c r="G7" s="27"/>
      <c r="H7" s="27"/>
      <c r="I7" s="27"/>
      <c r="J7" s="27"/>
      <c r="K7" s="37"/>
      <c r="L7" s="27"/>
      <c r="M7" s="194">
        <v>99</v>
      </c>
      <c r="N7" s="573">
        <f t="shared" ref="N7:N17" si="0">SUM(B7:M7)</f>
        <v>99</v>
      </c>
      <c r="O7" s="725">
        <f t="shared" ref="O7:O17" si="1">AVERAGE(B7:M7)</f>
        <v>99</v>
      </c>
      <c r="P7" s="574">
        <f>(M7*100)/$P$1</f>
        <v>8.0553295362082995</v>
      </c>
    </row>
    <row r="8" spans="1:16" ht="15.75" thickBot="1">
      <c r="A8" s="151" t="s">
        <v>295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5">
        <v>92</v>
      </c>
      <c r="N8" s="575">
        <f t="shared" si="0"/>
        <v>92</v>
      </c>
      <c r="O8" s="576">
        <f t="shared" si="1"/>
        <v>92</v>
      </c>
      <c r="P8" s="574">
        <f t="shared" ref="P8:P17" si="2">(M8*100)/$P$1</f>
        <v>7.4857607811228641</v>
      </c>
    </row>
    <row r="9" spans="1:16" ht="15.75" thickBot="1">
      <c r="A9" s="151" t="s">
        <v>308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5">
        <v>77</v>
      </c>
      <c r="N9" s="575">
        <f t="shared" si="0"/>
        <v>77</v>
      </c>
      <c r="O9" s="576">
        <f t="shared" si="1"/>
        <v>77</v>
      </c>
      <c r="P9" s="574">
        <f t="shared" si="2"/>
        <v>6.2652563059397881</v>
      </c>
    </row>
    <row r="10" spans="1:16" ht="15.75" thickBot="1">
      <c r="A10" s="151" t="s">
        <v>310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5">
        <v>64</v>
      </c>
      <c r="N10" s="575">
        <f t="shared" si="0"/>
        <v>64</v>
      </c>
      <c r="O10" s="576">
        <f t="shared" si="1"/>
        <v>64</v>
      </c>
      <c r="P10" s="574">
        <f t="shared" si="2"/>
        <v>5.2074857607811227</v>
      </c>
    </row>
    <row r="11" spans="1:16" ht="15.75" thickBot="1">
      <c r="A11" s="151" t="s">
        <v>297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5">
        <v>62</v>
      </c>
      <c r="N11" s="575">
        <f t="shared" si="0"/>
        <v>62</v>
      </c>
      <c r="O11" s="576">
        <f t="shared" si="1"/>
        <v>62</v>
      </c>
      <c r="P11" s="574">
        <f t="shared" si="2"/>
        <v>5.044751830756713</v>
      </c>
    </row>
    <row r="12" spans="1:16" ht="15.75" thickBot="1">
      <c r="A12" s="151" t="s">
        <v>303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5">
        <v>57</v>
      </c>
      <c r="N12" s="575">
        <f t="shared" si="0"/>
        <v>57</v>
      </c>
      <c r="O12" s="576">
        <f t="shared" si="1"/>
        <v>57</v>
      </c>
      <c r="P12" s="574">
        <f t="shared" si="2"/>
        <v>4.6379170056956873</v>
      </c>
    </row>
    <row r="13" spans="1:16" ht="15.75" thickBot="1">
      <c r="A13" s="151" t="s">
        <v>304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5">
        <v>57</v>
      </c>
      <c r="N13" s="575">
        <f t="shared" si="0"/>
        <v>57</v>
      </c>
      <c r="O13" s="576">
        <f t="shared" si="1"/>
        <v>57</v>
      </c>
      <c r="P13" s="574">
        <f t="shared" si="2"/>
        <v>4.6379170056956873</v>
      </c>
    </row>
    <row r="14" spans="1:16" ht="15.75" thickBot="1">
      <c r="A14" s="151" t="s">
        <v>301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5">
        <v>52</v>
      </c>
      <c r="N14" s="575">
        <f t="shared" si="0"/>
        <v>52</v>
      </c>
      <c r="O14" s="576">
        <f t="shared" si="1"/>
        <v>52</v>
      </c>
      <c r="P14" s="574">
        <f t="shared" si="2"/>
        <v>4.2310821806346626</v>
      </c>
    </row>
    <row r="15" spans="1:16" ht="15.75" thickBot="1">
      <c r="A15" s="151" t="s">
        <v>309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5">
        <v>50</v>
      </c>
      <c r="N15" s="575">
        <f t="shared" si="0"/>
        <v>50</v>
      </c>
      <c r="O15" s="576">
        <f t="shared" si="1"/>
        <v>50</v>
      </c>
      <c r="P15" s="574">
        <f t="shared" si="2"/>
        <v>4.068348250610252</v>
      </c>
    </row>
    <row r="16" spans="1:16" ht="15.75" thickBot="1">
      <c r="A16" s="151" t="s">
        <v>281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5">
        <v>48</v>
      </c>
      <c r="N16" s="577">
        <f t="shared" si="0"/>
        <v>48</v>
      </c>
      <c r="O16" s="578">
        <f t="shared" si="1"/>
        <v>48</v>
      </c>
      <c r="P16" s="579">
        <f t="shared" si="2"/>
        <v>3.9056143205858422</v>
      </c>
    </row>
    <row r="17" spans="1:33" ht="15.75" thickBot="1">
      <c r="A17" s="20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K17" s="580"/>
      <c r="L17" s="580"/>
      <c r="M17" s="581">
        <f t="shared" ref="M17" si="3">SUM(M7:M16)</f>
        <v>658</v>
      </c>
      <c r="N17" s="582">
        <f t="shared" si="0"/>
        <v>658</v>
      </c>
      <c r="O17" s="583">
        <f t="shared" si="1"/>
        <v>658</v>
      </c>
      <c r="P17" s="584">
        <f t="shared" si="2"/>
        <v>53.539462978030919</v>
      </c>
    </row>
    <row r="18" spans="1:33" s="449" customFormat="1">
      <c r="A18" s="445" t="s">
        <v>206</v>
      </c>
      <c r="N18" s="450"/>
      <c r="P18" s="451">
        <f>100-P17</f>
        <v>46.460537021969081</v>
      </c>
    </row>
    <row r="19" spans="1:33">
      <c r="A19" s="138"/>
      <c r="B19" s="210"/>
      <c r="C19" s="210"/>
      <c r="D19" s="210"/>
      <c r="E19" s="138"/>
      <c r="F19" s="138"/>
      <c r="G19" s="138"/>
      <c r="H19" s="138"/>
      <c r="I19" s="138"/>
      <c r="J19" s="138"/>
      <c r="N19" s="585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</row>
    <row r="20" spans="1:33">
      <c r="A20" s="138"/>
      <c r="B20" s="210"/>
      <c r="C20" s="210"/>
      <c r="D20" s="210"/>
      <c r="E20" s="138"/>
      <c r="F20" s="138"/>
      <c r="G20" s="138"/>
      <c r="H20" s="138"/>
      <c r="I20" s="138"/>
      <c r="J20" s="138"/>
      <c r="Q20" s="183"/>
      <c r="R20" s="184"/>
      <c r="S20" s="186"/>
      <c r="T20" s="184"/>
      <c r="U20" s="184"/>
      <c r="V20" s="184"/>
      <c r="W20" s="184"/>
      <c r="X20" s="184"/>
      <c r="Y20" s="184"/>
      <c r="Z20" s="184"/>
      <c r="AA20" s="184"/>
      <c r="AB20" s="184"/>
      <c r="AC20" s="186"/>
      <c r="AD20" s="184"/>
      <c r="AE20" s="184"/>
      <c r="AF20" s="110"/>
      <c r="AG20" s="111"/>
    </row>
    <row r="21" spans="1:33">
      <c r="A21" s="138"/>
      <c r="B21" s="210"/>
      <c r="C21" s="210"/>
      <c r="D21" s="210"/>
      <c r="E21" s="138"/>
      <c r="F21" s="138"/>
      <c r="G21" s="138"/>
      <c r="H21" s="138"/>
      <c r="I21" s="138"/>
      <c r="J21" s="138"/>
      <c r="Q21" s="183"/>
      <c r="R21" s="184"/>
      <c r="S21" s="186"/>
      <c r="T21" s="184"/>
      <c r="U21" s="184"/>
      <c r="V21" s="184"/>
      <c r="W21" s="184"/>
      <c r="X21" s="184"/>
      <c r="Y21" s="184"/>
      <c r="Z21" s="184"/>
      <c r="AA21" s="184"/>
      <c r="AB21" s="184"/>
      <c r="AC21" s="186"/>
      <c r="AD21" s="184"/>
      <c r="AE21" s="184"/>
      <c r="AF21" s="110"/>
      <c r="AG21" s="111"/>
    </row>
    <row r="22" spans="1:33">
      <c r="A22" s="138"/>
      <c r="B22" s="210"/>
      <c r="C22" s="210"/>
      <c r="D22" s="210"/>
      <c r="E22" s="138"/>
      <c r="F22" s="138"/>
      <c r="G22" s="138"/>
      <c r="H22" s="138"/>
      <c r="I22" s="138"/>
      <c r="J22" s="138"/>
      <c r="Q22" s="138"/>
      <c r="R22" s="138"/>
      <c r="S22" s="138"/>
      <c r="T22" s="138"/>
      <c r="U22" s="183"/>
      <c r="V22" s="184"/>
      <c r="W22" s="184"/>
      <c r="X22" s="184"/>
      <c r="Y22" s="184"/>
      <c r="Z22" s="184"/>
      <c r="AA22" s="184"/>
      <c r="AB22" s="185"/>
      <c r="AC22" s="184"/>
      <c r="AD22" s="184"/>
      <c r="AE22" s="184"/>
      <c r="AF22" s="110"/>
      <c r="AG22" s="111"/>
    </row>
    <row r="23" spans="1:33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Q23" s="138"/>
      <c r="R23" s="138"/>
      <c r="S23" s="138"/>
      <c r="T23" s="138"/>
      <c r="U23" s="183"/>
      <c r="V23" s="184"/>
      <c r="W23" s="184"/>
      <c r="X23" s="184"/>
      <c r="Y23" s="184"/>
      <c r="Z23" s="184"/>
      <c r="AA23" s="184"/>
      <c r="AB23" s="185"/>
      <c r="AC23" s="184"/>
      <c r="AD23" s="184"/>
      <c r="AE23" s="184"/>
      <c r="AF23" s="110"/>
      <c r="AG23" s="111"/>
    </row>
    <row r="24" spans="1:33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Q24" s="138"/>
      <c r="R24" s="138"/>
      <c r="S24" s="138"/>
      <c r="T24" s="138"/>
      <c r="U24" s="183"/>
      <c r="V24" s="184"/>
      <c r="W24" s="184"/>
      <c r="X24" s="184"/>
      <c r="Y24" s="184"/>
      <c r="Z24" s="184"/>
      <c r="AA24" s="184"/>
      <c r="AB24" s="185"/>
      <c r="AC24" s="184"/>
      <c r="AD24" s="184"/>
      <c r="AE24" s="184"/>
      <c r="AF24" s="110"/>
      <c r="AG24" s="111"/>
    </row>
    <row r="25" spans="1:33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Q25" s="138"/>
      <c r="R25" s="138"/>
      <c r="S25" s="138"/>
      <c r="T25" s="138"/>
      <c r="U25" s="183"/>
      <c r="V25" s="184"/>
      <c r="W25" s="184"/>
      <c r="X25" s="184"/>
      <c r="Y25" s="184"/>
      <c r="Z25" s="184"/>
      <c r="AA25" s="184"/>
      <c r="AB25" s="185"/>
      <c r="AC25" s="184"/>
      <c r="AD25" s="184"/>
      <c r="AE25" s="184"/>
      <c r="AF25" s="110"/>
      <c r="AG25" s="111"/>
    </row>
    <row r="26" spans="1:33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Q26" s="138"/>
      <c r="R26" s="138"/>
      <c r="S26" s="138"/>
      <c r="T26" s="138"/>
      <c r="U26" s="183"/>
      <c r="V26" s="184"/>
      <c r="W26" s="184"/>
      <c r="X26" s="184"/>
      <c r="Y26" s="184"/>
      <c r="Z26" s="184"/>
      <c r="AA26" s="184"/>
      <c r="AB26" s="185"/>
      <c r="AC26" s="184"/>
      <c r="AD26" s="184"/>
      <c r="AE26" s="184"/>
      <c r="AF26" s="110"/>
      <c r="AG26" s="111"/>
    </row>
    <row r="27" spans="1:33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Q27" s="138"/>
      <c r="R27" s="138"/>
      <c r="S27" s="138"/>
      <c r="T27" s="138"/>
      <c r="U27" s="183"/>
      <c r="V27" s="184"/>
      <c r="W27" s="184"/>
      <c r="X27" s="184"/>
      <c r="Y27" s="184"/>
      <c r="Z27" s="184"/>
      <c r="AA27" s="184"/>
      <c r="AB27" s="185"/>
      <c r="AC27" s="184"/>
      <c r="AD27" s="184"/>
      <c r="AE27" s="184"/>
      <c r="AF27" s="110"/>
      <c r="AG27" s="111"/>
    </row>
    <row r="28" spans="1:33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Q28" s="138"/>
      <c r="R28" s="138"/>
      <c r="S28" s="138"/>
      <c r="T28" s="138"/>
      <c r="U28" s="183"/>
      <c r="V28" s="184"/>
      <c r="W28" s="184"/>
      <c r="X28" s="184"/>
      <c r="Y28" s="184"/>
      <c r="Z28" s="184"/>
      <c r="AA28" s="184"/>
      <c r="AB28" s="185"/>
      <c r="AC28" s="184"/>
      <c r="AD28" s="184"/>
      <c r="AE28" s="184"/>
      <c r="AF28" s="110"/>
      <c r="AG28" s="111"/>
    </row>
    <row r="29" spans="1:33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Q29" s="138"/>
      <c r="R29" s="138"/>
      <c r="S29" s="138"/>
      <c r="T29" s="138"/>
      <c r="U29" s="183"/>
      <c r="V29" s="184"/>
      <c r="W29" s="184"/>
      <c r="X29" s="184"/>
      <c r="Y29" s="184"/>
      <c r="Z29" s="184"/>
      <c r="AA29" s="184"/>
      <c r="AB29" s="185"/>
      <c r="AC29" s="184"/>
      <c r="AD29" s="184"/>
      <c r="AE29" s="184"/>
      <c r="AF29" s="110"/>
      <c r="AG29" s="111"/>
    </row>
    <row r="30" spans="1:33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</row>
    <row r="31" spans="1:33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</row>
    <row r="32" spans="1:33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spans="1:3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</row>
    <row r="34" spans="1:3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</row>
    <row r="35" spans="1:3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</row>
    <row r="36" spans="1:3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spans="1:3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</row>
    <row r="38" spans="1:3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</row>
    <row r="39" spans="1:3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spans="1:3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</row>
    <row r="41" spans="1:3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7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4" workbookViewId="0">
      <selection activeCell="L7" sqref="L7"/>
    </sheetView>
  </sheetViews>
  <sheetFormatPr defaultRowHeight="15"/>
  <cols>
    <col min="1" max="1" width="27" customWidth="1"/>
    <col min="2" max="2" width="10.7109375" style="111" bestFit="1" customWidth="1"/>
    <col min="3" max="5" width="9.140625" customWidth="1"/>
    <col min="6" max="6" width="5.7109375" customWidth="1"/>
    <col min="7" max="8" width="9.140625" hidden="1" customWidth="1"/>
    <col min="9" max="9" width="53.5703125" hidden="1" customWidth="1"/>
    <col min="10" max="10" width="9.140625" customWidth="1"/>
  </cols>
  <sheetData>
    <row r="1" spans="1:9">
      <c r="A1" s="94" t="s">
        <v>0</v>
      </c>
    </row>
    <row r="2" spans="1:9">
      <c r="A2" s="1" t="s">
        <v>1</v>
      </c>
    </row>
    <row r="4" spans="1:9" ht="46.5" customHeight="1">
      <c r="A4" s="970" t="s">
        <v>498</v>
      </c>
      <c r="B4" s="971"/>
      <c r="C4" s="971"/>
      <c r="D4" s="971"/>
      <c r="E4" s="971"/>
      <c r="F4" s="971"/>
      <c r="G4" s="971"/>
      <c r="H4" s="971"/>
      <c r="I4" s="971"/>
    </row>
    <row r="5" spans="1:9">
      <c r="I5" s="9"/>
    </row>
    <row r="6" spans="1:9">
      <c r="I6" s="9"/>
    </row>
  </sheetData>
  <mergeCells count="1">
    <mergeCell ref="A4:I4"/>
  </mergeCells>
  <pageMargins left="0.511811024" right="0.511811024" top="0.78740157500000008" bottom="0.78740157500000008" header="0.31496062000000008" footer="0.31496062000000008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opLeftCell="A7" workbookViewId="0"/>
  </sheetViews>
  <sheetFormatPr defaultRowHeight="14.25"/>
  <cols>
    <col min="1" max="1" width="11.42578125" style="9" customWidth="1"/>
    <col min="2" max="2" width="12.85546875" style="96" bestFit="1" customWidth="1"/>
    <col min="3" max="3" width="11.42578125" style="96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482</v>
      </c>
    </row>
    <row r="5" spans="1:15" ht="15">
      <c r="A5" s="1"/>
    </row>
    <row r="6" spans="1:15">
      <c r="A6" s="9" t="s">
        <v>208</v>
      </c>
    </row>
    <row r="7" spans="1:15">
      <c r="A7" s="9" t="s">
        <v>209</v>
      </c>
    </row>
    <row r="8" spans="1:15" ht="15" thickBot="1">
      <c r="B8" s="9"/>
      <c r="C8" s="9"/>
    </row>
    <row r="9" spans="1:15" ht="15.75" thickBot="1">
      <c r="A9" s="972" t="str">
        <f>'10+_SUB''s_2024'!A7</f>
        <v>Penha</v>
      </c>
      <c r="B9" s="973"/>
      <c r="C9" s="974"/>
      <c r="E9" s="975" t="str">
        <f>'10+_SUB''s_2024'!A8</f>
        <v>Lapa</v>
      </c>
      <c r="F9" s="973"/>
      <c r="G9" s="974"/>
      <c r="I9" s="975" t="str">
        <f>'10+_SUB''s_2024'!A9</f>
        <v>Sé</v>
      </c>
      <c r="J9" s="973"/>
      <c r="K9" s="974"/>
      <c r="M9" s="975" t="str">
        <f>'10+_SUB''s_2024'!A10</f>
        <v>Vila Mariana</v>
      </c>
      <c r="N9" s="973"/>
      <c r="O9" s="974"/>
    </row>
    <row r="10" spans="1:15" ht="15.75" thickBot="1">
      <c r="A10" s="862" t="s">
        <v>2</v>
      </c>
      <c r="B10" s="872" t="s">
        <v>210</v>
      </c>
      <c r="C10" s="718" t="s">
        <v>211</v>
      </c>
      <c r="E10" s="714" t="s">
        <v>2</v>
      </c>
      <c r="F10" s="5" t="s">
        <v>210</v>
      </c>
      <c r="G10" s="713" t="s">
        <v>211</v>
      </c>
      <c r="I10" s="714" t="s">
        <v>2</v>
      </c>
      <c r="J10" s="5" t="s">
        <v>210</v>
      </c>
      <c r="K10" s="713" t="s">
        <v>211</v>
      </c>
      <c r="M10" s="714" t="s">
        <v>2</v>
      </c>
      <c r="N10" s="5" t="s">
        <v>210</v>
      </c>
      <c r="O10" s="718" t="s">
        <v>211</v>
      </c>
    </row>
    <row r="11" spans="1:15" ht="15">
      <c r="A11" s="873">
        <v>45292</v>
      </c>
      <c r="B11" s="290">
        <f>'10+_SUB''s_2024'!M7</f>
        <v>99</v>
      </c>
      <c r="C11" s="720">
        <f>((B11-43)/43)*100</f>
        <v>130.23255813953489</v>
      </c>
      <c r="E11" s="702">
        <v>45292</v>
      </c>
      <c r="F11" s="118">
        <f>'10+_SUB''s_2024'!M8</f>
        <v>92</v>
      </c>
      <c r="G11" s="703">
        <f>((F11-67)/67)*100</f>
        <v>37.313432835820898</v>
      </c>
      <c r="I11" s="702">
        <v>45292</v>
      </c>
      <c r="J11" s="118">
        <f>'10+_SUB''s_2024'!M9</f>
        <v>77</v>
      </c>
      <c r="K11" s="703">
        <f>((J11-54)/54)*100</f>
        <v>42.592592592592595</v>
      </c>
      <c r="M11" s="702">
        <v>45292</v>
      </c>
      <c r="N11" s="211">
        <f>'10+_SUB''s_2024'!M10</f>
        <v>64</v>
      </c>
      <c r="O11" s="720">
        <f>((N11-65)/65)*100</f>
        <v>-1.5384615384615385</v>
      </c>
    </row>
    <row r="12" spans="1:15" ht="15">
      <c r="A12" s="874">
        <v>45323</v>
      </c>
      <c r="B12" s="870">
        <f>'10+_SUB''s_2024'!L7</f>
        <v>0</v>
      </c>
      <c r="C12" s="784">
        <f>((B12-51)/51)*100</f>
        <v>-100</v>
      </c>
      <c r="E12" s="704">
        <v>45323</v>
      </c>
      <c r="F12" s="783">
        <f>'10+_SUB''s_2024'!L8</f>
        <v>0</v>
      </c>
      <c r="G12" s="784">
        <f t="shared" ref="G12:G17" si="0">((F12-F11)/F11)*100</f>
        <v>-100</v>
      </c>
      <c r="I12" s="704">
        <v>45323</v>
      </c>
      <c r="J12" s="783">
        <f>'10+_SUB''s_2024'!L9</f>
        <v>0</v>
      </c>
      <c r="K12" s="784">
        <f t="shared" ref="K12:K17" si="1">((J12-J11)/J11)*100</f>
        <v>-100</v>
      </c>
      <c r="M12" s="704">
        <v>45323</v>
      </c>
      <c r="N12" s="795">
        <f>'10+_SUB''s_2024'!L10</f>
        <v>0</v>
      </c>
      <c r="O12" s="784">
        <f t="shared" ref="O12:O17" si="2">((N12-N11)/N11)*100</f>
        <v>-100</v>
      </c>
    </row>
    <row r="13" spans="1:15" ht="15">
      <c r="A13" s="874">
        <v>45352</v>
      </c>
      <c r="B13" s="870">
        <f>'10+_SUB''s_2024'!K7</f>
        <v>0</v>
      </c>
      <c r="C13" s="784" t="e">
        <f t="shared" ref="C13:C18" si="3">((B13-B12)/B12)*100</f>
        <v>#DIV/0!</v>
      </c>
      <c r="E13" s="704">
        <v>45352</v>
      </c>
      <c r="F13" s="783">
        <f>'10+_SUB''s_2024'!$K$8</f>
        <v>0</v>
      </c>
      <c r="G13" s="784" t="e">
        <f t="shared" si="0"/>
        <v>#DIV/0!</v>
      </c>
      <c r="I13" s="704">
        <v>45352</v>
      </c>
      <c r="J13" s="783">
        <f>'10+_SUB''s_2024'!$K$9</f>
        <v>0</v>
      </c>
      <c r="K13" s="784" t="e">
        <f t="shared" si="1"/>
        <v>#DIV/0!</v>
      </c>
      <c r="M13" s="704">
        <v>45352</v>
      </c>
      <c r="N13" s="795">
        <f>'10+_SUB''s_2024'!$K$10</f>
        <v>0</v>
      </c>
      <c r="O13" s="784" t="e">
        <f t="shared" si="2"/>
        <v>#DIV/0!</v>
      </c>
    </row>
    <row r="14" spans="1:15" ht="15">
      <c r="A14" s="874">
        <v>45383</v>
      </c>
      <c r="B14" s="870">
        <f>'10+_SUB''s_2024'!J$7</f>
        <v>0</v>
      </c>
      <c r="C14" s="784" t="e">
        <f t="shared" si="3"/>
        <v>#DIV/0!</v>
      </c>
      <c r="E14" s="704">
        <v>45383</v>
      </c>
      <c r="F14" s="795">
        <f>'10+_SUB''s_2024'!J$8</f>
        <v>0</v>
      </c>
      <c r="G14" s="784" t="e">
        <f t="shared" si="0"/>
        <v>#DIV/0!</v>
      </c>
      <c r="I14" s="704">
        <v>45383</v>
      </c>
      <c r="J14" s="795">
        <f>'10+_SUB''s_2024'!J$9</f>
        <v>0</v>
      </c>
      <c r="K14" s="784" t="e">
        <f t="shared" si="1"/>
        <v>#DIV/0!</v>
      </c>
      <c r="M14" s="704">
        <v>45383</v>
      </c>
      <c r="N14" s="795">
        <f>'10+_SUB''s_2024'!J$10</f>
        <v>0</v>
      </c>
      <c r="O14" s="784" t="e">
        <f t="shared" si="2"/>
        <v>#DIV/0!</v>
      </c>
    </row>
    <row r="15" spans="1:15" ht="15">
      <c r="A15" s="874">
        <v>45413</v>
      </c>
      <c r="B15" s="870">
        <f>'10+_SUB''s_2024'!I$7</f>
        <v>0</v>
      </c>
      <c r="C15" s="784" t="e">
        <f t="shared" si="3"/>
        <v>#DIV/0!</v>
      </c>
      <c r="E15" s="704">
        <v>45413</v>
      </c>
      <c r="F15" s="795">
        <f>'10+_SUB''s_2024'!I$8</f>
        <v>0</v>
      </c>
      <c r="G15" s="784" t="e">
        <f t="shared" si="0"/>
        <v>#DIV/0!</v>
      </c>
      <c r="I15" s="704">
        <v>45413</v>
      </c>
      <c r="J15" s="795">
        <f>'10+_SUB''s_2024'!I$9</f>
        <v>0</v>
      </c>
      <c r="K15" s="784" t="e">
        <f t="shared" si="1"/>
        <v>#DIV/0!</v>
      </c>
      <c r="M15" s="704">
        <v>45413</v>
      </c>
      <c r="N15" s="795">
        <f>'10+_SUB''s_2024'!I$10</f>
        <v>0</v>
      </c>
      <c r="O15" s="784" t="e">
        <f t="shared" si="2"/>
        <v>#DIV/0!</v>
      </c>
    </row>
    <row r="16" spans="1:15" ht="15">
      <c r="A16" s="874">
        <v>45444</v>
      </c>
      <c r="B16" s="870">
        <f>'10+_SUB''s_2024'!H$7</f>
        <v>0</v>
      </c>
      <c r="C16" s="784" t="e">
        <f t="shared" si="3"/>
        <v>#DIV/0!</v>
      </c>
      <c r="E16" s="704">
        <v>45444</v>
      </c>
      <c r="F16" s="795">
        <f>'10+_SUB''s_2024'!H$8</f>
        <v>0</v>
      </c>
      <c r="G16" s="784" t="e">
        <f t="shared" si="0"/>
        <v>#DIV/0!</v>
      </c>
      <c r="I16" s="704">
        <v>45444</v>
      </c>
      <c r="J16" s="795">
        <f>'10+_SUB''s_2024'!H$9</f>
        <v>0</v>
      </c>
      <c r="K16" s="784" t="e">
        <f t="shared" si="1"/>
        <v>#DIV/0!</v>
      </c>
      <c r="M16" s="704">
        <v>45444</v>
      </c>
      <c r="N16" s="795">
        <f>'10+_SUB''s_2024'!H$10</f>
        <v>0</v>
      </c>
      <c r="O16" s="784" t="e">
        <f t="shared" si="2"/>
        <v>#DIV/0!</v>
      </c>
    </row>
    <row r="17" spans="1:15" ht="15">
      <c r="A17" s="874">
        <v>45474</v>
      </c>
      <c r="B17" s="870">
        <f>'10+_SUB''s_2024'!G$7</f>
        <v>0</v>
      </c>
      <c r="C17" s="784" t="e">
        <f t="shared" si="3"/>
        <v>#DIV/0!</v>
      </c>
      <c r="E17" s="704">
        <v>45474</v>
      </c>
      <c r="F17" s="795">
        <f>'10+_SUB''s_2024'!G$8</f>
        <v>0</v>
      </c>
      <c r="G17" s="784" t="e">
        <f t="shared" si="0"/>
        <v>#DIV/0!</v>
      </c>
      <c r="I17" s="704">
        <v>45474</v>
      </c>
      <c r="J17" s="795">
        <f>'10+_SUB''s_2024'!G$9</f>
        <v>0</v>
      </c>
      <c r="K17" s="784" t="e">
        <f t="shared" si="1"/>
        <v>#DIV/0!</v>
      </c>
      <c r="M17" s="704">
        <v>45474</v>
      </c>
      <c r="N17" s="795">
        <f>'10+_SUB''s_2024'!G$10</f>
        <v>0</v>
      </c>
      <c r="O17" s="784" t="e">
        <f t="shared" si="2"/>
        <v>#DIV/0!</v>
      </c>
    </row>
    <row r="18" spans="1:15" ht="15">
      <c r="A18" s="874">
        <v>45505</v>
      </c>
      <c r="B18" s="870">
        <f>'10+_SUB''s_2024'!F$7</f>
        <v>0</v>
      </c>
      <c r="C18" s="784" t="e">
        <f t="shared" si="3"/>
        <v>#DIV/0!</v>
      </c>
      <c r="E18" s="704">
        <v>45505</v>
      </c>
      <c r="F18" s="795">
        <f>'10+_SUB''s_2024'!F$8</f>
        <v>0</v>
      </c>
      <c r="G18" s="784" t="e">
        <f t="shared" ref="G18" si="4">((F18-F17)/F17)*100</f>
        <v>#DIV/0!</v>
      </c>
      <c r="I18" s="704">
        <v>45505</v>
      </c>
      <c r="J18" s="795">
        <f>'10+_SUB''s_2024'!F$9</f>
        <v>0</v>
      </c>
      <c r="K18" s="784" t="e">
        <f t="shared" ref="K18" si="5">((J18-J17)/J17)*100</f>
        <v>#DIV/0!</v>
      </c>
      <c r="M18" s="704">
        <v>45505</v>
      </c>
      <c r="N18" s="795">
        <f>'10+_SUB''s_2024'!F$10</f>
        <v>0</v>
      </c>
      <c r="O18" s="784" t="e">
        <f>((N18-N17)/N17)*100</f>
        <v>#DIV/0!</v>
      </c>
    </row>
    <row r="19" spans="1:15" ht="15">
      <c r="A19" s="874">
        <v>45536</v>
      </c>
      <c r="B19" s="870">
        <f>'10+_SUB''s_2024'!E$7</f>
        <v>0</v>
      </c>
      <c r="C19" s="784" t="e">
        <f t="shared" ref="C19:C21" si="6">((B19-B18)/B18)*100</f>
        <v>#DIV/0!</v>
      </c>
      <c r="E19" s="704">
        <v>45536</v>
      </c>
      <c r="F19" s="795">
        <f>'10+_SUB''s_2024'!E$8</f>
        <v>0</v>
      </c>
      <c r="G19" s="784" t="e">
        <f t="shared" ref="G19:G20" si="7">((F19-F18)/F18)*100</f>
        <v>#DIV/0!</v>
      </c>
      <c r="I19" s="704">
        <v>45536</v>
      </c>
      <c r="J19" s="795">
        <f>'10+_SUB''s_2024'!E$9</f>
        <v>0</v>
      </c>
      <c r="K19" s="784" t="e">
        <f t="shared" ref="K19:K21" si="8">((J19-J18)/J18)*100</f>
        <v>#DIV/0!</v>
      </c>
      <c r="M19" s="704">
        <v>45536</v>
      </c>
      <c r="N19" s="795">
        <f>'10+_SUB''s_2024'!E$10</f>
        <v>0</v>
      </c>
      <c r="O19" s="784" t="e">
        <f>((N19-N18)/N18)*100</f>
        <v>#DIV/0!</v>
      </c>
    </row>
    <row r="20" spans="1:15" ht="15">
      <c r="A20" s="874">
        <v>45566</v>
      </c>
      <c r="B20" s="870">
        <f>'10+_SUB''s_2024'!D$7</f>
        <v>0</v>
      </c>
      <c r="C20" s="784" t="e">
        <f t="shared" si="6"/>
        <v>#DIV/0!</v>
      </c>
      <c r="E20" s="704">
        <v>45566</v>
      </c>
      <c r="F20" s="795">
        <f>'10+_SUB''s_2024'!D$8</f>
        <v>0</v>
      </c>
      <c r="G20" s="784" t="e">
        <f t="shared" si="7"/>
        <v>#DIV/0!</v>
      </c>
      <c r="I20" s="704">
        <v>45566</v>
      </c>
      <c r="J20" s="795">
        <f>'10+_SUB''s_2024'!D$9</f>
        <v>0</v>
      </c>
      <c r="K20" s="784" t="e">
        <f t="shared" si="8"/>
        <v>#DIV/0!</v>
      </c>
      <c r="M20" s="704">
        <v>45566</v>
      </c>
      <c r="N20" s="795">
        <f>'10+_SUB''s_2024'!D$10</f>
        <v>0</v>
      </c>
      <c r="O20" s="784" t="e">
        <f>((N20-N19)/N19)*100</f>
        <v>#DIV/0!</v>
      </c>
    </row>
    <row r="21" spans="1:15" ht="15">
      <c r="A21" s="874">
        <v>45597</v>
      </c>
      <c r="B21" s="870">
        <f>'10+_SUB''s_2024'!C$7</f>
        <v>0</v>
      </c>
      <c r="C21" s="784" t="e">
        <f t="shared" si="6"/>
        <v>#DIV/0!</v>
      </c>
      <c r="E21" s="704">
        <v>45597</v>
      </c>
      <c r="F21" s="795">
        <f>'10+_SUB''s_2024'!C$8</f>
        <v>0</v>
      </c>
      <c r="G21" s="784" t="e">
        <f>((F21-F20)/F20)*100</f>
        <v>#DIV/0!</v>
      </c>
      <c r="I21" s="704">
        <v>45597</v>
      </c>
      <c r="J21" s="795">
        <f>'10+_SUB''s_2024'!C$9</f>
        <v>0</v>
      </c>
      <c r="K21" s="784" t="e">
        <f t="shared" si="8"/>
        <v>#DIV/0!</v>
      </c>
      <c r="M21" s="704">
        <v>45597</v>
      </c>
      <c r="N21" s="795">
        <f>'10+_SUB''s_2024'!C$10</f>
        <v>0</v>
      </c>
      <c r="O21" s="784" t="e">
        <f>((N21-N20)/N20)*100</f>
        <v>#DIV/0!</v>
      </c>
    </row>
    <row r="22" spans="1:15" ht="15.75" thickBot="1">
      <c r="A22" s="875">
        <v>45627</v>
      </c>
      <c r="B22" s="871">
        <f>'10+_SUB''s_2024'!B$7</f>
        <v>0</v>
      </c>
      <c r="C22" s="786" t="e">
        <f t="shared" ref="C22" si="9">((B22-B21)/B21)*100</f>
        <v>#DIV/0!</v>
      </c>
      <c r="E22" s="705">
        <v>45627</v>
      </c>
      <c r="F22" s="796">
        <f>'10+_SUB''s_2024'!B$8</f>
        <v>0</v>
      </c>
      <c r="G22" s="786" t="e">
        <f>((F22-F21)/F21)*100</f>
        <v>#DIV/0!</v>
      </c>
      <c r="I22" s="705">
        <v>45627</v>
      </c>
      <c r="J22" s="796">
        <f>'10+_SUB''s_2024'!B$9</f>
        <v>0</v>
      </c>
      <c r="K22" s="786" t="e">
        <f t="shared" ref="K22" si="10">((J22-J21)/J21)*100</f>
        <v>#DIV/0!</v>
      </c>
      <c r="M22" s="705">
        <v>45627</v>
      </c>
      <c r="N22" s="796">
        <f>'10+_SUB''s_2024'!B$10</f>
        <v>0</v>
      </c>
      <c r="O22" s="786" t="e">
        <f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976" t="str">
        <f>'10+_SUB''s_2024'!A11</f>
        <v>Mooca</v>
      </c>
      <c r="B25" s="977"/>
      <c r="C25" s="978"/>
      <c r="E25" s="975" t="str">
        <f>'10+_SUB''s_2024'!A12</f>
        <v>Santana/Tucuruvi</v>
      </c>
      <c r="F25" s="973"/>
      <c r="G25" s="974"/>
      <c r="I25" s="975" t="str">
        <f>'10+_SUB''s_2024'!A13</f>
        <v>Santo Amaro</v>
      </c>
      <c r="J25" s="973"/>
      <c r="K25" s="974"/>
      <c r="M25" s="975" t="str">
        <f>'10+_SUB''s_2024'!A14</f>
        <v>Pinheiros</v>
      </c>
      <c r="N25" s="973"/>
      <c r="O25" s="979"/>
    </row>
    <row r="26" spans="1:15" ht="15.75" thickBot="1">
      <c r="A26" s="699" t="s">
        <v>2</v>
      </c>
      <c r="B26" s="710" t="s">
        <v>210</v>
      </c>
      <c r="C26" s="727" t="s">
        <v>211</v>
      </c>
      <c r="E26" s="714" t="s">
        <v>2</v>
      </c>
      <c r="F26" s="5" t="s">
        <v>210</v>
      </c>
      <c r="G26" s="718" t="s">
        <v>211</v>
      </c>
      <c r="I26" s="712" t="s">
        <v>2</v>
      </c>
      <c r="J26" s="5" t="s">
        <v>210</v>
      </c>
      <c r="K26" s="713" t="s">
        <v>211</v>
      </c>
      <c r="M26" s="712" t="s">
        <v>2</v>
      </c>
      <c r="N26" s="876" t="s">
        <v>210</v>
      </c>
      <c r="O26" s="862" t="s">
        <v>211</v>
      </c>
    </row>
    <row r="27" spans="1:15" ht="15">
      <c r="A27" s="702">
        <v>45292</v>
      </c>
      <c r="B27" s="118">
        <f>'10+_SUB''s_2024'!M11</f>
        <v>62</v>
      </c>
      <c r="C27" s="703">
        <f>((B27-54)/54)*100</f>
        <v>14.814814814814813</v>
      </c>
      <c r="E27" s="702">
        <v>45292</v>
      </c>
      <c r="F27" s="211">
        <f>'10+_SUB''s_2024'!M12</f>
        <v>57</v>
      </c>
      <c r="G27" s="476">
        <f>((F27-39)/39)*100</f>
        <v>46.153846153846153</v>
      </c>
      <c r="I27" s="702">
        <v>45292</v>
      </c>
      <c r="J27" s="118">
        <f>'10+_SUB''s_2024'!M13</f>
        <v>57</v>
      </c>
      <c r="K27" s="703">
        <f>((J27-38)/38)*100</f>
        <v>50</v>
      </c>
      <c r="M27" s="702">
        <v>45292</v>
      </c>
      <c r="N27" s="118">
        <f>'10+_SUB''s_2024'!M14</f>
        <v>52</v>
      </c>
      <c r="O27" s="877">
        <f>((N27-38)/38)*100</f>
        <v>36.84210526315789</v>
      </c>
    </row>
    <row r="28" spans="1:15" ht="15">
      <c r="A28" s="704">
        <v>45323</v>
      </c>
      <c r="B28" s="783">
        <f>'10+_SUB''s_2024'!L11</f>
        <v>0</v>
      </c>
      <c r="C28" s="784">
        <f t="shared" ref="C28:C33" si="11">((B28-B27)/B27)*100</f>
        <v>-100</v>
      </c>
      <c r="E28" s="704">
        <v>45323</v>
      </c>
      <c r="F28" s="795">
        <f>'10+_SUB''s_2024'!L12</f>
        <v>0</v>
      </c>
      <c r="G28" s="797">
        <f t="shared" ref="G28:G33" si="12">((F28-F27)/F27)*100</f>
        <v>-100</v>
      </c>
      <c r="I28" s="704">
        <v>45323</v>
      </c>
      <c r="J28" s="783">
        <f>'10+_SUB''s_2024'!L13</f>
        <v>0</v>
      </c>
      <c r="K28" s="784">
        <f t="shared" ref="K28:K33" si="13">((J28-J27)/J27)*100</f>
        <v>-100</v>
      </c>
      <c r="M28" s="704">
        <v>45323</v>
      </c>
      <c r="N28" s="783">
        <f>'10+_SUB''s_2024'!L14</f>
        <v>0</v>
      </c>
      <c r="O28" s="784">
        <f t="shared" ref="O28:O33" si="14">((N28-N27)/N27)*100</f>
        <v>-100</v>
      </c>
    </row>
    <row r="29" spans="1:15" ht="15">
      <c r="A29" s="704">
        <v>45352</v>
      </c>
      <c r="B29" s="783">
        <f>'10+_SUB''s_2024'!$K$11</f>
        <v>0</v>
      </c>
      <c r="C29" s="784" t="e">
        <f t="shared" si="11"/>
        <v>#DIV/0!</v>
      </c>
      <c r="E29" s="704">
        <v>45352</v>
      </c>
      <c r="F29" s="795">
        <f>'10+_SUB''s_2024'!$K$12</f>
        <v>0</v>
      </c>
      <c r="G29" s="797" t="e">
        <f t="shared" si="12"/>
        <v>#DIV/0!</v>
      </c>
      <c r="I29" s="704">
        <v>45352</v>
      </c>
      <c r="J29" s="783">
        <f>'10+_SUB''s_2024'!$K$13</f>
        <v>0</v>
      </c>
      <c r="K29" s="784" t="e">
        <f t="shared" si="13"/>
        <v>#DIV/0!</v>
      </c>
      <c r="M29" s="704">
        <v>45352</v>
      </c>
      <c r="N29" s="783">
        <f>'10+_SUB''s_2024'!$K$14</f>
        <v>0</v>
      </c>
      <c r="O29" s="784" t="e">
        <f t="shared" si="14"/>
        <v>#DIV/0!</v>
      </c>
    </row>
    <row r="30" spans="1:15" ht="15">
      <c r="A30" s="704">
        <v>45383</v>
      </c>
      <c r="B30" s="795">
        <f>'10+_SUB''s_2024'!J$11</f>
        <v>0</v>
      </c>
      <c r="C30" s="784" t="e">
        <f t="shared" si="11"/>
        <v>#DIV/0!</v>
      </c>
      <c r="E30" s="704">
        <v>45383</v>
      </c>
      <c r="F30" s="795">
        <f>'10+_SUB''s_2024'!J$12</f>
        <v>0</v>
      </c>
      <c r="G30" s="797" t="e">
        <f t="shared" si="12"/>
        <v>#DIV/0!</v>
      </c>
      <c r="I30" s="704">
        <v>45383</v>
      </c>
      <c r="J30" s="795">
        <f>'10+_SUB''s_2024'!J$13</f>
        <v>0</v>
      </c>
      <c r="K30" s="784" t="e">
        <f t="shared" si="13"/>
        <v>#DIV/0!</v>
      </c>
      <c r="M30" s="704">
        <v>45383</v>
      </c>
      <c r="N30" s="795">
        <f>'10+_SUB''s_2024'!J$14</f>
        <v>0</v>
      </c>
      <c r="O30" s="784" t="e">
        <f t="shared" si="14"/>
        <v>#DIV/0!</v>
      </c>
    </row>
    <row r="31" spans="1:15" ht="15">
      <c r="A31" s="704">
        <v>45413</v>
      </c>
      <c r="B31" s="795">
        <f>'10+_SUB''s_2024'!I$11</f>
        <v>0</v>
      </c>
      <c r="C31" s="784" t="e">
        <f t="shared" si="11"/>
        <v>#DIV/0!</v>
      </c>
      <c r="E31" s="704">
        <v>45413</v>
      </c>
      <c r="F31" s="795">
        <f>'10+_SUB''s_2024'!I$12</f>
        <v>0</v>
      </c>
      <c r="G31" s="797" t="e">
        <f t="shared" si="12"/>
        <v>#DIV/0!</v>
      </c>
      <c r="I31" s="704">
        <v>45413</v>
      </c>
      <c r="J31" s="795">
        <f>'10+_SUB''s_2024'!I$13</f>
        <v>0</v>
      </c>
      <c r="K31" s="784" t="e">
        <f t="shared" si="13"/>
        <v>#DIV/0!</v>
      </c>
      <c r="M31" s="704">
        <v>45413</v>
      </c>
      <c r="N31" s="795">
        <f>'10+_SUB''s_2024'!I$14</f>
        <v>0</v>
      </c>
      <c r="O31" s="784" t="e">
        <f t="shared" si="14"/>
        <v>#DIV/0!</v>
      </c>
    </row>
    <row r="32" spans="1:15" ht="15">
      <c r="A32" s="704">
        <v>45444</v>
      </c>
      <c r="B32" s="795">
        <f>'10+_SUB''s_2024'!H$11</f>
        <v>0</v>
      </c>
      <c r="C32" s="784" t="e">
        <f t="shared" si="11"/>
        <v>#DIV/0!</v>
      </c>
      <c r="E32" s="704">
        <v>45444</v>
      </c>
      <c r="F32" s="795">
        <f>'10+_SUB''s_2024'!H$12</f>
        <v>0</v>
      </c>
      <c r="G32" s="797" t="e">
        <f t="shared" si="12"/>
        <v>#DIV/0!</v>
      </c>
      <c r="I32" s="704">
        <v>45444</v>
      </c>
      <c r="J32" s="795">
        <f>'10+_SUB''s_2024'!H$13</f>
        <v>0</v>
      </c>
      <c r="K32" s="784" t="e">
        <f t="shared" si="13"/>
        <v>#DIV/0!</v>
      </c>
      <c r="M32" s="704">
        <v>45444</v>
      </c>
      <c r="N32" s="795">
        <f>'10+_SUB''s_2024'!H$14</f>
        <v>0</v>
      </c>
      <c r="O32" s="784" t="e">
        <f t="shared" si="14"/>
        <v>#DIV/0!</v>
      </c>
    </row>
    <row r="33" spans="1:15" ht="15">
      <c r="A33" s="704">
        <v>45474</v>
      </c>
      <c r="B33" s="795">
        <f>'10+_SUB''s_2024'!G$11</f>
        <v>0</v>
      </c>
      <c r="C33" s="784" t="e">
        <f t="shared" si="11"/>
        <v>#DIV/0!</v>
      </c>
      <c r="E33" s="704">
        <v>45474</v>
      </c>
      <c r="F33" s="795">
        <f>'10+_SUB''s_2024'!G$12</f>
        <v>0</v>
      </c>
      <c r="G33" s="797" t="e">
        <f t="shared" si="12"/>
        <v>#DIV/0!</v>
      </c>
      <c r="I33" s="704">
        <v>45474</v>
      </c>
      <c r="J33" s="795">
        <f>'10+_SUB''s_2024'!G$13</f>
        <v>0</v>
      </c>
      <c r="K33" s="784" t="e">
        <f t="shared" si="13"/>
        <v>#DIV/0!</v>
      </c>
      <c r="M33" s="704">
        <v>45474</v>
      </c>
      <c r="N33" s="795">
        <f>'10+_SUB''s_2024'!G$14</f>
        <v>0</v>
      </c>
      <c r="O33" s="784" t="e">
        <f t="shared" si="14"/>
        <v>#DIV/0!</v>
      </c>
    </row>
    <row r="34" spans="1:15" ht="15">
      <c r="A34" s="704">
        <v>45505</v>
      </c>
      <c r="B34" s="795">
        <f>'10+_SUB''s_2024'!F$11</f>
        <v>0</v>
      </c>
      <c r="C34" s="784" t="e">
        <f t="shared" ref="C34" si="15">((B34-B33)/B33)*100</f>
        <v>#DIV/0!</v>
      </c>
      <c r="E34" s="704">
        <v>45505</v>
      </c>
      <c r="F34" s="795">
        <f>'10+_SUB''s_2024'!F$12</f>
        <v>0</v>
      </c>
      <c r="G34" s="797" t="e">
        <f t="shared" ref="G34" si="16">((F34-F33)/F33)*100</f>
        <v>#DIV/0!</v>
      </c>
      <c r="I34" s="704">
        <v>45505</v>
      </c>
      <c r="J34" s="795">
        <f>'10+_SUB''s_2024'!F$13</f>
        <v>0</v>
      </c>
      <c r="K34" s="784" t="e">
        <f t="shared" ref="K34" si="17">((J34-J33)/J33)*100</f>
        <v>#DIV/0!</v>
      </c>
      <c r="M34" s="704">
        <v>45505</v>
      </c>
      <c r="N34" s="795">
        <f>'10+_SUB''s_2024'!F$14</f>
        <v>0</v>
      </c>
      <c r="O34" s="784" t="e">
        <f t="shared" ref="O34" si="18">((N34-N33)/N33)*100</f>
        <v>#DIV/0!</v>
      </c>
    </row>
    <row r="35" spans="1:15" ht="15">
      <c r="A35" s="704">
        <v>45536</v>
      </c>
      <c r="B35" s="795">
        <f>'10+_SUB''s_2024'!E$11</f>
        <v>0</v>
      </c>
      <c r="C35" s="784" t="e">
        <f t="shared" ref="C35:C37" si="19">((B35-B34)/B34)*100</f>
        <v>#DIV/0!</v>
      </c>
      <c r="E35" s="704">
        <v>45536</v>
      </c>
      <c r="F35" s="795">
        <f>'10+_SUB''s_2024'!E$12</f>
        <v>0</v>
      </c>
      <c r="G35" s="797" t="e">
        <f t="shared" ref="G35:G37" si="20">((F35-F34)/F34)*100</f>
        <v>#DIV/0!</v>
      </c>
      <c r="I35" s="704">
        <v>45536</v>
      </c>
      <c r="J35" s="795">
        <f>'10+_SUB''s_2024'!E$13</f>
        <v>0</v>
      </c>
      <c r="K35" s="784" t="e">
        <f t="shared" ref="K35:K37" si="21">((J35-J34)/J34)*100</f>
        <v>#DIV/0!</v>
      </c>
      <c r="M35" s="704">
        <v>45536</v>
      </c>
      <c r="N35" s="795">
        <f>'10+_SUB''s_2024'!E$14</f>
        <v>0</v>
      </c>
      <c r="O35" s="784" t="e">
        <f t="shared" ref="O35:O37" si="22">((N35-N34)/N34)*100</f>
        <v>#DIV/0!</v>
      </c>
    </row>
    <row r="36" spans="1:15" ht="15">
      <c r="A36" s="704">
        <v>45566</v>
      </c>
      <c r="B36" s="795">
        <f>'10+_SUB''s_2024'!D$11</f>
        <v>0</v>
      </c>
      <c r="C36" s="784" t="e">
        <f t="shared" si="19"/>
        <v>#DIV/0!</v>
      </c>
      <c r="E36" s="704">
        <v>45566</v>
      </c>
      <c r="F36" s="795">
        <f>'10+_SUB''s_2024'!D$12</f>
        <v>0</v>
      </c>
      <c r="G36" s="797" t="e">
        <f t="shared" si="20"/>
        <v>#DIV/0!</v>
      </c>
      <c r="I36" s="704">
        <v>45566</v>
      </c>
      <c r="J36" s="795">
        <f>'10+_SUB''s_2024'!D$13</f>
        <v>0</v>
      </c>
      <c r="K36" s="784" t="e">
        <f t="shared" si="21"/>
        <v>#DIV/0!</v>
      </c>
      <c r="M36" s="704">
        <v>45566</v>
      </c>
      <c r="N36" s="795">
        <f>'10+_SUB''s_2024'!D$14</f>
        <v>0</v>
      </c>
      <c r="O36" s="784" t="e">
        <f t="shared" si="22"/>
        <v>#DIV/0!</v>
      </c>
    </row>
    <row r="37" spans="1:15" ht="15">
      <c r="A37" s="704">
        <v>45597</v>
      </c>
      <c r="B37" s="795">
        <f>'10+_SUB''s_2024'!C$11</f>
        <v>0</v>
      </c>
      <c r="C37" s="784" t="e">
        <f t="shared" si="19"/>
        <v>#DIV/0!</v>
      </c>
      <c r="E37" s="704">
        <v>45597</v>
      </c>
      <c r="F37" s="795">
        <f>'10+_SUB''s_2024'!C$12</f>
        <v>0</v>
      </c>
      <c r="G37" s="797" t="e">
        <f t="shared" si="20"/>
        <v>#DIV/0!</v>
      </c>
      <c r="I37" s="704">
        <v>45597</v>
      </c>
      <c r="J37" s="795">
        <f>'10+_SUB''s_2024'!C$13</f>
        <v>0</v>
      </c>
      <c r="K37" s="784" t="e">
        <f t="shared" si="21"/>
        <v>#DIV/0!</v>
      </c>
      <c r="M37" s="704">
        <v>45597</v>
      </c>
      <c r="N37" s="795">
        <f>'10+_SUB''s_2024'!C$14</f>
        <v>0</v>
      </c>
      <c r="O37" s="784" t="e">
        <f t="shared" si="22"/>
        <v>#DIV/0!</v>
      </c>
    </row>
    <row r="38" spans="1:15" ht="15.75" thickBot="1">
      <c r="A38" s="705">
        <v>45627</v>
      </c>
      <c r="B38" s="796">
        <f>'10+_SUB''s_2024'!B$11</f>
        <v>0</v>
      </c>
      <c r="C38" s="786" t="e">
        <f t="shared" ref="C38" si="23">((B38-B37)/B37)*100</f>
        <v>#DIV/0!</v>
      </c>
      <c r="E38" s="705">
        <v>45627</v>
      </c>
      <c r="F38" s="796">
        <f>'10+_SUB''s_2024'!B$12</f>
        <v>0</v>
      </c>
      <c r="G38" s="798" t="e">
        <f t="shared" ref="G38" si="24">((F38-F37)/F37)*100</f>
        <v>#DIV/0!</v>
      </c>
      <c r="I38" s="705">
        <v>45627</v>
      </c>
      <c r="J38" s="796">
        <f>'10+_SUB''s_2024'!B$13</f>
        <v>0</v>
      </c>
      <c r="K38" s="786" t="e">
        <f t="shared" ref="K38" si="25">((J38-J37)/J37)*100</f>
        <v>#DIV/0!</v>
      </c>
      <c r="M38" s="705">
        <v>45627</v>
      </c>
      <c r="N38" s="796">
        <f>'10+_SUB''s_2024'!B$14</f>
        <v>0</v>
      </c>
      <c r="O38" s="786" t="e">
        <f t="shared" ref="O38" si="26">((N38-N37)/N37)*100</f>
        <v>#DIV/0!</v>
      </c>
    </row>
    <row r="40" spans="1:15" ht="15" thickBot="1"/>
    <row r="41" spans="1:15" ht="15.75" thickBot="1">
      <c r="A41" s="975" t="str">
        <f>'10+_SUB''s_2024'!A15</f>
        <v>Vila Maria/Vila Guilherme</v>
      </c>
      <c r="B41" s="973"/>
      <c r="C41" s="974"/>
      <c r="E41" s="975" t="str">
        <f>'10+_SUB''s_2024'!A16</f>
        <v>Butantã</v>
      </c>
      <c r="F41" s="973"/>
      <c r="G41" s="974"/>
    </row>
    <row r="42" spans="1:15" ht="15.75" thickBot="1">
      <c r="A42" s="714" t="s">
        <v>2</v>
      </c>
      <c r="B42" s="5" t="s">
        <v>210</v>
      </c>
      <c r="C42" s="713" t="s">
        <v>211</v>
      </c>
      <c r="E42" s="714" t="s">
        <v>2</v>
      </c>
      <c r="F42" s="5" t="s">
        <v>210</v>
      </c>
      <c r="G42" s="713" t="s">
        <v>211</v>
      </c>
    </row>
    <row r="43" spans="1:15" ht="15">
      <c r="A43" s="702">
        <v>45292</v>
      </c>
      <c r="B43" s="118">
        <f>'10+_SUB''s_2024'!M15</f>
        <v>50</v>
      </c>
      <c r="C43" s="703">
        <f>((B43-26)/26)*100</f>
        <v>92.307692307692307</v>
      </c>
      <c r="E43" s="702">
        <v>45292</v>
      </c>
      <c r="F43" s="212">
        <f>'10+_SUB''s_2024'!M16</f>
        <v>48</v>
      </c>
      <c r="G43" s="703">
        <f>((F43-30)/30)*100</f>
        <v>60</v>
      </c>
    </row>
    <row r="44" spans="1:15" ht="15">
      <c r="A44" s="704">
        <v>45323</v>
      </c>
      <c r="B44" s="783">
        <f>'10+_SUB''s_2024'!L15</f>
        <v>0</v>
      </c>
      <c r="C44" s="784">
        <f t="shared" ref="C44:C49" si="27">((B44-B43)/B43)*100</f>
        <v>-100</v>
      </c>
      <c r="E44" s="704">
        <v>45323</v>
      </c>
      <c r="F44" s="799">
        <f>'10+_SUB''s_2024'!L16</f>
        <v>0</v>
      </c>
      <c r="G44" s="784">
        <f t="shared" ref="G44:G49" si="28">((F44-F43)/F43)*100</f>
        <v>-100</v>
      </c>
    </row>
    <row r="45" spans="1:15" ht="15">
      <c r="A45" s="704">
        <v>45352</v>
      </c>
      <c r="B45" s="783">
        <f>'10+_SUB''s_2024'!$K$15</f>
        <v>0</v>
      </c>
      <c r="C45" s="784" t="e">
        <f t="shared" si="27"/>
        <v>#DIV/0!</v>
      </c>
      <c r="E45" s="704">
        <v>45352</v>
      </c>
      <c r="F45" s="800">
        <f>'10+_SUB''s_2024'!$K$16</f>
        <v>0</v>
      </c>
      <c r="G45" s="784" t="e">
        <f t="shared" si="28"/>
        <v>#DIV/0!</v>
      </c>
    </row>
    <row r="46" spans="1:15" ht="15">
      <c r="A46" s="704">
        <v>45383</v>
      </c>
      <c r="B46" s="783">
        <f>'10+_SUB''s_2024'!J$15</f>
        <v>0</v>
      </c>
      <c r="C46" s="784" t="e">
        <f t="shared" si="27"/>
        <v>#DIV/0!</v>
      </c>
      <c r="E46" s="704">
        <v>45383</v>
      </c>
      <c r="F46" s="795">
        <f>'10+_SUB''s_2024'!J$16</f>
        <v>0</v>
      </c>
      <c r="G46" s="784" t="e">
        <f t="shared" si="28"/>
        <v>#DIV/0!</v>
      </c>
    </row>
    <row r="47" spans="1:15" ht="15">
      <c r="A47" s="704">
        <v>45413</v>
      </c>
      <c r="B47" s="783">
        <f>'10+_SUB''s_2024'!I$15</f>
        <v>0</v>
      </c>
      <c r="C47" s="784" t="e">
        <f t="shared" si="27"/>
        <v>#DIV/0!</v>
      </c>
      <c r="E47" s="704">
        <v>45413</v>
      </c>
      <c r="F47" s="795">
        <f>'10+_SUB''s_2024'!I$16</f>
        <v>0</v>
      </c>
      <c r="G47" s="784" t="e">
        <f t="shared" si="28"/>
        <v>#DIV/0!</v>
      </c>
    </row>
    <row r="48" spans="1:15" ht="15">
      <c r="A48" s="704">
        <v>45444</v>
      </c>
      <c r="B48" s="783">
        <f>'10+_SUB''s_2024'!H$15</f>
        <v>0</v>
      </c>
      <c r="C48" s="784" t="e">
        <f t="shared" si="27"/>
        <v>#DIV/0!</v>
      </c>
      <c r="E48" s="704">
        <v>45444</v>
      </c>
      <c r="F48" s="795">
        <f>'10+_SUB''s_2024'!H$16</f>
        <v>0</v>
      </c>
      <c r="G48" s="784" t="e">
        <f t="shared" si="28"/>
        <v>#DIV/0!</v>
      </c>
    </row>
    <row r="49" spans="1:11" ht="15">
      <c r="A49" s="704">
        <v>45474</v>
      </c>
      <c r="B49" s="783">
        <f>'10+_SUB''s_2024'!G$15</f>
        <v>0</v>
      </c>
      <c r="C49" s="784" t="e">
        <f t="shared" si="27"/>
        <v>#DIV/0!</v>
      </c>
      <c r="E49" s="704">
        <v>45474</v>
      </c>
      <c r="F49" s="795">
        <f>'10+_SUB''s_2024'!G$16</f>
        <v>0</v>
      </c>
      <c r="G49" s="784" t="e">
        <f t="shared" si="28"/>
        <v>#DIV/0!</v>
      </c>
    </row>
    <row r="50" spans="1:11" ht="15">
      <c r="A50" s="704">
        <v>45505</v>
      </c>
      <c r="B50" s="783">
        <f>'10+_SUB''s_2024'!F$15</f>
        <v>0</v>
      </c>
      <c r="C50" s="784" t="e">
        <f t="shared" ref="C50" si="29">((B50-B49)/B49)*100</f>
        <v>#DIV/0!</v>
      </c>
      <c r="E50" s="704">
        <v>45505</v>
      </c>
      <c r="F50" s="795">
        <f>'10+_SUB''s_2024'!F$16</f>
        <v>0</v>
      </c>
      <c r="G50" s="784" t="e">
        <f t="shared" ref="G50" si="30">((F50-F49)/F49)*100</f>
        <v>#DIV/0!</v>
      </c>
    </row>
    <row r="51" spans="1:11" ht="15">
      <c r="A51" s="704">
        <v>45536</v>
      </c>
      <c r="B51" s="783">
        <f>'10+_SUB''s_2024'!E$15</f>
        <v>0</v>
      </c>
      <c r="C51" s="784" t="e">
        <f t="shared" ref="C51:C53" si="31">((B51-B50)/B50)*100</f>
        <v>#DIV/0!</v>
      </c>
      <c r="E51" s="704">
        <v>45536</v>
      </c>
      <c r="F51" s="795">
        <f>'10+_SUB''s_2024'!E$16</f>
        <v>0</v>
      </c>
      <c r="G51" s="784" t="e">
        <f t="shared" ref="G51:G53" si="32">((F51-F50)/F50)*100</f>
        <v>#DIV/0!</v>
      </c>
    </row>
    <row r="52" spans="1:11" ht="15">
      <c r="A52" s="704">
        <v>45566</v>
      </c>
      <c r="B52" s="783">
        <f>'10+_SUB''s_2024'!D$15</f>
        <v>0</v>
      </c>
      <c r="C52" s="784" t="e">
        <f t="shared" si="31"/>
        <v>#DIV/0!</v>
      </c>
      <c r="E52" s="704">
        <v>45566</v>
      </c>
      <c r="F52" s="795">
        <f>'10+_SUB''s_2024'!D$16</f>
        <v>0</v>
      </c>
      <c r="G52" s="784" t="e">
        <f t="shared" si="32"/>
        <v>#DIV/0!</v>
      </c>
    </row>
    <row r="53" spans="1:11" ht="15">
      <c r="A53" s="704">
        <v>45597</v>
      </c>
      <c r="B53" s="783">
        <f>'10+_SUB''s_2024'!C$15</f>
        <v>0</v>
      </c>
      <c r="C53" s="784" t="e">
        <f t="shared" si="31"/>
        <v>#DIV/0!</v>
      </c>
      <c r="E53" s="704">
        <v>45597</v>
      </c>
      <c r="F53" s="795">
        <f>'10+_SUB''s_2024'!C$16</f>
        <v>0</v>
      </c>
      <c r="G53" s="784" t="e">
        <f t="shared" si="32"/>
        <v>#DIV/0!</v>
      </c>
    </row>
    <row r="54" spans="1:11" ht="15.75" thickBot="1">
      <c r="A54" s="705">
        <v>45627</v>
      </c>
      <c r="B54" s="785">
        <f>'10+_SUB''s_2024'!B$15</f>
        <v>0</v>
      </c>
      <c r="C54" s="786" t="e">
        <f t="shared" ref="C54" si="33">((B54-B53)/B53)*100</f>
        <v>#DIV/0!</v>
      </c>
      <c r="E54" s="705">
        <v>45627</v>
      </c>
      <c r="F54" s="796">
        <f>'10+_SUB''s_2024'!B$16</f>
        <v>0</v>
      </c>
      <c r="G54" s="786" t="e">
        <f t="shared" ref="G54" si="34">((F54-F53)/F53)*100</f>
        <v>#DIV/0!</v>
      </c>
    </row>
    <row r="56" spans="1:11">
      <c r="B56" s="9"/>
      <c r="C56" s="9"/>
    </row>
    <row r="57" spans="1:11" ht="15">
      <c r="A57" s="954"/>
      <c r="B57" s="954"/>
      <c r="C57" s="954"/>
      <c r="D57" s="954"/>
      <c r="F57" s="954"/>
      <c r="G57" s="954"/>
      <c r="H57" s="954"/>
      <c r="I57" s="954"/>
      <c r="J57" s="954"/>
      <c r="K57" s="213"/>
    </row>
    <row r="58" spans="1:11">
      <c r="A58" s="213"/>
      <c r="B58" s="9"/>
      <c r="C58" s="9"/>
    </row>
    <row r="59" spans="1:11" ht="15">
      <c r="B59" s="9"/>
      <c r="C59" s="9"/>
      <c r="F59" s="954"/>
      <c r="G59" s="954"/>
      <c r="H59" s="954"/>
      <c r="I59" s="954"/>
      <c r="J59" s="954"/>
      <c r="K59" s="954"/>
    </row>
    <row r="60" spans="1:11">
      <c r="B60" s="9"/>
      <c r="C60" s="9"/>
    </row>
    <row r="61" spans="1:11" ht="15">
      <c r="A61" s="954"/>
      <c r="B61" s="954"/>
      <c r="C61" s="954"/>
      <c r="D61" s="954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>
      <selection activeCell="AA17" sqref="AA17"/>
    </sheetView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94" t="s">
        <v>0</v>
      </c>
      <c r="I1" s="516"/>
      <c r="J1" s="516"/>
      <c r="K1" s="516"/>
      <c r="L1" s="516"/>
      <c r="M1" s="516"/>
      <c r="N1" s="516"/>
      <c r="O1" s="516"/>
      <c r="P1" s="516"/>
      <c r="Q1" s="516"/>
    </row>
    <row r="2" spans="1:18">
      <c r="A2" s="1" t="s">
        <v>1</v>
      </c>
      <c r="I2" s="516"/>
      <c r="J2" s="516"/>
      <c r="K2" s="516"/>
      <c r="L2" s="516"/>
      <c r="M2" s="516"/>
      <c r="N2" s="516"/>
      <c r="O2" s="516"/>
      <c r="P2" s="516"/>
      <c r="Q2" s="516"/>
    </row>
    <row r="3" spans="1:18" ht="15.75" thickBot="1">
      <c r="I3" s="516"/>
      <c r="J3" s="516"/>
      <c r="K3" s="516"/>
      <c r="L3" s="516"/>
      <c r="M3" s="516"/>
      <c r="N3" s="516"/>
      <c r="O3" s="516"/>
      <c r="P3" s="516"/>
      <c r="Q3" s="516"/>
    </row>
    <row r="4" spans="1:18" ht="46.5" customHeight="1" thickBot="1">
      <c r="A4" s="214" t="s">
        <v>3</v>
      </c>
      <c r="B4" s="215">
        <v>45627</v>
      </c>
      <c r="C4" s="215">
        <v>45597</v>
      </c>
      <c r="D4" s="215">
        <v>45566</v>
      </c>
      <c r="E4" s="215">
        <v>45536</v>
      </c>
      <c r="F4" s="215">
        <v>45505</v>
      </c>
      <c r="G4" s="215">
        <v>45474</v>
      </c>
      <c r="H4" s="215">
        <v>45444</v>
      </c>
      <c r="I4" s="216">
        <v>45413</v>
      </c>
      <c r="J4" s="215">
        <v>45383</v>
      </c>
      <c r="K4" s="217">
        <v>45352</v>
      </c>
      <c r="L4" s="218">
        <v>45323</v>
      </c>
      <c r="M4" s="218">
        <v>45292</v>
      </c>
      <c r="N4" s="218" t="s">
        <v>5</v>
      </c>
      <c r="O4" s="219" t="s">
        <v>313</v>
      </c>
      <c r="P4" s="220" t="s">
        <v>483</v>
      </c>
      <c r="Q4" s="221" t="s">
        <v>484</v>
      </c>
    </row>
    <row r="5" spans="1:18" ht="15.75" thickBot="1">
      <c r="A5" s="222" t="s">
        <v>314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  <c r="N5" s="225"/>
      <c r="O5" s="226"/>
      <c r="P5" s="227"/>
      <c r="Q5" s="228"/>
    </row>
    <row r="6" spans="1:18" ht="15.75" thickBot="1">
      <c r="A6" s="229" t="s">
        <v>315</v>
      </c>
      <c r="B6" s="230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2">
        <v>127</v>
      </c>
      <c r="N6" s="233">
        <f>SUM(B6:M6)</f>
        <v>127</v>
      </c>
      <c r="O6" s="234">
        <f>AVERAGE(B6:M6)</f>
        <v>127</v>
      </c>
      <c r="P6" s="235">
        <f>(M6/M$9)*100</f>
        <v>64.467005076142129</v>
      </c>
      <c r="Q6" s="235">
        <f>(N6/N$15)*100</f>
        <v>44.876325088339222</v>
      </c>
    </row>
    <row r="7" spans="1:18">
      <c r="A7" s="236" t="s">
        <v>316</v>
      </c>
      <c r="B7" s="237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9">
        <v>70</v>
      </c>
      <c r="N7" s="240">
        <f>SUM(B7:M7)</f>
        <v>70</v>
      </c>
      <c r="O7" s="241">
        <f>AVERAGE(B7:M7)</f>
        <v>70</v>
      </c>
      <c r="P7" s="235">
        <f>(M7/M$9)*100</f>
        <v>35.532994923857871</v>
      </c>
      <c r="Q7" s="242">
        <f>(N7/N$15)*100</f>
        <v>24.734982332155479</v>
      </c>
    </row>
    <row r="8" spans="1:18" ht="15.75" thickBot="1">
      <c r="A8" s="243" t="s">
        <v>317</v>
      </c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6">
        <v>8</v>
      </c>
      <c r="N8" s="247">
        <f>SUM(B8:M8)</f>
        <v>8</v>
      </c>
      <c r="O8" s="248">
        <f>AVERAGE(B8:M8)</f>
        <v>8</v>
      </c>
      <c r="P8" s="249"/>
      <c r="Q8" s="242">
        <f>(N8/N$15)*100</f>
        <v>2.8268551236749118</v>
      </c>
    </row>
    <row r="9" spans="1:18" ht="24.75" customHeight="1" thickBot="1">
      <c r="A9" s="250" t="s">
        <v>318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2">
        <f>SUM(M6:M7)</f>
        <v>197</v>
      </c>
      <c r="N9" s="253">
        <f>SUM(N6:N7)</f>
        <v>197</v>
      </c>
      <c r="O9" s="254">
        <f>AVERAGE(B9:M9)</f>
        <v>197</v>
      </c>
      <c r="P9" s="255">
        <f>SUM(P6:P7)</f>
        <v>100</v>
      </c>
      <c r="Q9" s="256"/>
    </row>
    <row r="10" spans="1:18" ht="15.75" thickBot="1">
      <c r="A10" s="257" t="s">
        <v>320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>
        <f>SUM(M6:M8)</f>
        <v>205</v>
      </c>
      <c r="N10" s="259">
        <f>SUM(N6:N8)</f>
        <v>205</v>
      </c>
      <c r="O10" s="260">
        <f>AVERAGE(B10:M10)</f>
        <v>205</v>
      </c>
      <c r="P10" s="261"/>
      <c r="Q10" s="242">
        <f>SUM(Q6:Q8)</f>
        <v>72.438162544169614</v>
      </c>
    </row>
    <row r="11" spans="1:18" ht="15.75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4"/>
      <c r="N11" s="265"/>
      <c r="O11" s="266"/>
      <c r="P11" s="267"/>
      <c r="Q11" s="268"/>
    </row>
    <row r="12" spans="1:18" ht="15.75" thickBot="1">
      <c r="A12" s="269" t="s">
        <v>321</v>
      </c>
      <c r="B12" s="270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4"/>
      <c r="N12" s="271"/>
      <c r="O12" s="272"/>
      <c r="P12" s="273"/>
      <c r="Q12" s="274"/>
    </row>
    <row r="13" spans="1:18" ht="15.75" thickBot="1">
      <c r="A13" s="275" t="s">
        <v>321</v>
      </c>
      <c r="B13" s="276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8">
        <v>78</v>
      </c>
      <c r="N13" s="279">
        <f>SUM(B13:M13)</f>
        <v>78</v>
      </c>
      <c r="O13" s="280">
        <f>AVERAGE(B13:M13)</f>
        <v>78</v>
      </c>
      <c r="P13" s="281"/>
      <c r="Q13" s="242">
        <f>(N13/N$15)*100</f>
        <v>27.561837455830389</v>
      </c>
    </row>
    <row r="14" spans="1:18" ht="15.75" thickBot="1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4"/>
      <c r="N14" s="282"/>
      <c r="O14" s="283"/>
      <c r="P14" s="284"/>
      <c r="Q14" s="285"/>
    </row>
    <row r="15" spans="1:18" ht="15.75" thickBot="1">
      <c r="A15" s="257" t="s">
        <v>15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>
        <f>M10+M13</f>
        <v>283</v>
      </c>
      <c r="N15" s="286">
        <f>N10+N13</f>
        <v>283</v>
      </c>
      <c r="O15" s="287">
        <f>AVERAGE(B15:M15)</f>
        <v>283</v>
      </c>
      <c r="P15" s="261"/>
      <c r="Q15" s="288">
        <f>SUM(Q10:Q13)</f>
        <v>100</v>
      </c>
      <c r="R15" s="12"/>
    </row>
    <row r="16" spans="1:18" ht="15.75" thickBot="1"/>
    <row r="17" spans="1:7" ht="15.75" thickBot="1">
      <c r="A17" s="980" t="s">
        <v>507</v>
      </c>
      <c r="B17" s="981"/>
      <c r="C17" s="981"/>
      <c r="D17" s="937"/>
      <c r="E17" s="980" t="s">
        <v>321</v>
      </c>
      <c r="F17" s="981"/>
      <c r="G17" s="981"/>
    </row>
    <row r="18" spans="1:7" ht="15.75" thickBot="1">
      <c r="A18" s="951" t="s">
        <v>2</v>
      </c>
      <c r="B18" s="950" t="s">
        <v>210</v>
      </c>
      <c r="C18" s="949" t="s">
        <v>211</v>
      </c>
      <c r="D18" s="937"/>
      <c r="E18" s="951" t="s">
        <v>2</v>
      </c>
      <c r="F18" s="950" t="s">
        <v>210</v>
      </c>
      <c r="G18" s="949" t="s">
        <v>211</v>
      </c>
    </row>
    <row r="19" spans="1:7">
      <c r="A19" s="948">
        <v>45292</v>
      </c>
      <c r="B19" s="947">
        <f>M9</f>
        <v>197</v>
      </c>
      <c r="C19" s="946">
        <f>((B19-81)/81)*100</f>
        <v>143.20987654320987</v>
      </c>
      <c r="D19" s="937"/>
      <c r="E19" s="948">
        <v>45292</v>
      </c>
      <c r="F19" s="947">
        <f>M13</f>
        <v>78</v>
      </c>
      <c r="G19" s="946">
        <f>((F19-98)/98)*100</f>
        <v>-20.408163265306122</v>
      </c>
    </row>
    <row r="20" spans="1:7">
      <c r="A20" s="944">
        <v>45323</v>
      </c>
      <c r="B20" s="941"/>
      <c r="C20" s="940">
        <f t="shared" ref="C20:C30" si="0">((B20-B19)/B19)*100</f>
        <v>-100</v>
      </c>
      <c r="D20" s="937"/>
      <c r="E20" s="944">
        <v>45323</v>
      </c>
      <c r="F20" s="941"/>
      <c r="G20" s="940">
        <f t="shared" ref="G20:G30" si="1">((F20-F19)/F19)*100</f>
        <v>-100</v>
      </c>
    </row>
    <row r="21" spans="1:7">
      <c r="A21" s="944">
        <v>45352</v>
      </c>
      <c r="B21" s="941"/>
      <c r="C21" s="940" t="e">
        <f t="shared" si="0"/>
        <v>#DIV/0!</v>
      </c>
      <c r="D21" s="937"/>
      <c r="E21" s="944">
        <v>45352</v>
      </c>
      <c r="F21" s="941"/>
      <c r="G21" s="940" t="e">
        <f t="shared" si="1"/>
        <v>#DIV/0!</v>
      </c>
    </row>
    <row r="22" spans="1:7">
      <c r="A22" s="944">
        <v>45383</v>
      </c>
      <c r="B22" s="941"/>
      <c r="C22" s="940" t="e">
        <f t="shared" si="0"/>
        <v>#DIV/0!</v>
      </c>
      <c r="D22" s="937"/>
      <c r="E22" s="944">
        <v>45383</v>
      </c>
      <c r="F22" s="941"/>
      <c r="G22" s="940" t="e">
        <f t="shared" si="1"/>
        <v>#DIV/0!</v>
      </c>
    </row>
    <row r="23" spans="1:7">
      <c r="A23" s="944">
        <v>45413</v>
      </c>
      <c r="B23" s="941"/>
      <c r="C23" s="940" t="e">
        <f t="shared" si="0"/>
        <v>#DIV/0!</v>
      </c>
      <c r="D23" s="937"/>
      <c r="E23" s="944">
        <v>45413</v>
      </c>
      <c r="F23" s="941"/>
      <c r="G23" s="940" t="e">
        <f t="shared" si="1"/>
        <v>#DIV/0!</v>
      </c>
    </row>
    <row r="24" spans="1:7">
      <c r="A24" s="944">
        <v>45444</v>
      </c>
      <c r="B24" s="941"/>
      <c r="C24" s="940" t="e">
        <f t="shared" si="0"/>
        <v>#DIV/0!</v>
      </c>
      <c r="D24" s="937"/>
      <c r="E24" s="944">
        <v>45444</v>
      </c>
      <c r="F24" s="941"/>
      <c r="G24" s="940" t="e">
        <f t="shared" si="1"/>
        <v>#DIV/0!</v>
      </c>
    </row>
    <row r="25" spans="1:7">
      <c r="A25" s="944">
        <v>45474</v>
      </c>
      <c r="B25" s="941"/>
      <c r="C25" s="940" t="e">
        <f t="shared" si="0"/>
        <v>#DIV/0!</v>
      </c>
      <c r="D25" s="937"/>
      <c r="E25" s="944">
        <v>45474</v>
      </c>
      <c r="F25" s="941"/>
      <c r="G25" s="940" t="e">
        <f t="shared" si="1"/>
        <v>#DIV/0!</v>
      </c>
    </row>
    <row r="26" spans="1:7">
      <c r="A26" s="944">
        <v>45505</v>
      </c>
      <c r="B26" s="941"/>
      <c r="C26" s="940" t="e">
        <f t="shared" si="0"/>
        <v>#DIV/0!</v>
      </c>
      <c r="D26" s="937"/>
      <c r="E26" s="944">
        <v>45505</v>
      </c>
      <c r="F26" s="941"/>
      <c r="G26" s="940" t="e">
        <f t="shared" si="1"/>
        <v>#DIV/0!</v>
      </c>
    </row>
    <row r="27" spans="1:7">
      <c r="A27" s="944">
        <v>45536</v>
      </c>
      <c r="B27" s="941"/>
      <c r="C27" s="940" t="e">
        <f t="shared" si="0"/>
        <v>#DIV/0!</v>
      </c>
      <c r="D27" s="937"/>
      <c r="E27" s="944">
        <v>45536</v>
      </c>
      <c r="F27" s="941"/>
      <c r="G27" s="940" t="e">
        <f t="shared" si="1"/>
        <v>#DIV/0!</v>
      </c>
    </row>
    <row r="28" spans="1:7">
      <c r="A28" s="944">
        <v>45566</v>
      </c>
      <c r="B28" s="941"/>
      <c r="C28" s="940" t="e">
        <f t="shared" si="0"/>
        <v>#DIV/0!</v>
      </c>
      <c r="D28" s="937"/>
      <c r="E28" s="944">
        <v>45566</v>
      </c>
      <c r="F28" s="941"/>
      <c r="G28" s="940" t="e">
        <f t="shared" si="1"/>
        <v>#DIV/0!</v>
      </c>
    </row>
    <row r="29" spans="1:7">
      <c r="A29" s="944">
        <v>45597</v>
      </c>
      <c r="B29" s="945"/>
      <c r="C29" s="940" t="e">
        <f t="shared" si="0"/>
        <v>#DIV/0!</v>
      </c>
      <c r="D29" s="937"/>
      <c r="E29" s="944">
        <v>45597</v>
      </c>
      <c r="F29" s="941"/>
      <c r="G29" s="940" t="e">
        <f t="shared" si="1"/>
        <v>#DIV/0!</v>
      </c>
    </row>
    <row r="30" spans="1:7" ht="15.75" thickBot="1">
      <c r="A30" s="942">
        <v>45627</v>
      </c>
      <c r="B30" s="943"/>
      <c r="C30" s="940" t="e">
        <f t="shared" si="0"/>
        <v>#DIV/0!</v>
      </c>
      <c r="D30" s="937"/>
      <c r="E30" s="942">
        <v>45627</v>
      </c>
      <c r="F30" s="941"/>
      <c r="G30" s="940" t="e">
        <f t="shared" si="1"/>
        <v>#DIV/0!</v>
      </c>
    </row>
    <row r="31" spans="1:7" ht="15.75" thickBot="1">
      <c r="A31" s="939" t="s">
        <v>5</v>
      </c>
      <c r="B31" s="938">
        <f>SUM(B19:B30)</f>
        <v>197</v>
      </c>
      <c r="C31" s="934"/>
      <c r="D31" s="937"/>
      <c r="E31" s="939" t="s">
        <v>5</v>
      </c>
      <c r="F31" s="938">
        <f>SUM(F19:F30)</f>
        <v>78</v>
      </c>
      <c r="G31" s="934"/>
    </row>
    <row r="32" spans="1:7" ht="15.75" thickBot="1">
      <c r="A32" s="936" t="s">
        <v>6</v>
      </c>
      <c r="B32" s="935">
        <f>AVERAGE(B19:B30)</f>
        <v>197</v>
      </c>
      <c r="C32" s="934"/>
      <c r="D32" s="937"/>
      <c r="E32" s="936" t="s">
        <v>6</v>
      </c>
      <c r="F32" s="935">
        <f>AVERAGE(F19:F30)</f>
        <v>78</v>
      </c>
      <c r="G32" s="934"/>
    </row>
    <row r="33" spans="1:8" ht="17.25" customHeight="1" thickBot="1"/>
    <row r="34" spans="1:8" ht="93" customHeight="1" thickBot="1">
      <c r="A34" s="933"/>
      <c r="B34" s="932" t="s">
        <v>506</v>
      </c>
      <c r="C34" s="931" t="s">
        <v>505</v>
      </c>
      <c r="D34" s="931" t="s">
        <v>504</v>
      </c>
      <c r="E34" s="931" t="s">
        <v>503</v>
      </c>
      <c r="F34" s="931" t="s">
        <v>502</v>
      </c>
      <c r="G34" s="930" t="s">
        <v>501</v>
      </c>
      <c r="H34" s="929" t="s">
        <v>15</v>
      </c>
    </row>
    <row r="35" spans="1:8" ht="15.75" thickBot="1">
      <c r="A35" s="928" t="s">
        <v>316</v>
      </c>
      <c r="B35" s="927"/>
      <c r="C35" s="906"/>
      <c r="D35" s="906"/>
      <c r="E35" s="906"/>
      <c r="F35" s="906"/>
      <c r="G35" s="906"/>
      <c r="H35" s="926"/>
    </row>
    <row r="36" spans="1:8">
      <c r="A36" s="925">
        <v>45292</v>
      </c>
      <c r="B36" s="924">
        <v>11</v>
      </c>
      <c r="C36" s="923">
        <v>1</v>
      </c>
      <c r="D36" s="923">
        <v>34</v>
      </c>
      <c r="E36" s="923">
        <v>6</v>
      </c>
      <c r="F36" s="923">
        <v>9</v>
      </c>
      <c r="G36" s="922">
        <v>9</v>
      </c>
      <c r="H36" s="921">
        <f>SUM(B36:G36)</f>
        <v>70</v>
      </c>
    </row>
    <row r="37" spans="1:8">
      <c r="A37" s="920">
        <v>45323</v>
      </c>
      <c r="B37" s="919"/>
      <c r="C37" s="918"/>
      <c r="D37" s="918"/>
      <c r="E37" s="918"/>
      <c r="F37" s="918"/>
      <c r="G37" s="917"/>
      <c r="H37" s="916"/>
    </row>
    <row r="38" spans="1:8">
      <c r="A38" s="920">
        <v>45352</v>
      </c>
      <c r="B38" s="919"/>
      <c r="C38" s="918"/>
      <c r="D38" s="918"/>
      <c r="E38" s="918"/>
      <c r="F38" s="918"/>
      <c r="G38" s="917"/>
      <c r="H38" s="916"/>
    </row>
    <row r="39" spans="1:8">
      <c r="A39" s="920">
        <v>45383</v>
      </c>
      <c r="B39" s="919"/>
      <c r="C39" s="918"/>
      <c r="D39" s="918"/>
      <c r="E39" s="918"/>
      <c r="F39" s="918"/>
      <c r="G39" s="917"/>
      <c r="H39" s="916"/>
    </row>
    <row r="40" spans="1:8">
      <c r="A40" s="920">
        <v>45413</v>
      </c>
      <c r="B40" s="919"/>
      <c r="C40" s="918"/>
      <c r="D40" s="918"/>
      <c r="E40" s="918"/>
      <c r="F40" s="918"/>
      <c r="G40" s="917"/>
      <c r="H40" s="916"/>
    </row>
    <row r="41" spans="1:8">
      <c r="A41" s="920">
        <v>45444</v>
      </c>
      <c r="B41" s="919"/>
      <c r="C41" s="918"/>
      <c r="D41" s="918"/>
      <c r="E41" s="918"/>
      <c r="F41" s="918"/>
      <c r="G41" s="917"/>
      <c r="H41" s="916"/>
    </row>
    <row r="42" spans="1:8">
      <c r="A42" s="920">
        <v>45474</v>
      </c>
      <c r="B42" s="919"/>
      <c r="C42" s="918"/>
      <c r="D42" s="918"/>
      <c r="E42" s="918"/>
      <c r="F42" s="918"/>
      <c r="G42" s="917"/>
      <c r="H42" s="916"/>
    </row>
    <row r="43" spans="1:8">
      <c r="A43" s="920">
        <v>45505</v>
      </c>
      <c r="B43" s="919"/>
      <c r="C43" s="918"/>
      <c r="D43" s="918"/>
      <c r="E43" s="918"/>
      <c r="F43" s="918"/>
      <c r="G43" s="917"/>
      <c r="H43" s="916"/>
    </row>
    <row r="44" spans="1:8">
      <c r="A44" s="920">
        <v>45536</v>
      </c>
      <c r="B44" s="919"/>
      <c r="C44" s="918"/>
      <c r="D44" s="918"/>
      <c r="E44" s="918"/>
      <c r="F44" s="918"/>
      <c r="G44" s="917"/>
      <c r="H44" s="916"/>
    </row>
    <row r="45" spans="1:8">
      <c r="A45" s="920">
        <v>45566</v>
      </c>
      <c r="B45" s="919"/>
      <c r="C45" s="918"/>
      <c r="D45" s="918"/>
      <c r="E45" s="918"/>
      <c r="F45" s="918"/>
      <c r="G45" s="917"/>
      <c r="H45" s="916"/>
    </row>
    <row r="46" spans="1:8">
      <c r="A46" s="920">
        <v>45597</v>
      </c>
      <c r="B46" s="919"/>
      <c r="C46" s="918"/>
      <c r="D46" s="918"/>
      <c r="E46" s="918"/>
      <c r="F46" s="918"/>
      <c r="G46" s="917"/>
      <c r="H46" s="916"/>
    </row>
    <row r="47" spans="1:8" ht="15.75" thickBot="1">
      <c r="A47" s="915">
        <v>45627</v>
      </c>
      <c r="B47" s="914"/>
      <c r="C47" s="913"/>
      <c r="D47" s="913"/>
      <c r="E47" s="913"/>
      <c r="F47" s="913"/>
      <c r="G47" s="912"/>
      <c r="H47" s="911"/>
    </row>
    <row r="48" spans="1:8" ht="15.75" thickBot="1">
      <c r="A48" s="910" t="s">
        <v>500</v>
      </c>
      <c r="B48" s="909">
        <f t="shared" ref="B48:H48" si="2">SUM(B36:B47)</f>
        <v>11</v>
      </c>
      <c r="C48" s="908">
        <f t="shared" si="2"/>
        <v>1</v>
      </c>
      <c r="D48" s="908">
        <f t="shared" si="2"/>
        <v>34</v>
      </c>
      <c r="E48" s="908">
        <f t="shared" si="2"/>
        <v>6</v>
      </c>
      <c r="F48" s="908">
        <f t="shared" si="2"/>
        <v>9</v>
      </c>
      <c r="G48" s="908">
        <f t="shared" si="2"/>
        <v>9</v>
      </c>
      <c r="H48" s="907">
        <f t="shared" si="2"/>
        <v>70</v>
      </c>
    </row>
    <row r="49" spans="1:8" ht="15.75" thickBot="1">
      <c r="A49" s="906"/>
      <c r="B49" s="905"/>
      <c r="C49" s="905"/>
      <c r="D49" s="905"/>
      <c r="E49" s="905"/>
      <c r="F49" s="905"/>
      <c r="G49" s="905"/>
      <c r="H49" s="905"/>
    </row>
    <row r="50" spans="1:8" ht="15.75" thickBot="1">
      <c r="A50" s="904" t="s">
        <v>315</v>
      </c>
      <c r="B50" s="903"/>
      <c r="C50" s="902"/>
      <c r="D50" s="902"/>
      <c r="E50" s="902"/>
      <c r="F50" s="902"/>
      <c r="G50" s="902"/>
      <c r="H50" s="902"/>
    </row>
    <row r="51" spans="1:8">
      <c r="A51" s="901">
        <v>44927</v>
      </c>
      <c r="B51" s="900">
        <v>8</v>
      </c>
      <c r="C51" s="899">
        <v>7</v>
      </c>
      <c r="D51" s="899">
        <v>57</v>
      </c>
      <c r="E51" s="899">
        <v>3</v>
      </c>
      <c r="F51" s="899">
        <v>27</v>
      </c>
      <c r="G51" s="898">
        <v>25</v>
      </c>
      <c r="H51" s="897">
        <f>SUM(B51:G51)</f>
        <v>127</v>
      </c>
    </row>
    <row r="52" spans="1:8">
      <c r="A52" s="896">
        <v>44958</v>
      </c>
      <c r="B52" s="895"/>
      <c r="C52" s="894"/>
      <c r="D52" s="894"/>
      <c r="E52" s="894"/>
      <c r="F52" s="894"/>
      <c r="G52" s="893"/>
      <c r="H52" s="892"/>
    </row>
    <row r="53" spans="1:8">
      <c r="A53" s="896">
        <v>44986</v>
      </c>
      <c r="B53" s="895"/>
      <c r="C53" s="894"/>
      <c r="D53" s="894"/>
      <c r="E53" s="894"/>
      <c r="F53" s="894"/>
      <c r="G53" s="893"/>
      <c r="H53" s="892"/>
    </row>
    <row r="54" spans="1:8">
      <c r="A54" s="896">
        <v>45017</v>
      </c>
      <c r="B54" s="895"/>
      <c r="C54" s="894"/>
      <c r="D54" s="894"/>
      <c r="E54" s="894"/>
      <c r="F54" s="894"/>
      <c r="G54" s="893"/>
      <c r="H54" s="892"/>
    </row>
    <row r="55" spans="1:8">
      <c r="A55" s="896">
        <v>45047</v>
      </c>
      <c r="B55" s="895"/>
      <c r="C55" s="894"/>
      <c r="D55" s="894"/>
      <c r="E55" s="894"/>
      <c r="F55" s="894"/>
      <c r="G55" s="893"/>
      <c r="H55" s="892"/>
    </row>
    <row r="56" spans="1:8">
      <c r="A56" s="896">
        <v>45078</v>
      </c>
      <c r="B56" s="895"/>
      <c r="C56" s="894"/>
      <c r="D56" s="894"/>
      <c r="E56" s="894"/>
      <c r="F56" s="894"/>
      <c r="G56" s="893"/>
      <c r="H56" s="892"/>
    </row>
    <row r="57" spans="1:8">
      <c r="A57" s="896">
        <v>45108</v>
      </c>
      <c r="B57" s="895"/>
      <c r="C57" s="894"/>
      <c r="D57" s="894"/>
      <c r="E57" s="894"/>
      <c r="F57" s="894"/>
      <c r="G57" s="893"/>
      <c r="H57" s="892"/>
    </row>
    <row r="58" spans="1:8">
      <c r="A58" s="896">
        <v>45139</v>
      </c>
      <c r="B58" s="895"/>
      <c r="C58" s="894"/>
      <c r="D58" s="894"/>
      <c r="E58" s="894"/>
      <c r="F58" s="894"/>
      <c r="G58" s="893"/>
      <c r="H58" s="892"/>
    </row>
    <row r="59" spans="1:8">
      <c r="A59" s="896">
        <v>45170</v>
      </c>
      <c r="B59" s="895"/>
      <c r="C59" s="894"/>
      <c r="D59" s="894"/>
      <c r="E59" s="894"/>
      <c r="F59" s="894"/>
      <c r="G59" s="893"/>
      <c r="H59" s="892"/>
    </row>
    <row r="60" spans="1:8">
      <c r="A60" s="896">
        <v>45200</v>
      </c>
      <c r="B60" s="895"/>
      <c r="C60" s="894"/>
      <c r="D60" s="894"/>
      <c r="E60" s="894"/>
      <c r="F60" s="894"/>
      <c r="G60" s="893"/>
      <c r="H60" s="892"/>
    </row>
    <row r="61" spans="1:8">
      <c r="A61" s="896">
        <v>45231</v>
      </c>
      <c r="B61" s="895"/>
      <c r="C61" s="894"/>
      <c r="D61" s="894"/>
      <c r="E61" s="894"/>
      <c r="F61" s="894"/>
      <c r="G61" s="893"/>
      <c r="H61" s="892"/>
    </row>
    <row r="62" spans="1:8" ht="15.75" thickBot="1">
      <c r="A62" s="891">
        <v>45261</v>
      </c>
      <c r="B62" s="890"/>
      <c r="C62" s="889"/>
      <c r="D62" s="889"/>
      <c r="E62" s="889"/>
      <c r="F62" s="889"/>
      <c r="G62" s="888"/>
      <c r="H62" s="887"/>
    </row>
    <row r="63" spans="1:8" ht="15.75" thickBot="1">
      <c r="A63" s="886" t="s">
        <v>499</v>
      </c>
      <c r="B63" s="885">
        <f t="shared" ref="B63:H63" si="3">SUM(B51:B62)</f>
        <v>8</v>
      </c>
      <c r="C63" s="885">
        <f t="shared" si="3"/>
        <v>7</v>
      </c>
      <c r="D63" s="885">
        <f t="shared" si="3"/>
        <v>57</v>
      </c>
      <c r="E63" s="885">
        <f t="shared" si="3"/>
        <v>3</v>
      </c>
      <c r="F63" s="885">
        <f t="shared" si="3"/>
        <v>27</v>
      </c>
      <c r="G63" s="884">
        <f t="shared" si="3"/>
        <v>25</v>
      </c>
      <c r="H63" s="883">
        <f t="shared" si="3"/>
        <v>127</v>
      </c>
    </row>
    <row r="64" spans="1:8" ht="15.75" thickBot="1">
      <c r="A64" s="882"/>
      <c r="B64" s="882"/>
      <c r="C64" s="882"/>
      <c r="D64" s="882"/>
      <c r="E64" s="882"/>
      <c r="F64" s="882"/>
      <c r="G64" s="882"/>
      <c r="H64" s="882"/>
    </row>
    <row r="65" spans="1:8" ht="15.75" thickBot="1">
      <c r="A65" s="881" t="s">
        <v>15</v>
      </c>
      <c r="B65" s="880">
        <f t="shared" ref="B65:H65" si="4">B48+B63</f>
        <v>19</v>
      </c>
      <c r="C65" s="880">
        <f t="shared" si="4"/>
        <v>8</v>
      </c>
      <c r="D65" s="880">
        <f t="shared" si="4"/>
        <v>91</v>
      </c>
      <c r="E65" s="880">
        <f t="shared" si="4"/>
        <v>9</v>
      </c>
      <c r="F65" s="880">
        <f t="shared" si="4"/>
        <v>36</v>
      </c>
      <c r="G65" s="880">
        <f t="shared" si="4"/>
        <v>34</v>
      </c>
      <c r="H65" s="879">
        <f t="shared" si="4"/>
        <v>197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21:G30 C21:C29" evalError="1"/>
    <ignoredError sqref="O9" formula="1"/>
    <ignoredError sqref="M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740">
        <v>45292</v>
      </c>
      <c r="B5" s="741">
        <f>P24</f>
        <v>5587</v>
      </c>
      <c r="C5" s="709">
        <f>((B5-4354)/4354)*100</f>
        <v>28.318787322002759</v>
      </c>
      <c r="D5" s="8"/>
      <c r="E5" s="8"/>
      <c r="F5" s="8"/>
      <c r="I5"/>
      <c r="J5"/>
    </row>
    <row r="6" spans="1:11" ht="15.75" thickBot="1">
      <c r="A6" s="742">
        <v>45323</v>
      </c>
      <c r="B6" s="743"/>
      <c r="C6" s="703"/>
      <c r="D6" s="8"/>
      <c r="E6" s="8"/>
      <c r="F6" s="8"/>
      <c r="H6" s="9"/>
      <c r="I6" s="8"/>
      <c r="J6" s="8"/>
      <c r="K6" s="10"/>
    </row>
    <row r="7" spans="1:11" ht="15.75" thickBot="1">
      <c r="A7" s="742">
        <v>45352</v>
      </c>
      <c r="B7" s="11"/>
      <c r="C7" s="703"/>
      <c r="D7" s="8"/>
      <c r="E7" s="8"/>
      <c r="F7" s="8"/>
      <c r="H7" s="9"/>
      <c r="I7" s="8"/>
      <c r="J7" s="8"/>
      <c r="K7" s="10"/>
    </row>
    <row r="8" spans="1:11" ht="15.75" thickBot="1">
      <c r="A8" s="742">
        <v>45383</v>
      </c>
      <c r="B8" s="11"/>
      <c r="C8" s="703"/>
      <c r="D8" s="8"/>
      <c r="E8" s="8"/>
      <c r="F8" s="8"/>
    </row>
    <row r="9" spans="1:11" ht="15.75" thickBot="1">
      <c r="A9" s="742">
        <v>45413</v>
      </c>
      <c r="B9" s="11"/>
      <c r="C9" s="703"/>
      <c r="D9" s="8"/>
      <c r="E9" s="8"/>
      <c r="F9" s="8"/>
    </row>
    <row r="10" spans="1:11" ht="15.75" thickBot="1">
      <c r="A10" s="742">
        <v>45444</v>
      </c>
      <c r="B10" s="11"/>
      <c r="C10" s="703"/>
      <c r="D10" s="8"/>
      <c r="E10" s="8"/>
      <c r="F10" s="8"/>
    </row>
    <row r="11" spans="1:11" ht="15.75" thickBot="1">
      <c r="A11" s="742">
        <v>45474</v>
      </c>
      <c r="B11" s="11"/>
      <c r="C11" s="703"/>
      <c r="D11" s="8"/>
      <c r="E11" s="8"/>
      <c r="F11" s="8"/>
    </row>
    <row r="12" spans="1:11" ht="15.75" thickBot="1">
      <c r="A12" s="742">
        <v>45505</v>
      </c>
      <c r="B12" s="11"/>
      <c r="C12" s="703"/>
      <c r="D12" s="8"/>
      <c r="E12" s="8"/>
      <c r="F12" s="8"/>
    </row>
    <row r="13" spans="1:11" ht="15.75" thickBot="1">
      <c r="A13" s="742">
        <v>45536</v>
      </c>
      <c r="B13" s="11"/>
      <c r="C13" s="703"/>
      <c r="D13" s="8"/>
      <c r="E13" s="8"/>
      <c r="F13" s="8"/>
    </row>
    <row r="14" spans="1:11" ht="15.75" thickBot="1">
      <c r="A14" s="742">
        <v>45566</v>
      </c>
      <c r="B14" s="11"/>
      <c r="C14" s="703"/>
      <c r="D14" s="8"/>
      <c r="E14" s="8"/>
      <c r="F14" s="8"/>
      <c r="H14" s="12"/>
    </row>
    <row r="15" spans="1:11" ht="15.75" thickBot="1">
      <c r="A15" s="744">
        <v>45597</v>
      </c>
      <c r="B15" s="11"/>
      <c r="C15" s="703"/>
      <c r="D15" s="8"/>
      <c r="E15" s="8"/>
      <c r="F15" s="8"/>
    </row>
    <row r="16" spans="1:11" ht="15.75" thickBot="1">
      <c r="A16" s="739">
        <v>45627</v>
      </c>
      <c r="B16" s="717"/>
      <c r="C16" s="706"/>
      <c r="D16" s="8"/>
      <c r="E16" s="8"/>
      <c r="F16" s="8"/>
    </row>
    <row r="17" spans="1:19" ht="15.75" thickBot="1">
      <c r="A17" s="13" t="s">
        <v>5</v>
      </c>
      <c r="B17" s="15">
        <f>SUM(B5:B16)</f>
        <v>5587</v>
      </c>
    </row>
    <row r="18" spans="1:19" ht="30.75" thickBot="1">
      <c r="A18" s="14" t="s">
        <v>6</v>
      </c>
      <c r="B18" s="15">
        <f>AVERAGE(B5:B16)</f>
        <v>5587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21" t="s">
        <v>8</v>
      </c>
      <c r="S18" s="21" t="s">
        <v>6</v>
      </c>
    </row>
    <row r="19" spans="1:19">
      <c r="A19" s="952"/>
      <c r="B19" s="952"/>
      <c r="C19" s="952"/>
      <c r="D19" s="22" t="s">
        <v>9</v>
      </c>
      <c r="E19" s="23"/>
      <c r="F19" s="24"/>
      <c r="G19" s="25"/>
      <c r="H19" s="25"/>
      <c r="I19" s="25"/>
      <c r="J19" s="25"/>
      <c r="K19" s="26"/>
      <c r="L19" s="26"/>
      <c r="M19" s="27"/>
      <c r="N19" s="28"/>
      <c r="O19" s="27"/>
      <c r="P19" s="29">
        <v>205</v>
      </c>
      <c r="Q19" s="30">
        <f>SUM(E19:P19)</f>
        <v>205</v>
      </c>
      <c r="R19" s="31">
        <f>(Q19/Q24)*100</f>
        <v>3.6692321460533384</v>
      </c>
      <c r="S19" s="32">
        <f t="shared" ref="S19:S24" si="0">AVERAGE(E19:P19)</f>
        <v>205</v>
      </c>
    </row>
    <row r="20" spans="1:19" ht="15" customHeight="1">
      <c r="A20" s="953" t="s">
        <v>10</v>
      </c>
      <c r="B20" s="953"/>
      <c r="C20" s="33"/>
      <c r="D20" s="34" t="s">
        <v>11</v>
      </c>
      <c r="E20" s="35"/>
      <c r="F20" s="36"/>
      <c r="G20" s="37"/>
      <c r="H20" s="37"/>
      <c r="I20" s="37"/>
      <c r="J20" s="37"/>
      <c r="K20" s="38"/>
      <c r="L20" s="38"/>
      <c r="M20" s="37"/>
      <c r="N20" s="28"/>
      <c r="O20" s="37"/>
      <c r="P20" s="39">
        <v>70</v>
      </c>
      <c r="Q20" s="40">
        <f>SUM(E20:P20)</f>
        <v>70</v>
      </c>
      <c r="R20" s="41">
        <f>(Q20/Q24)*100</f>
        <v>1.2529085376767497</v>
      </c>
      <c r="S20" s="42">
        <f t="shared" si="0"/>
        <v>70</v>
      </c>
    </row>
    <row r="21" spans="1:19">
      <c r="A21" s="953"/>
      <c r="B21" s="953"/>
      <c r="D21" s="34" t="s">
        <v>12</v>
      </c>
      <c r="E21" s="35"/>
      <c r="F21" s="36"/>
      <c r="G21" s="37"/>
      <c r="H21" s="37"/>
      <c r="I21" s="37"/>
      <c r="J21" s="37"/>
      <c r="K21" s="38"/>
      <c r="L21" s="38"/>
      <c r="M21" s="37"/>
      <c r="N21" s="28"/>
      <c r="O21" s="37"/>
      <c r="P21" s="39">
        <v>5003</v>
      </c>
      <c r="Q21" s="40">
        <f>SUM(E21:P21)</f>
        <v>5003</v>
      </c>
      <c r="R21" s="41">
        <f>(Q21/Q24)*100</f>
        <v>89.547163057096839</v>
      </c>
      <c r="S21" s="42">
        <f t="shared" si="0"/>
        <v>5003</v>
      </c>
    </row>
    <row r="22" spans="1:19">
      <c r="D22" s="34" t="s">
        <v>13</v>
      </c>
      <c r="E22" s="35"/>
      <c r="F22" s="36"/>
      <c r="G22" s="37"/>
      <c r="H22" s="37"/>
      <c r="I22" s="37"/>
      <c r="J22" s="37"/>
      <c r="K22" s="38"/>
      <c r="L22" s="38"/>
      <c r="M22" s="37"/>
      <c r="N22" s="28"/>
      <c r="O22" s="37"/>
      <c r="P22" s="39">
        <v>225</v>
      </c>
      <c r="Q22" s="40">
        <f>SUM(E22:P22)</f>
        <v>225</v>
      </c>
      <c r="R22" s="41">
        <f>(Q22/Q24)*100</f>
        <v>4.0272060139609804</v>
      </c>
      <c r="S22" s="42">
        <f t="shared" si="0"/>
        <v>225</v>
      </c>
    </row>
    <row r="23" spans="1:19" ht="15.75" thickBot="1">
      <c r="D23" s="34" t="s">
        <v>14</v>
      </c>
      <c r="E23" s="43"/>
      <c r="F23" s="36"/>
      <c r="G23" s="44"/>
      <c r="H23" s="44"/>
      <c r="I23" s="44"/>
      <c r="J23" s="44"/>
      <c r="K23" s="45"/>
      <c r="L23" s="45"/>
      <c r="M23" s="37"/>
      <c r="N23" s="28"/>
      <c r="O23" s="44"/>
      <c r="P23" s="46">
        <v>84</v>
      </c>
      <c r="Q23" s="47">
        <f>SUM(E23:P23)</f>
        <v>84</v>
      </c>
      <c r="R23" s="48">
        <f>(Q23/Q24)*100</f>
        <v>1.5034902452120995</v>
      </c>
      <c r="S23" s="49">
        <f t="shared" si="0"/>
        <v>84</v>
      </c>
    </row>
    <row r="24" spans="1:19" ht="15.75" thickBot="1">
      <c r="D24" s="203" t="s">
        <v>15</v>
      </c>
      <c r="E24" s="50">
        <f>SUM(E19:E23)</f>
        <v>0</v>
      </c>
      <c r="F24" s="50">
        <f>SUM(F19:F23)</f>
        <v>0</v>
      </c>
      <c r="G24" s="50">
        <f>SUM(G19:G23)</f>
        <v>0</v>
      </c>
      <c r="H24" s="50">
        <f>SUM(H19:H23)</f>
        <v>0</v>
      </c>
      <c r="I24" s="50">
        <f>SUM(I19:I23)</f>
        <v>0</v>
      </c>
      <c r="J24" s="50">
        <f t="shared" ref="J24:R24" si="1">SUM(J19:J23)</f>
        <v>0</v>
      </c>
      <c r="K24" s="50">
        <f t="shared" si="1"/>
        <v>0</v>
      </c>
      <c r="L24" s="50">
        <f t="shared" si="1"/>
        <v>0</v>
      </c>
      <c r="M24" s="50">
        <f t="shared" si="1"/>
        <v>0</v>
      </c>
      <c r="N24" s="52">
        <f t="shared" si="1"/>
        <v>0</v>
      </c>
      <c r="O24" s="50">
        <f t="shared" si="1"/>
        <v>0</v>
      </c>
      <c r="P24" s="52">
        <f t="shared" si="1"/>
        <v>5587</v>
      </c>
      <c r="Q24" s="53">
        <f t="shared" si="1"/>
        <v>5587</v>
      </c>
      <c r="R24" s="52">
        <f t="shared" si="1"/>
        <v>100.00000000000001</v>
      </c>
      <c r="S24" s="54">
        <f t="shared" si="0"/>
        <v>465.58333333333331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Normal="100" workbookViewId="0">
      <selection activeCell="H27" sqref="H27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477" t="s">
        <v>0</v>
      </c>
      <c r="B1" s="478"/>
      <c r="C1" s="478"/>
      <c r="D1" s="478"/>
    </row>
    <row r="2" spans="1:4" ht="15.75" thickBot="1">
      <c r="A2" s="479" t="s">
        <v>1</v>
      </c>
      <c r="B2" s="93"/>
      <c r="C2" s="93"/>
    </row>
    <row r="3" spans="1:4" ht="15.75" thickBot="1">
      <c r="A3" s="480" t="s">
        <v>486</v>
      </c>
      <c r="B3" s="481" t="s">
        <v>408</v>
      </c>
      <c r="C3" s="482" t="s">
        <v>409</v>
      </c>
      <c r="D3" s="483" t="s">
        <v>23</v>
      </c>
    </row>
    <row r="4" spans="1:4">
      <c r="A4" s="484" t="s">
        <v>212</v>
      </c>
      <c r="B4" s="485">
        <v>1</v>
      </c>
      <c r="C4" s="485">
        <v>1</v>
      </c>
      <c r="D4" s="485">
        <f>SUM(B4:C4)</f>
        <v>2</v>
      </c>
    </row>
    <row r="5" spans="1:4">
      <c r="A5" s="486" t="s">
        <v>410</v>
      </c>
      <c r="B5" s="487">
        <v>0</v>
      </c>
      <c r="C5" s="487">
        <v>0</v>
      </c>
      <c r="D5" s="487">
        <f t="shared" ref="D5:D68" si="0">SUM(B5:C5)</f>
        <v>0</v>
      </c>
    </row>
    <row r="6" spans="1:4">
      <c r="A6" s="488" t="s">
        <v>213</v>
      </c>
      <c r="B6" s="487">
        <v>1</v>
      </c>
      <c r="C6" s="487">
        <v>0</v>
      </c>
      <c r="D6" s="487">
        <f t="shared" si="0"/>
        <v>1</v>
      </c>
    </row>
    <row r="7" spans="1:4">
      <c r="A7" s="488" t="s">
        <v>214</v>
      </c>
      <c r="B7" s="487">
        <v>0</v>
      </c>
      <c r="C7" s="487">
        <v>0</v>
      </c>
      <c r="D7" s="487">
        <f t="shared" si="0"/>
        <v>0</v>
      </c>
    </row>
    <row r="8" spans="1:4">
      <c r="A8" s="488" t="s">
        <v>215</v>
      </c>
      <c r="B8" s="487">
        <v>0</v>
      </c>
      <c r="C8" s="487">
        <v>0</v>
      </c>
      <c r="D8" s="487">
        <f t="shared" si="0"/>
        <v>0</v>
      </c>
    </row>
    <row r="9" spans="1:4">
      <c r="A9" s="488" t="s">
        <v>216</v>
      </c>
      <c r="B9" s="487">
        <v>1</v>
      </c>
      <c r="C9" s="487">
        <v>0</v>
      </c>
      <c r="D9" s="487">
        <f t="shared" si="0"/>
        <v>1</v>
      </c>
    </row>
    <row r="10" spans="1:4">
      <c r="A10" s="488" t="s">
        <v>217</v>
      </c>
      <c r="B10" s="487">
        <v>0</v>
      </c>
      <c r="C10" s="487">
        <v>0</v>
      </c>
      <c r="D10" s="487">
        <f t="shared" si="0"/>
        <v>0</v>
      </c>
    </row>
    <row r="11" spans="1:4">
      <c r="A11" s="488" t="s">
        <v>144</v>
      </c>
      <c r="B11" s="487">
        <v>0</v>
      </c>
      <c r="C11" s="487">
        <v>8</v>
      </c>
      <c r="D11" s="487">
        <f t="shared" si="0"/>
        <v>8</v>
      </c>
    </row>
    <row r="12" spans="1:4">
      <c r="A12" s="488" t="s">
        <v>218</v>
      </c>
      <c r="B12" s="487">
        <v>0</v>
      </c>
      <c r="C12" s="487">
        <v>0</v>
      </c>
      <c r="D12" s="487">
        <f t="shared" si="0"/>
        <v>0</v>
      </c>
    </row>
    <row r="13" spans="1:4">
      <c r="A13" s="488" t="s">
        <v>219</v>
      </c>
      <c r="B13" s="487">
        <v>0</v>
      </c>
      <c r="C13" s="487">
        <v>0</v>
      </c>
      <c r="D13" s="487">
        <f t="shared" si="0"/>
        <v>0</v>
      </c>
    </row>
    <row r="14" spans="1:4">
      <c r="A14" s="488" t="s">
        <v>220</v>
      </c>
      <c r="B14" s="487">
        <v>1</v>
      </c>
      <c r="C14" s="487">
        <v>4</v>
      </c>
      <c r="D14" s="487">
        <f t="shared" si="0"/>
        <v>5</v>
      </c>
    </row>
    <row r="15" spans="1:4">
      <c r="A15" s="488" t="s">
        <v>221</v>
      </c>
      <c r="B15" s="487">
        <v>0</v>
      </c>
      <c r="C15" s="487">
        <v>0</v>
      </c>
      <c r="D15" s="487">
        <f t="shared" si="0"/>
        <v>0</v>
      </c>
    </row>
    <row r="16" spans="1:4">
      <c r="A16" s="488" t="s">
        <v>222</v>
      </c>
      <c r="B16" s="487">
        <v>0</v>
      </c>
      <c r="C16" s="487">
        <v>0</v>
      </c>
      <c r="D16" s="487">
        <f t="shared" si="0"/>
        <v>0</v>
      </c>
    </row>
    <row r="17" spans="1:4">
      <c r="A17" s="488" t="s">
        <v>223</v>
      </c>
      <c r="B17" s="487">
        <v>0</v>
      </c>
      <c r="C17" s="487">
        <v>0</v>
      </c>
      <c r="D17" s="487">
        <f t="shared" si="0"/>
        <v>0</v>
      </c>
    </row>
    <row r="18" spans="1:4">
      <c r="A18" s="488" t="s">
        <v>224</v>
      </c>
      <c r="B18" s="487">
        <v>1</v>
      </c>
      <c r="C18" s="487">
        <v>0</v>
      </c>
      <c r="D18" s="487">
        <f t="shared" si="0"/>
        <v>1</v>
      </c>
    </row>
    <row r="19" spans="1:4">
      <c r="A19" s="488" t="s">
        <v>485</v>
      </c>
      <c r="B19" s="487">
        <v>2</v>
      </c>
      <c r="C19" s="487">
        <v>0</v>
      </c>
      <c r="D19" s="487">
        <f t="shared" si="0"/>
        <v>2</v>
      </c>
    </row>
    <row r="20" spans="1:4">
      <c r="A20" s="488" t="s">
        <v>225</v>
      </c>
      <c r="B20" s="487">
        <v>0</v>
      </c>
      <c r="C20" s="487">
        <v>0</v>
      </c>
      <c r="D20" s="487">
        <f t="shared" si="0"/>
        <v>0</v>
      </c>
    </row>
    <row r="21" spans="1:4">
      <c r="A21" s="488" t="s">
        <v>226</v>
      </c>
      <c r="B21" s="487">
        <v>0</v>
      </c>
      <c r="C21" s="487">
        <v>0</v>
      </c>
      <c r="D21" s="487">
        <f t="shared" si="0"/>
        <v>0</v>
      </c>
    </row>
    <row r="22" spans="1:4">
      <c r="A22" s="488" t="s">
        <v>227</v>
      </c>
      <c r="B22" s="487">
        <v>32</v>
      </c>
      <c r="C22" s="487">
        <v>15</v>
      </c>
      <c r="D22" s="487">
        <f t="shared" si="0"/>
        <v>47</v>
      </c>
    </row>
    <row r="23" spans="1:4">
      <c r="A23" s="488" t="s">
        <v>228</v>
      </c>
      <c r="B23" s="487">
        <v>1</v>
      </c>
      <c r="C23" s="487">
        <v>2</v>
      </c>
      <c r="D23" s="487">
        <f t="shared" si="0"/>
        <v>3</v>
      </c>
    </row>
    <row r="24" spans="1:4">
      <c r="A24" s="489" t="s">
        <v>229</v>
      </c>
      <c r="B24" s="490">
        <v>6</v>
      </c>
      <c r="C24" s="490">
        <v>9</v>
      </c>
      <c r="D24" s="487">
        <f t="shared" si="0"/>
        <v>15</v>
      </c>
    </row>
    <row r="25" spans="1:4">
      <c r="A25" s="491" t="s">
        <v>411</v>
      </c>
      <c r="B25" s="487">
        <v>0</v>
      </c>
      <c r="C25" s="487">
        <v>0</v>
      </c>
      <c r="D25" s="487">
        <f t="shared" si="0"/>
        <v>0</v>
      </c>
    </row>
    <row r="26" spans="1:4">
      <c r="A26" s="484" t="s">
        <v>230</v>
      </c>
      <c r="B26" s="485">
        <v>7</v>
      </c>
      <c r="C26" s="485">
        <v>2</v>
      </c>
      <c r="D26" s="487">
        <f t="shared" si="0"/>
        <v>9</v>
      </c>
    </row>
    <row r="27" spans="1:4">
      <c r="A27" s="488" t="s">
        <v>231</v>
      </c>
      <c r="B27" s="487">
        <v>0</v>
      </c>
      <c r="C27" s="487">
        <v>1</v>
      </c>
      <c r="D27" s="487">
        <f t="shared" si="0"/>
        <v>1</v>
      </c>
    </row>
    <row r="28" spans="1:4">
      <c r="A28" s="488" t="s">
        <v>232</v>
      </c>
      <c r="B28" s="487">
        <v>5</v>
      </c>
      <c r="C28" s="487">
        <v>1</v>
      </c>
      <c r="D28" s="487">
        <f t="shared" si="0"/>
        <v>6</v>
      </c>
    </row>
    <row r="29" spans="1:4">
      <c r="A29" s="488" t="s">
        <v>233</v>
      </c>
      <c r="B29" s="487">
        <v>36</v>
      </c>
      <c r="C29" s="487">
        <v>15</v>
      </c>
      <c r="D29" s="487">
        <f t="shared" si="0"/>
        <v>51</v>
      </c>
    </row>
    <row r="30" spans="1:4">
      <c r="A30" s="488" t="s">
        <v>234</v>
      </c>
      <c r="B30" s="487">
        <v>1</v>
      </c>
      <c r="C30" s="487">
        <v>3</v>
      </c>
      <c r="D30" s="487">
        <f t="shared" si="0"/>
        <v>4</v>
      </c>
    </row>
    <row r="31" spans="1:4">
      <c r="A31" s="488" t="s">
        <v>235</v>
      </c>
      <c r="B31" s="487">
        <v>1</v>
      </c>
      <c r="C31" s="487">
        <v>0</v>
      </c>
      <c r="D31" s="487">
        <f t="shared" si="0"/>
        <v>1</v>
      </c>
    </row>
    <row r="32" spans="1:4">
      <c r="A32" s="488" t="s">
        <v>236</v>
      </c>
      <c r="B32" s="487">
        <v>1</v>
      </c>
      <c r="C32" s="487">
        <v>0</v>
      </c>
      <c r="D32" s="487">
        <f t="shared" si="0"/>
        <v>1</v>
      </c>
    </row>
    <row r="33" spans="1:4">
      <c r="A33" s="488" t="s">
        <v>237</v>
      </c>
      <c r="B33" s="487">
        <v>1</v>
      </c>
      <c r="C33" s="487">
        <v>0</v>
      </c>
      <c r="D33" s="487">
        <f t="shared" si="0"/>
        <v>1</v>
      </c>
    </row>
    <row r="34" spans="1:4">
      <c r="A34" s="488" t="s">
        <v>238</v>
      </c>
      <c r="B34" s="487">
        <v>1</v>
      </c>
      <c r="C34" s="487">
        <v>2</v>
      </c>
      <c r="D34" s="487">
        <f t="shared" si="0"/>
        <v>3</v>
      </c>
    </row>
    <row r="35" spans="1:4">
      <c r="A35" s="488" t="s">
        <v>239</v>
      </c>
      <c r="B35" s="487">
        <v>0</v>
      </c>
      <c r="C35" s="487">
        <v>0</v>
      </c>
      <c r="D35" s="487">
        <f t="shared" si="0"/>
        <v>0</v>
      </c>
    </row>
    <row r="36" spans="1:4">
      <c r="A36" s="488" t="s">
        <v>240</v>
      </c>
      <c r="B36" s="487">
        <v>0</v>
      </c>
      <c r="C36" s="487">
        <v>0</v>
      </c>
      <c r="D36" s="487">
        <f t="shared" si="0"/>
        <v>0</v>
      </c>
    </row>
    <row r="37" spans="1:4">
      <c r="A37" s="488" t="s">
        <v>241</v>
      </c>
      <c r="B37" s="487">
        <v>5</v>
      </c>
      <c r="C37" s="487">
        <v>1</v>
      </c>
      <c r="D37" s="487">
        <f t="shared" si="0"/>
        <v>6</v>
      </c>
    </row>
    <row r="38" spans="1:4">
      <c r="A38" s="488" t="s">
        <v>242</v>
      </c>
      <c r="B38" s="487">
        <v>0</v>
      </c>
      <c r="C38" s="487">
        <v>0</v>
      </c>
      <c r="D38" s="487">
        <f t="shared" si="0"/>
        <v>0</v>
      </c>
    </row>
    <row r="39" spans="1:4">
      <c r="A39" s="488" t="s">
        <v>243</v>
      </c>
      <c r="B39" s="487">
        <v>0</v>
      </c>
      <c r="C39" s="487">
        <v>0</v>
      </c>
      <c r="D39" s="487">
        <f t="shared" si="0"/>
        <v>0</v>
      </c>
    </row>
    <row r="40" spans="1:4">
      <c r="A40" s="488" t="s">
        <v>244</v>
      </c>
      <c r="B40" s="487">
        <v>2</v>
      </c>
      <c r="C40" s="487">
        <v>1</v>
      </c>
      <c r="D40" s="487">
        <f t="shared" si="0"/>
        <v>3</v>
      </c>
    </row>
    <row r="41" spans="1:4">
      <c r="A41" s="488" t="s">
        <v>245</v>
      </c>
      <c r="B41" s="487">
        <v>1</v>
      </c>
      <c r="C41" s="487">
        <v>0</v>
      </c>
      <c r="D41" s="487">
        <f t="shared" si="0"/>
        <v>1</v>
      </c>
    </row>
    <row r="42" spans="1:4">
      <c r="A42" s="488" t="s">
        <v>246</v>
      </c>
      <c r="B42" s="487">
        <v>4</v>
      </c>
      <c r="C42" s="487">
        <v>0</v>
      </c>
      <c r="D42" s="487">
        <f t="shared" si="0"/>
        <v>4</v>
      </c>
    </row>
    <row r="43" spans="1:4">
      <c r="A43" s="488" t="s">
        <v>247</v>
      </c>
      <c r="B43" s="487">
        <v>0</v>
      </c>
      <c r="C43" s="487">
        <v>0</v>
      </c>
      <c r="D43" s="487">
        <f t="shared" si="0"/>
        <v>0</v>
      </c>
    </row>
    <row r="44" spans="1:4">
      <c r="A44" s="488" t="s">
        <v>248</v>
      </c>
      <c r="B44" s="487">
        <v>0</v>
      </c>
      <c r="C44" s="487">
        <v>0</v>
      </c>
      <c r="D44" s="487">
        <f t="shared" si="0"/>
        <v>0</v>
      </c>
    </row>
    <row r="45" spans="1:4">
      <c r="A45" s="488" t="s">
        <v>249</v>
      </c>
      <c r="B45" s="487">
        <v>1</v>
      </c>
      <c r="C45" s="487">
        <v>2</v>
      </c>
      <c r="D45" s="487">
        <f t="shared" si="0"/>
        <v>3</v>
      </c>
    </row>
    <row r="46" spans="1:4">
      <c r="A46" s="488" t="s">
        <v>250</v>
      </c>
      <c r="B46" s="487">
        <v>1</v>
      </c>
      <c r="C46" s="487">
        <v>0</v>
      </c>
      <c r="D46" s="487">
        <f t="shared" si="0"/>
        <v>1</v>
      </c>
    </row>
    <row r="47" spans="1:4">
      <c r="A47" s="488" t="s">
        <v>251</v>
      </c>
      <c r="B47" s="487">
        <v>0</v>
      </c>
      <c r="C47" s="487">
        <v>0</v>
      </c>
      <c r="D47" s="487">
        <f t="shared" si="0"/>
        <v>0</v>
      </c>
    </row>
    <row r="48" spans="1:4">
      <c r="A48" s="488" t="s">
        <v>252</v>
      </c>
      <c r="B48" s="487">
        <v>0</v>
      </c>
      <c r="C48" s="487">
        <v>0</v>
      </c>
      <c r="D48" s="487">
        <f t="shared" si="0"/>
        <v>0</v>
      </c>
    </row>
    <row r="49" spans="1:4">
      <c r="A49" s="488" t="s">
        <v>253</v>
      </c>
      <c r="B49" s="487">
        <v>1</v>
      </c>
      <c r="C49" s="487">
        <v>0</v>
      </c>
      <c r="D49" s="487">
        <f t="shared" si="0"/>
        <v>1</v>
      </c>
    </row>
    <row r="50" spans="1:4">
      <c r="A50" s="488" t="s">
        <v>254</v>
      </c>
      <c r="B50" s="487">
        <v>0</v>
      </c>
      <c r="C50" s="487">
        <v>0</v>
      </c>
      <c r="D50" s="487">
        <f t="shared" si="0"/>
        <v>0</v>
      </c>
    </row>
    <row r="51" spans="1:4">
      <c r="A51" s="488" t="s">
        <v>255</v>
      </c>
      <c r="B51" s="487">
        <v>0</v>
      </c>
      <c r="C51" s="487">
        <v>0</v>
      </c>
      <c r="D51" s="487">
        <f t="shared" si="0"/>
        <v>0</v>
      </c>
    </row>
    <row r="52" spans="1:4">
      <c r="A52" s="488" t="s">
        <v>256</v>
      </c>
      <c r="B52" s="487">
        <v>0</v>
      </c>
      <c r="C52" s="487">
        <v>0</v>
      </c>
      <c r="D52" s="487">
        <f t="shared" si="0"/>
        <v>0</v>
      </c>
    </row>
    <row r="53" spans="1:4">
      <c r="A53" s="488" t="s">
        <v>257</v>
      </c>
      <c r="B53" s="487">
        <v>3</v>
      </c>
      <c r="C53" s="487">
        <v>0</v>
      </c>
      <c r="D53" s="487">
        <f t="shared" si="0"/>
        <v>3</v>
      </c>
    </row>
    <row r="54" spans="1:4">
      <c r="A54" s="488" t="s">
        <v>258</v>
      </c>
      <c r="B54" s="487">
        <v>0</v>
      </c>
      <c r="C54" s="487">
        <v>0</v>
      </c>
      <c r="D54" s="487">
        <f t="shared" si="0"/>
        <v>0</v>
      </c>
    </row>
    <row r="55" spans="1:4">
      <c r="A55" s="488" t="s">
        <v>259</v>
      </c>
      <c r="B55" s="487">
        <v>0</v>
      </c>
      <c r="C55" s="487">
        <v>0</v>
      </c>
      <c r="D55" s="487">
        <f t="shared" si="0"/>
        <v>0</v>
      </c>
    </row>
    <row r="56" spans="1:4">
      <c r="A56" s="488" t="s">
        <v>260</v>
      </c>
      <c r="B56" s="487">
        <v>1</v>
      </c>
      <c r="C56" s="487">
        <v>1</v>
      </c>
      <c r="D56" s="487">
        <f t="shared" si="0"/>
        <v>2</v>
      </c>
    </row>
    <row r="57" spans="1:4">
      <c r="A57" s="488" t="s">
        <v>261</v>
      </c>
      <c r="B57" s="487">
        <v>0</v>
      </c>
      <c r="C57" s="487">
        <v>0</v>
      </c>
      <c r="D57" s="487">
        <f t="shared" si="0"/>
        <v>0</v>
      </c>
    </row>
    <row r="58" spans="1:4">
      <c r="A58" s="488" t="s">
        <v>262</v>
      </c>
      <c r="B58" s="487">
        <v>0</v>
      </c>
      <c r="C58" s="487">
        <v>0</v>
      </c>
      <c r="D58" s="487">
        <f t="shared" si="0"/>
        <v>0</v>
      </c>
    </row>
    <row r="59" spans="1:4">
      <c r="A59" s="488" t="s">
        <v>263</v>
      </c>
      <c r="B59" s="487">
        <v>1</v>
      </c>
      <c r="C59" s="487">
        <v>0</v>
      </c>
      <c r="D59" s="487">
        <f t="shared" si="0"/>
        <v>1</v>
      </c>
    </row>
    <row r="60" spans="1:4">
      <c r="A60" s="488" t="s">
        <v>264</v>
      </c>
      <c r="B60" s="487">
        <v>0</v>
      </c>
      <c r="C60" s="487">
        <v>0</v>
      </c>
      <c r="D60" s="487">
        <f t="shared" si="0"/>
        <v>0</v>
      </c>
    </row>
    <row r="61" spans="1:4">
      <c r="A61" s="488" t="s">
        <v>265</v>
      </c>
      <c r="B61" s="487">
        <v>0</v>
      </c>
      <c r="C61" s="487">
        <v>0</v>
      </c>
      <c r="D61" s="487">
        <f t="shared" si="0"/>
        <v>0</v>
      </c>
    </row>
    <row r="62" spans="1:4">
      <c r="A62" s="488" t="s">
        <v>266</v>
      </c>
      <c r="B62" s="487">
        <v>0</v>
      </c>
      <c r="C62" s="487">
        <v>0</v>
      </c>
      <c r="D62" s="487">
        <f t="shared" si="0"/>
        <v>0</v>
      </c>
    </row>
    <row r="63" spans="1:4">
      <c r="A63" s="488" t="s">
        <v>267</v>
      </c>
      <c r="B63" s="487">
        <v>0</v>
      </c>
      <c r="C63" s="487">
        <v>0</v>
      </c>
      <c r="D63" s="487">
        <f t="shared" si="0"/>
        <v>0</v>
      </c>
    </row>
    <row r="64" spans="1:4">
      <c r="A64" s="488" t="s">
        <v>268</v>
      </c>
      <c r="B64" s="487">
        <v>0</v>
      </c>
      <c r="C64" s="487">
        <v>0</v>
      </c>
      <c r="D64" s="487">
        <f t="shared" si="0"/>
        <v>0</v>
      </c>
    </row>
    <row r="65" spans="1:6">
      <c r="A65" s="488" t="s">
        <v>269</v>
      </c>
      <c r="B65" s="487">
        <v>1</v>
      </c>
      <c r="C65" s="487">
        <v>0</v>
      </c>
      <c r="D65" s="487">
        <f t="shared" si="0"/>
        <v>1</v>
      </c>
    </row>
    <row r="66" spans="1:6">
      <c r="A66" s="488" t="s">
        <v>270</v>
      </c>
      <c r="B66" s="487">
        <v>0</v>
      </c>
      <c r="C66" s="487">
        <v>0</v>
      </c>
      <c r="D66" s="487">
        <f t="shared" si="0"/>
        <v>0</v>
      </c>
    </row>
    <row r="67" spans="1:6">
      <c r="A67" s="488" t="s">
        <v>271</v>
      </c>
      <c r="B67" s="487">
        <v>3</v>
      </c>
      <c r="C67" s="487">
        <v>0</v>
      </c>
      <c r="D67" s="487">
        <f t="shared" si="0"/>
        <v>3</v>
      </c>
    </row>
    <row r="68" spans="1:6">
      <c r="A68" s="488" t="s">
        <v>272</v>
      </c>
      <c r="B68" s="487">
        <v>0</v>
      </c>
      <c r="C68" s="487">
        <v>0</v>
      </c>
      <c r="D68" s="487">
        <f t="shared" si="0"/>
        <v>0</v>
      </c>
    </row>
    <row r="69" spans="1:6">
      <c r="A69" s="488" t="s">
        <v>273</v>
      </c>
      <c r="B69" s="487">
        <v>2</v>
      </c>
      <c r="C69" s="487">
        <v>1</v>
      </c>
      <c r="D69" s="487">
        <f t="shared" ref="D69:D71" si="1">SUM(B69:C69)</f>
        <v>3</v>
      </c>
    </row>
    <row r="70" spans="1:6">
      <c r="A70" s="488" t="s">
        <v>274</v>
      </c>
      <c r="B70" s="487">
        <v>0</v>
      </c>
      <c r="C70" s="487">
        <v>1</v>
      </c>
      <c r="D70" s="487">
        <f t="shared" si="1"/>
        <v>1</v>
      </c>
    </row>
    <row r="71" spans="1:6">
      <c r="A71" s="488" t="s">
        <v>275</v>
      </c>
      <c r="B71" s="487">
        <v>2</v>
      </c>
      <c r="C71" s="487">
        <v>0</v>
      </c>
      <c r="D71" s="487">
        <f t="shared" si="1"/>
        <v>2</v>
      </c>
    </row>
    <row r="72" spans="1:6">
      <c r="A72" s="488" t="s">
        <v>276</v>
      </c>
      <c r="B72" s="487">
        <v>0</v>
      </c>
      <c r="C72" s="487">
        <v>0</v>
      </c>
      <c r="D72" s="487">
        <f>SUM(B72:C72)</f>
        <v>0</v>
      </c>
    </row>
    <row r="73" spans="1:6">
      <c r="A73" s="492" t="s">
        <v>317</v>
      </c>
      <c r="B73" s="982"/>
      <c r="C73" s="983"/>
      <c r="D73" s="487">
        <v>8</v>
      </c>
    </row>
    <row r="74" spans="1:6">
      <c r="A74" s="493" t="s">
        <v>5</v>
      </c>
      <c r="B74" s="494">
        <f>SUM(B4:B72)</f>
        <v>127</v>
      </c>
      <c r="C74" s="494">
        <f>SUM(C4:C72)</f>
        <v>70</v>
      </c>
      <c r="D74" s="520">
        <f>SUM(D4:D73)</f>
        <v>205</v>
      </c>
    </row>
    <row r="75" spans="1:6">
      <c r="A75" s="516"/>
      <c r="B75" s="516"/>
      <c r="C75" s="516"/>
      <c r="D75" s="516"/>
      <c r="E75" s="516"/>
      <c r="F75" s="516"/>
    </row>
    <row r="76" spans="1:6" s="449" customFormat="1">
      <c r="A76" s="737" t="s">
        <v>408</v>
      </c>
      <c r="B76" s="737" t="s">
        <v>409</v>
      </c>
      <c r="C76" s="738" t="s">
        <v>432</v>
      </c>
      <c r="D76" s="737" t="s">
        <v>23</v>
      </c>
    </row>
    <row r="77" spans="1:6" s="449" customFormat="1">
      <c r="A77" s="738">
        <f>B74</f>
        <v>127</v>
      </c>
      <c r="B77" s="738">
        <f>C74</f>
        <v>70</v>
      </c>
      <c r="C77" s="738">
        <f>D73</f>
        <v>8</v>
      </c>
      <c r="D77" s="738">
        <f>SUM(A77:C77)</f>
        <v>205</v>
      </c>
    </row>
    <row r="78" spans="1:6">
      <c r="A78" s="516"/>
      <c r="B78" s="516"/>
      <c r="C78" s="516"/>
      <c r="D78" s="516"/>
      <c r="E78" s="516"/>
      <c r="F78" s="516"/>
    </row>
    <row r="79" spans="1:6">
      <c r="A79" s="516"/>
      <c r="B79" s="516"/>
      <c r="C79" s="516"/>
      <c r="D79" s="516"/>
      <c r="E79" s="516"/>
      <c r="F79" s="516"/>
    </row>
    <row r="80" spans="1:6">
      <c r="A80" s="516"/>
      <c r="B80" s="516"/>
      <c r="C80" s="516"/>
      <c r="D80" s="516"/>
      <c r="E80" s="516"/>
      <c r="F80" s="516"/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zoomScaleNormal="100" workbookViewId="0"/>
  </sheetViews>
  <sheetFormatPr defaultRowHeight="15"/>
  <cols>
    <col min="1" max="1" width="22.7109375" customWidth="1"/>
    <col min="2" max="2" width="9.85546875" customWidth="1"/>
    <col min="3" max="3" width="9" style="93" customWidth="1"/>
    <col min="4" max="4" width="6.85546875" style="93" bestFit="1" customWidth="1"/>
    <col min="5" max="5" width="6.5703125" bestFit="1" customWidth="1"/>
    <col min="6" max="6" width="7" style="73" bestFit="1" customWidth="1"/>
    <col min="7" max="7" width="6.140625" style="73" bestFit="1" customWidth="1"/>
    <col min="8" max="8" width="6.7109375" style="73" bestFit="1" customWidth="1"/>
    <col min="9" max="9" width="7.140625" style="89" bestFit="1" customWidth="1"/>
    <col min="10" max="10" width="6.7109375" style="73" bestFit="1" customWidth="1"/>
    <col min="11" max="11" width="7.28515625" style="73" bestFit="1" customWidth="1"/>
    <col min="12" max="12" width="6.7109375" style="73" bestFit="1" customWidth="1"/>
    <col min="13" max="13" width="6.5703125" style="131" bestFit="1" customWidth="1"/>
    <col min="14" max="14" width="6.5703125" style="289" bestFit="1" customWidth="1"/>
    <col min="15" max="15" width="12.140625" style="93" customWidth="1"/>
    <col min="16" max="16" width="6" style="93" bestFit="1" customWidth="1"/>
    <col min="17" max="17" width="5.42578125" style="93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73" bestFit="1" customWidth="1"/>
    <col min="33" max="33" width="6.7109375" style="73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35" bestFit="1" customWidth="1"/>
    <col min="55" max="55" width="9.140625" customWidth="1"/>
  </cols>
  <sheetData>
    <row r="1" spans="1:3">
      <c r="A1" s="94" t="s">
        <v>0</v>
      </c>
    </row>
    <row r="2" spans="1:3">
      <c r="A2" s="1" t="s">
        <v>1</v>
      </c>
    </row>
    <row r="3" spans="1:3" ht="15.75" thickBot="1"/>
    <row r="4" spans="1:3" ht="15.75" thickBot="1">
      <c r="A4" s="985" t="s">
        <v>322</v>
      </c>
      <c r="B4" s="986"/>
      <c r="C4" s="985"/>
    </row>
    <row r="5" spans="1:3" ht="15.75" thickBot="1">
      <c r="A5" s="862" t="s">
        <v>2</v>
      </c>
      <c r="B5" s="860" t="s">
        <v>210</v>
      </c>
      <c r="C5" s="629" t="s">
        <v>211</v>
      </c>
    </row>
    <row r="6" spans="1:3">
      <c r="A6" s="861">
        <v>45292</v>
      </c>
      <c r="B6" s="290">
        <v>564</v>
      </c>
      <c r="C6" s="801">
        <f>((B6-441)/441)*100</f>
        <v>27.89115646258503</v>
      </c>
    </row>
    <row r="7" spans="1:3">
      <c r="A7" s="859">
        <v>45323</v>
      </c>
      <c r="B7" s="291"/>
      <c r="C7" s="802"/>
    </row>
    <row r="8" spans="1:3">
      <c r="A8" s="859">
        <v>45352</v>
      </c>
      <c r="B8" s="291"/>
      <c r="C8" s="802"/>
    </row>
    <row r="9" spans="1:3">
      <c r="A9" s="859">
        <v>45383</v>
      </c>
      <c r="B9" s="291"/>
      <c r="C9" s="802"/>
    </row>
    <row r="10" spans="1:3">
      <c r="A10" s="859">
        <v>45413</v>
      </c>
      <c r="B10" s="291"/>
      <c r="C10" s="802"/>
    </row>
    <row r="11" spans="1:3">
      <c r="A11" s="859">
        <v>45444</v>
      </c>
      <c r="B11" s="291"/>
      <c r="C11" s="802"/>
    </row>
    <row r="12" spans="1:3">
      <c r="A12" s="859">
        <v>45474</v>
      </c>
      <c r="B12" s="291"/>
      <c r="C12" s="802"/>
    </row>
    <row r="13" spans="1:3">
      <c r="A13" s="859">
        <v>45505</v>
      </c>
      <c r="B13" s="291"/>
      <c r="C13" s="802"/>
    </row>
    <row r="14" spans="1:3">
      <c r="A14" s="859">
        <v>45536</v>
      </c>
      <c r="B14" s="291"/>
      <c r="C14" s="802"/>
    </row>
    <row r="15" spans="1:3">
      <c r="A15" s="859">
        <v>45566</v>
      </c>
      <c r="B15" s="291"/>
      <c r="C15" s="802"/>
    </row>
    <row r="16" spans="1:3">
      <c r="A16" s="859">
        <v>45597</v>
      </c>
      <c r="B16" s="292"/>
      <c r="C16" s="802"/>
    </row>
    <row r="17" spans="1:41" ht="15.75" thickBot="1">
      <c r="A17" s="864">
        <v>45627</v>
      </c>
      <c r="B17" s="293"/>
      <c r="C17" s="803"/>
    </row>
    <row r="18" spans="1:41" ht="15.75" thickBot="1">
      <c r="A18" s="866" t="s">
        <v>5</v>
      </c>
      <c r="B18" s="863">
        <f>SUM(B6:B17)</f>
        <v>564</v>
      </c>
      <c r="C18"/>
    </row>
    <row r="19" spans="1:41" ht="15.75" thickBot="1">
      <c r="A19" s="865" t="s">
        <v>6</v>
      </c>
      <c r="B19" s="294">
        <f>AVERAGE(B6:B17)</f>
        <v>564</v>
      </c>
      <c r="C19"/>
    </row>
    <row r="20" spans="1:41" ht="15.75" thickBot="1">
      <c r="A20" s="93"/>
      <c r="B20" s="93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41" customFormat="1" ht="24.95" customHeight="1" thickBot="1">
      <c r="A21" s="295" t="s">
        <v>323</v>
      </c>
      <c r="B21" s="296">
        <v>45627</v>
      </c>
      <c r="C21" s="296">
        <v>45597</v>
      </c>
      <c r="D21" s="296">
        <v>45566</v>
      </c>
      <c r="E21" s="296">
        <v>45536</v>
      </c>
      <c r="F21" s="296">
        <v>45505</v>
      </c>
      <c r="G21" s="296">
        <v>45474</v>
      </c>
      <c r="H21" s="296">
        <v>45444</v>
      </c>
      <c r="I21" s="296">
        <v>45413</v>
      </c>
      <c r="J21" s="296">
        <v>45383</v>
      </c>
      <c r="K21" s="296">
        <v>45352</v>
      </c>
      <c r="L21" s="296">
        <v>45323</v>
      </c>
      <c r="M21" s="296">
        <v>45292</v>
      </c>
      <c r="N21" s="296" t="s">
        <v>5</v>
      </c>
      <c r="O21" s="297" t="s">
        <v>6</v>
      </c>
      <c r="P21" s="298" t="s">
        <v>8</v>
      </c>
      <c r="Q21" s="299"/>
      <c r="S21" s="986" t="s">
        <v>324</v>
      </c>
      <c r="T21" s="986"/>
      <c r="U21" s="986"/>
      <c r="V21" s="986"/>
      <c r="W21" s="986"/>
      <c r="X21" s="986"/>
      <c r="Y21" s="986"/>
      <c r="Z21" s="986"/>
      <c r="AA21" s="986"/>
      <c r="AB21" s="986"/>
      <c r="AC21" s="986"/>
      <c r="AD21" s="986"/>
      <c r="AE21" s="986"/>
      <c r="AF21" s="986"/>
      <c r="AG21" s="986"/>
      <c r="AH21" s="300">
        <v>12</v>
      </c>
      <c r="AI21" s="300">
        <v>7</v>
      </c>
      <c r="AJ21" s="300">
        <v>11</v>
      </c>
      <c r="AK21" s="300">
        <v>7</v>
      </c>
      <c r="AL21" s="300">
        <v>2</v>
      </c>
      <c r="AM21" s="300">
        <v>10</v>
      </c>
      <c r="AN21" s="300">
        <v>7</v>
      </c>
      <c r="AO21" s="135"/>
    </row>
    <row r="22" spans="1:41" customFormat="1" ht="34.5" customHeight="1" thickBot="1">
      <c r="A22" s="301" t="s">
        <v>325</v>
      </c>
      <c r="B22" s="302"/>
      <c r="C22" s="303"/>
      <c r="D22" s="303"/>
      <c r="E22" s="303"/>
      <c r="F22" s="303"/>
      <c r="G22" s="303"/>
      <c r="H22" s="303"/>
      <c r="I22" s="303"/>
      <c r="J22" s="304"/>
      <c r="K22" s="305"/>
      <c r="L22" s="304"/>
      <c r="M22" s="306">
        <v>2</v>
      </c>
      <c r="N22" s="307">
        <f t="shared" ref="N22:N53" si="0">SUM(B22:M22)</f>
        <v>2</v>
      </c>
      <c r="O22" s="308">
        <f t="shared" ref="O22:O53" si="1">AVERAGE(B22:M22)</f>
        <v>2</v>
      </c>
      <c r="P22" s="309">
        <f>(N22/N100)*100</f>
        <v>0.3546099290780142</v>
      </c>
      <c r="Q22" s="310"/>
      <c r="R22" s="189"/>
      <c r="S22" s="311"/>
      <c r="T22" s="312">
        <v>45627</v>
      </c>
      <c r="U22" s="312">
        <v>45597</v>
      </c>
      <c r="V22" s="312">
        <v>45566</v>
      </c>
      <c r="W22" s="312">
        <v>45536</v>
      </c>
      <c r="X22" s="312">
        <v>45505</v>
      </c>
      <c r="Y22" s="312">
        <v>45474</v>
      </c>
      <c r="Z22" s="312">
        <v>45444</v>
      </c>
      <c r="AA22" s="312">
        <v>45413</v>
      </c>
      <c r="AB22" s="312">
        <v>45383</v>
      </c>
      <c r="AC22" s="312">
        <v>45352</v>
      </c>
      <c r="AD22" s="312">
        <v>45323</v>
      </c>
      <c r="AE22" s="313">
        <v>45292</v>
      </c>
      <c r="AF22" s="804" t="s">
        <v>5</v>
      </c>
      <c r="AG22" s="805" t="s">
        <v>6</v>
      </c>
      <c r="AH22" s="300">
        <v>84</v>
      </c>
      <c r="AI22" s="300">
        <v>49</v>
      </c>
      <c r="AJ22" s="300">
        <v>90</v>
      </c>
      <c r="AK22" s="300">
        <v>117</v>
      </c>
      <c r="AL22" s="300">
        <v>58</v>
      </c>
      <c r="AM22" s="300">
        <v>49</v>
      </c>
      <c r="AN22" s="300">
        <v>22</v>
      </c>
      <c r="AO22" s="135"/>
    </row>
    <row r="23" spans="1:41" customFormat="1" ht="24.95" customHeight="1" thickBot="1">
      <c r="A23" s="314" t="s">
        <v>326</v>
      </c>
      <c r="B23" s="302"/>
      <c r="C23" s="303"/>
      <c r="D23" s="303"/>
      <c r="E23" s="303"/>
      <c r="F23" s="303"/>
      <c r="G23" s="303"/>
      <c r="H23" s="303"/>
      <c r="I23" s="303"/>
      <c r="J23" s="315"/>
      <c r="K23" s="316"/>
      <c r="L23" s="315"/>
      <c r="M23" s="306">
        <v>0</v>
      </c>
      <c r="N23" s="307">
        <f t="shared" si="0"/>
        <v>0</v>
      </c>
      <c r="O23" s="308">
        <f t="shared" si="1"/>
        <v>0</v>
      </c>
      <c r="P23" s="309">
        <f>(N23/N100)*100</f>
        <v>0</v>
      </c>
      <c r="Q23" s="310"/>
      <c r="R23" s="189"/>
      <c r="S23" s="987" t="s">
        <v>327</v>
      </c>
      <c r="T23" s="987"/>
      <c r="U23" s="987"/>
      <c r="V23" s="987"/>
      <c r="W23" s="987"/>
      <c r="X23" s="987"/>
      <c r="Y23" s="987"/>
      <c r="Z23" s="987"/>
      <c r="AA23" s="987"/>
      <c r="AB23" s="987"/>
      <c r="AC23" s="987"/>
      <c r="AD23" s="987"/>
      <c r="AE23" s="987"/>
      <c r="AF23" s="806"/>
      <c r="AG23" s="807"/>
      <c r="AH23" s="135"/>
      <c r="AI23" s="135"/>
      <c r="AJ23" s="135"/>
      <c r="AK23" s="135"/>
      <c r="AL23" s="135"/>
      <c r="AM23" s="135"/>
      <c r="AN23" s="135"/>
      <c r="AO23" s="135"/>
    </row>
    <row r="24" spans="1:41" customFormat="1" ht="24.95" customHeight="1" thickBot="1">
      <c r="A24" s="314" t="s">
        <v>213</v>
      </c>
      <c r="B24" s="318"/>
      <c r="C24" s="319"/>
      <c r="D24" s="319"/>
      <c r="E24" s="319"/>
      <c r="F24" s="319"/>
      <c r="G24" s="303"/>
      <c r="H24" s="319"/>
      <c r="I24" s="319"/>
      <c r="J24" s="315"/>
      <c r="K24" s="320"/>
      <c r="L24" s="315"/>
      <c r="M24" s="321">
        <v>5</v>
      </c>
      <c r="N24" s="322">
        <f t="shared" si="0"/>
        <v>5</v>
      </c>
      <c r="O24" s="323">
        <f t="shared" si="1"/>
        <v>5</v>
      </c>
      <c r="P24" s="324">
        <f t="shared" ref="P24:P55" si="2">(N24/$N$100)*100</f>
        <v>0.88652482269503552</v>
      </c>
      <c r="Q24" s="310"/>
      <c r="R24" s="189"/>
      <c r="S24" s="325" t="s">
        <v>5</v>
      </c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7">
        <v>564</v>
      </c>
      <c r="AF24" s="808">
        <f>SUM(T24:AE24)</f>
        <v>564</v>
      </c>
      <c r="AG24" s="809">
        <f>AVERAGE(T24:AE24)</f>
        <v>564</v>
      </c>
      <c r="AH24" s="135"/>
      <c r="AI24" s="135"/>
      <c r="AJ24" s="135"/>
      <c r="AK24" s="135"/>
      <c r="AL24" s="135"/>
      <c r="AM24" s="135"/>
      <c r="AN24" s="135"/>
      <c r="AO24" s="135"/>
    </row>
    <row r="25" spans="1:41" customFormat="1" ht="24.95" customHeight="1">
      <c r="A25" s="314" t="s">
        <v>328</v>
      </c>
      <c r="B25" s="318"/>
      <c r="C25" s="319"/>
      <c r="D25" s="319"/>
      <c r="E25" s="319"/>
      <c r="F25" s="319"/>
      <c r="G25" s="303"/>
      <c r="H25" s="319"/>
      <c r="I25" s="319"/>
      <c r="J25" s="315"/>
      <c r="K25" s="320"/>
      <c r="L25" s="315"/>
      <c r="M25" s="321">
        <v>37</v>
      </c>
      <c r="N25" s="322">
        <f t="shared" si="0"/>
        <v>37</v>
      </c>
      <c r="O25" s="323">
        <f t="shared" si="1"/>
        <v>37</v>
      </c>
      <c r="P25" s="324">
        <f>(N25/$N$100)*100</f>
        <v>6.5602836879432624</v>
      </c>
      <c r="Q25" s="310"/>
      <c r="R25" s="189"/>
      <c r="S25" s="328"/>
      <c r="T25" s="329"/>
      <c r="U25" s="329"/>
      <c r="V25" s="329"/>
      <c r="W25" s="329"/>
      <c r="X25" s="329"/>
      <c r="Y25" s="330"/>
      <c r="Z25" s="331"/>
      <c r="AA25" s="329"/>
      <c r="AB25" s="329"/>
      <c r="AC25" s="329"/>
      <c r="AD25" s="329"/>
      <c r="AE25" s="330"/>
      <c r="AF25" s="810"/>
      <c r="AG25" s="811"/>
      <c r="AH25" s="332"/>
      <c r="AI25" s="135"/>
      <c r="AJ25" s="135"/>
      <c r="AK25" s="135"/>
      <c r="AL25" s="135"/>
      <c r="AM25" s="135"/>
      <c r="AN25" s="135"/>
      <c r="AO25" s="135"/>
    </row>
    <row r="26" spans="1:41" customFormat="1" ht="24.95" customHeight="1" thickBot="1">
      <c r="A26" s="314" t="s">
        <v>329</v>
      </c>
      <c r="B26" s="318"/>
      <c r="C26" s="319"/>
      <c r="D26" s="319"/>
      <c r="E26" s="319"/>
      <c r="F26" s="319"/>
      <c r="G26" s="303"/>
      <c r="H26" s="319"/>
      <c r="I26" s="319"/>
      <c r="J26" s="315"/>
      <c r="K26" s="320"/>
      <c r="L26" s="315"/>
      <c r="M26" s="321">
        <v>9</v>
      </c>
      <c r="N26" s="322">
        <f t="shared" si="0"/>
        <v>9</v>
      </c>
      <c r="O26" s="323">
        <f t="shared" si="1"/>
        <v>9</v>
      </c>
      <c r="P26" s="324">
        <f t="shared" si="2"/>
        <v>1.5957446808510638</v>
      </c>
      <c r="Q26" s="310"/>
      <c r="R26" s="189"/>
      <c r="S26" s="988" t="s">
        <v>330</v>
      </c>
      <c r="T26" s="988"/>
      <c r="U26" s="988"/>
      <c r="V26" s="988"/>
      <c r="W26" s="988"/>
      <c r="X26" s="988"/>
      <c r="Y26" s="988"/>
      <c r="Z26" s="988"/>
      <c r="AA26" s="988"/>
      <c r="AB26" s="988"/>
      <c r="AC26" s="988"/>
      <c r="AD26" s="988"/>
      <c r="AE26" s="988"/>
      <c r="AF26" s="812"/>
      <c r="AG26" s="813"/>
      <c r="AH26" s="332"/>
      <c r="AI26" s="135"/>
      <c r="AJ26" s="135"/>
      <c r="AK26" s="135"/>
      <c r="AL26" s="135"/>
      <c r="AM26" s="135"/>
      <c r="AN26" s="135"/>
      <c r="AO26" s="135"/>
    </row>
    <row r="27" spans="1:41" customFormat="1" ht="24.95" customHeight="1" thickBot="1">
      <c r="A27" s="314" t="s">
        <v>331</v>
      </c>
      <c r="B27" s="318"/>
      <c r="C27" s="319"/>
      <c r="D27" s="319"/>
      <c r="E27" s="319"/>
      <c r="F27" s="319"/>
      <c r="G27" s="303"/>
      <c r="H27" s="319"/>
      <c r="I27" s="319"/>
      <c r="J27" s="315"/>
      <c r="K27" s="320"/>
      <c r="L27" s="315"/>
      <c r="M27" s="321">
        <v>18</v>
      </c>
      <c r="N27" s="322">
        <f t="shared" si="0"/>
        <v>18</v>
      </c>
      <c r="O27" s="323">
        <f t="shared" si="1"/>
        <v>18</v>
      </c>
      <c r="P27" s="324">
        <f t="shared" si="2"/>
        <v>3.1914893617021276</v>
      </c>
      <c r="Q27" s="310"/>
      <c r="R27" s="189"/>
      <c r="S27" s="333" t="s">
        <v>332</v>
      </c>
      <c r="T27" s="334">
        <f t="shared" ref="T27:AC27" si="3">SUM(T28:T29)</f>
        <v>0</v>
      </c>
      <c r="U27" s="335">
        <f t="shared" si="3"/>
        <v>0</v>
      </c>
      <c r="V27" s="335">
        <f t="shared" si="3"/>
        <v>0</v>
      </c>
      <c r="W27" s="335">
        <f t="shared" si="3"/>
        <v>0</v>
      </c>
      <c r="X27" s="335">
        <f t="shared" si="3"/>
        <v>0</v>
      </c>
      <c r="Y27" s="335">
        <f t="shared" si="3"/>
        <v>0</v>
      </c>
      <c r="Z27" s="335">
        <f t="shared" si="3"/>
        <v>0</v>
      </c>
      <c r="AA27" s="335">
        <f t="shared" si="3"/>
        <v>0</v>
      </c>
      <c r="AB27" s="335">
        <f t="shared" si="3"/>
        <v>0</v>
      </c>
      <c r="AC27" s="335">
        <f t="shared" si="3"/>
        <v>0</v>
      </c>
      <c r="AD27" s="335">
        <f>SUM(AD28:AD29)</f>
        <v>0</v>
      </c>
      <c r="AE27" s="335">
        <f>SUM(AE28:AE29)</f>
        <v>497</v>
      </c>
      <c r="AF27" s="814">
        <f>SUM(T27:AE27)</f>
        <v>497</v>
      </c>
      <c r="AG27" s="809">
        <f>SUM(AG28:AG29)</f>
        <v>497</v>
      </c>
      <c r="AH27" s="332"/>
      <c r="AI27" s="135"/>
      <c r="AJ27" s="135"/>
      <c r="AK27" s="135"/>
      <c r="AL27" s="135"/>
      <c r="AM27" s="135"/>
      <c r="AN27" s="135"/>
      <c r="AO27" s="135"/>
    </row>
    <row r="28" spans="1:41" customFormat="1" ht="24.95" customHeight="1">
      <c r="A28" s="314" t="s">
        <v>333</v>
      </c>
      <c r="B28" s="318"/>
      <c r="C28" s="319"/>
      <c r="D28" s="319"/>
      <c r="E28" s="319"/>
      <c r="F28" s="319"/>
      <c r="G28" s="303"/>
      <c r="H28" s="319"/>
      <c r="I28" s="319"/>
      <c r="J28" s="315"/>
      <c r="K28" s="320"/>
      <c r="L28" s="315"/>
      <c r="M28" s="321">
        <v>2</v>
      </c>
      <c r="N28" s="322">
        <f t="shared" si="0"/>
        <v>2</v>
      </c>
      <c r="O28" s="323">
        <f t="shared" si="1"/>
        <v>2</v>
      </c>
      <c r="P28" s="324">
        <f t="shared" si="2"/>
        <v>0.3546099290780142</v>
      </c>
      <c r="Q28" s="310"/>
      <c r="R28" s="189"/>
      <c r="S28" s="336" t="s">
        <v>334</v>
      </c>
      <c r="T28" s="337"/>
      <c r="U28" s="338"/>
      <c r="V28" s="338"/>
      <c r="W28" s="338"/>
      <c r="X28" s="338"/>
      <c r="Y28" s="338"/>
      <c r="Z28" s="338"/>
      <c r="AA28" s="338"/>
      <c r="AB28" s="338"/>
      <c r="AC28" s="339"/>
      <c r="AD28" s="339"/>
      <c r="AE28" s="340">
        <v>388</v>
      </c>
      <c r="AF28" s="815">
        <f>SUM(T28:AE28)</f>
        <v>388</v>
      </c>
      <c r="AG28" s="816">
        <f>AVERAGE(T28:AE28)</f>
        <v>388</v>
      </c>
      <c r="AH28" s="332"/>
      <c r="AI28" s="135"/>
      <c r="AJ28" s="135"/>
      <c r="AK28" s="135"/>
      <c r="AL28" s="135"/>
      <c r="AM28" s="135"/>
      <c r="AN28" s="135"/>
      <c r="AO28" s="135"/>
    </row>
    <row r="29" spans="1:41" customFormat="1" ht="24.95" customHeight="1" thickBot="1">
      <c r="A29" s="314" t="s">
        <v>335</v>
      </c>
      <c r="B29" s="318"/>
      <c r="C29" s="319"/>
      <c r="D29" s="319"/>
      <c r="E29" s="319"/>
      <c r="F29" s="319"/>
      <c r="G29" s="303"/>
      <c r="H29" s="319"/>
      <c r="I29" s="319"/>
      <c r="J29" s="315"/>
      <c r="K29" s="320"/>
      <c r="L29" s="315"/>
      <c r="M29" s="321">
        <v>1</v>
      </c>
      <c r="N29" s="322">
        <f t="shared" si="0"/>
        <v>1</v>
      </c>
      <c r="O29" s="323">
        <f t="shared" si="1"/>
        <v>1</v>
      </c>
      <c r="P29" s="324">
        <f t="shared" si="2"/>
        <v>0.1773049645390071</v>
      </c>
      <c r="Q29" s="310"/>
      <c r="R29" s="189"/>
      <c r="S29" s="341" t="s">
        <v>336</v>
      </c>
      <c r="T29" s="342"/>
      <c r="U29" s="343"/>
      <c r="V29" s="343"/>
      <c r="W29" s="343"/>
      <c r="X29" s="343"/>
      <c r="Y29" s="343"/>
      <c r="Z29" s="343"/>
      <c r="AA29" s="343"/>
      <c r="AB29" s="343"/>
      <c r="AC29" s="344"/>
      <c r="AD29" s="344"/>
      <c r="AE29" s="345">
        <v>109</v>
      </c>
      <c r="AF29" s="817">
        <f>SUM(T29:AE29)</f>
        <v>109</v>
      </c>
      <c r="AG29" s="818">
        <f>AVERAGE(T29:AE29)</f>
        <v>109</v>
      </c>
      <c r="AH29" s="332"/>
      <c r="AI29" s="135"/>
      <c r="AJ29" s="135"/>
      <c r="AK29" s="135"/>
      <c r="AL29" s="135"/>
      <c r="AM29" s="135"/>
      <c r="AN29" s="135"/>
      <c r="AO29" s="135"/>
    </row>
    <row r="30" spans="1:41" customFormat="1" ht="24.95" customHeight="1" thickBot="1">
      <c r="A30" s="346" t="s">
        <v>337</v>
      </c>
      <c r="B30" s="318"/>
      <c r="C30" s="319"/>
      <c r="D30" s="319"/>
      <c r="E30" s="319"/>
      <c r="F30" s="319"/>
      <c r="G30" s="303"/>
      <c r="H30" s="319"/>
      <c r="I30" s="319"/>
      <c r="J30" s="315"/>
      <c r="K30" s="320"/>
      <c r="L30" s="315"/>
      <c r="M30" s="321">
        <v>1</v>
      </c>
      <c r="N30" s="322">
        <f t="shared" si="0"/>
        <v>1</v>
      </c>
      <c r="O30" s="323">
        <f t="shared" si="1"/>
        <v>1</v>
      </c>
      <c r="P30" s="324">
        <f t="shared" si="2"/>
        <v>0.1773049645390071</v>
      </c>
      <c r="Q30" s="310"/>
      <c r="R30" s="189"/>
      <c r="S30" s="347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9"/>
      <c r="AF30" s="810"/>
      <c r="AG30" s="811"/>
      <c r="AH30" s="135"/>
      <c r="AI30" s="135"/>
      <c r="AJ30" s="135"/>
      <c r="AK30" s="135"/>
      <c r="AL30" s="135"/>
      <c r="AM30" s="135"/>
      <c r="AN30" s="135"/>
      <c r="AO30" s="135"/>
    </row>
    <row r="31" spans="1:41" customFormat="1" ht="36.75" customHeight="1" thickBot="1">
      <c r="A31" s="314" t="s">
        <v>338</v>
      </c>
      <c r="B31" s="318"/>
      <c r="C31" s="319"/>
      <c r="D31" s="319"/>
      <c r="E31" s="319"/>
      <c r="F31" s="319"/>
      <c r="G31" s="303"/>
      <c r="H31" s="319"/>
      <c r="I31" s="319"/>
      <c r="J31" s="315"/>
      <c r="K31" s="320"/>
      <c r="L31" s="315"/>
      <c r="M31" s="321">
        <v>6</v>
      </c>
      <c r="N31" s="322">
        <f t="shared" si="0"/>
        <v>6</v>
      </c>
      <c r="O31" s="323">
        <f t="shared" si="1"/>
        <v>6</v>
      </c>
      <c r="P31" s="324">
        <f t="shared" si="2"/>
        <v>1.0638297872340425</v>
      </c>
      <c r="Q31" s="310"/>
      <c r="R31" s="189"/>
      <c r="S31" s="989" t="s">
        <v>339</v>
      </c>
      <c r="T31" s="989"/>
      <c r="U31" s="989"/>
      <c r="V31" s="989"/>
      <c r="W31" s="989"/>
      <c r="X31" s="989"/>
      <c r="Y31" s="989"/>
      <c r="Z31" s="989"/>
      <c r="AA31" s="989"/>
      <c r="AB31" s="989"/>
      <c r="AC31" s="989"/>
      <c r="AD31" s="989"/>
      <c r="AE31" s="989"/>
      <c r="AF31" s="812"/>
      <c r="AG31" s="813"/>
      <c r="AH31" s="135"/>
      <c r="AI31" s="135"/>
      <c r="AJ31" s="135"/>
      <c r="AK31" s="135"/>
      <c r="AL31" s="135"/>
      <c r="AM31" s="135"/>
      <c r="AN31" s="135"/>
      <c r="AO31" s="135"/>
    </row>
    <row r="32" spans="1:41" customFormat="1" ht="27.75" customHeight="1" thickBot="1">
      <c r="A32" s="314" t="s">
        <v>340</v>
      </c>
      <c r="B32" s="318"/>
      <c r="C32" s="319"/>
      <c r="D32" s="319"/>
      <c r="E32" s="319"/>
      <c r="F32" s="319"/>
      <c r="G32" s="303"/>
      <c r="H32" s="319"/>
      <c r="I32" s="319"/>
      <c r="J32" s="315"/>
      <c r="K32" s="320"/>
      <c r="L32" s="315"/>
      <c r="M32" s="321">
        <v>9</v>
      </c>
      <c r="N32" s="322">
        <f t="shared" si="0"/>
        <v>9</v>
      </c>
      <c r="O32" s="323">
        <f t="shared" si="1"/>
        <v>9</v>
      </c>
      <c r="P32" s="324">
        <f t="shared" si="2"/>
        <v>1.5957446808510638</v>
      </c>
      <c r="Q32" s="310"/>
      <c r="R32" s="189"/>
      <c r="S32" s="599" t="s">
        <v>341</v>
      </c>
      <c r="T32" s="600"/>
      <c r="U32" s="601"/>
      <c r="V32" s="601"/>
      <c r="W32" s="601"/>
      <c r="X32" s="601"/>
      <c r="Y32" s="601"/>
      <c r="Z32" s="601"/>
      <c r="AA32" s="601"/>
      <c r="AB32" s="602"/>
      <c r="AC32" s="602"/>
      <c r="AD32" s="602"/>
      <c r="AE32" s="603">
        <v>44</v>
      </c>
      <c r="AF32" s="819">
        <f>SUM(T32:AE32)</f>
        <v>44</v>
      </c>
      <c r="AG32" s="820">
        <f>AVERAGE(T32:AE32)</f>
        <v>44</v>
      </c>
      <c r="AM32" s="135"/>
    </row>
    <row r="33" spans="1:40" customFormat="1" ht="34.5" thickBot="1">
      <c r="A33" s="350" t="s">
        <v>342</v>
      </c>
      <c r="B33" s="318"/>
      <c r="C33" s="319"/>
      <c r="D33" s="319"/>
      <c r="E33" s="319"/>
      <c r="F33" s="319"/>
      <c r="G33" s="303"/>
      <c r="H33" s="319"/>
      <c r="I33" s="319"/>
      <c r="J33" s="315"/>
      <c r="K33" s="320"/>
      <c r="L33" s="315"/>
      <c r="M33" s="321">
        <v>1</v>
      </c>
      <c r="N33" s="322">
        <f t="shared" si="0"/>
        <v>1</v>
      </c>
      <c r="O33" s="323">
        <f t="shared" si="1"/>
        <v>1</v>
      </c>
      <c r="P33" s="324">
        <f t="shared" si="2"/>
        <v>0.1773049645390071</v>
      </c>
      <c r="Q33" s="310"/>
      <c r="R33" s="189"/>
      <c r="S33" s="604" t="s">
        <v>343</v>
      </c>
      <c r="T33" s="605">
        <f t="shared" ref="T33:AC33" si="4">SUM(T34:T35)</f>
        <v>0</v>
      </c>
      <c r="U33" s="605">
        <f t="shared" si="4"/>
        <v>0</v>
      </c>
      <c r="V33" s="605">
        <f t="shared" si="4"/>
        <v>0</v>
      </c>
      <c r="W33" s="605">
        <f t="shared" si="4"/>
        <v>0</v>
      </c>
      <c r="X33" s="605">
        <f t="shared" si="4"/>
        <v>0</v>
      </c>
      <c r="Y33" s="605">
        <f t="shared" si="4"/>
        <v>0</v>
      </c>
      <c r="Z33" s="605">
        <f t="shared" si="4"/>
        <v>0</v>
      </c>
      <c r="AA33" s="605">
        <f t="shared" si="4"/>
        <v>0</v>
      </c>
      <c r="AB33" s="605">
        <f t="shared" si="4"/>
        <v>0</v>
      </c>
      <c r="AC33" s="605">
        <f t="shared" si="4"/>
        <v>0</v>
      </c>
      <c r="AD33" s="605">
        <f>SUM(AD34:AD35)</f>
        <v>0</v>
      </c>
      <c r="AE33" s="605">
        <f>SUM(AE34:AE35)</f>
        <v>30</v>
      </c>
      <c r="AF33" s="821">
        <f>SUM(T33:AE33)</f>
        <v>30</v>
      </c>
      <c r="AG33" s="822">
        <f>SUM(AG34:AG35)</f>
        <v>30</v>
      </c>
      <c r="AM33" s="135"/>
    </row>
    <row r="34" spans="1:40" customFormat="1" ht="23.25">
      <c r="A34" s="314" t="s">
        <v>344</v>
      </c>
      <c r="B34" s="318"/>
      <c r="C34" s="319"/>
      <c r="D34" s="319"/>
      <c r="E34" s="319"/>
      <c r="F34" s="319"/>
      <c r="G34" s="303"/>
      <c r="H34" s="319"/>
      <c r="I34" s="319"/>
      <c r="J34" s="315"/>
      <c r="K34" s="320"/>
      <c r="L34" s="315"/>
      <c r="M34" s="321">
        <v>45</v>
      </c>
      <c r="N34" s="322">
        <f t="shared" si="0"/>
        <v>45</v>
      </c>
      <c r="O34" s="323">
        <f t="shared" si="1"/>
        <v>45</v>
      </c>
      <c r="P34" s="324">
        <f t="shared" si="2"/>
        <v>7.9787234042553195</v>
      </c>
      <c r="Q34" s="310"/>
      <c r="R34" s="189"/>
      <c r="S34" s="606" t="s">
        <v>345</v>
      </c>
      <c r="T34" s="607"/>
      <c r="U34" s="608"/>
      <c r="V34" s="609"/>
      <c r="W34" s="610"/>
      <c r="X34" s="611"/>
      <c r="Y34" s="612"/>
      <c r="Z34" s="613"/>
      <c r="AA34" s="608"/>
      <c r="AB34" s="608"/>
      <c r="AC34" s="608"/>
      <c r="AD34" s="608"/>
      <c r="AE34" s="611">
        <v>20</v>
      </c>
      <c r="AF34" s="823">
        <f>SUM(T34:AE34)</f>
        <v>20</v>
      </c>
      <c r="AG34" s="824">
        <f>AVERAGE(T34:AE34)</f>
        <v>20</v>
      </c>
      <c r="AM34" s="135"/>
      <c r="AN34" s="135"/>
    </row>
    <row r="35" spans="1:40" customFormat="1" ht="24" thickBot="1">
      <c r="A35" s="314" t="s">
        <v>346</v>
      </c>
      <c r="B35" s="318"/>
      <c r="C35" s="319"/>
      <c r="D35" s="319"/>
      <c r="E35" s="319"/>
      <c r="F35" s="319"/>
      <c r="G35" s="303"/>
      <c r="H35" s="319"/>
      <c r="I35" s="319"/>
      <c r="J35" s="315"/>
      <c r="K35" s="320"/>
      <c r="L35" s="315"/>
      <c r="M35" s="321">
        <v>1</v>
      </c>
      <c r="N35" s="322">
        <f t="shared" si="0"/>
        <v>1</v>
      </c>
      <c r="O35" s="323">
        <f t="shared" si="1"/>
        <v>1</v>
      </c>
      <c r="P35" s="324">
        <f t="shared" si="2"/>
        <v>0.1773049645390071</v>
      </c>
      <c r="Q35" s="310"/>
      <c r="R35" s="189"/>
      <c r="S35" s="614" t="s">
        <v>336</v>
      </c>
      <c r="T35" s="615"/>
      <c r="U35" s="616"/>
      <c r="V35" s="616"/>
      <c r="W35" s="617"/>
      <c r="X35" s="618"/>
      <c r="Y35" s="619"/>
      <c r="Z35" s="620"/>
      <c r="AA35" s="616"/>
      <c r="AB35" s="616"/>
      <c r="AC35" s="616"/>
      <c r="AD35" s="616"/>
      <c r="AE35" s="618">
        <v>10</v>
      </c>
      <c r="AF35" s="825">
        <f>SUM(T35:AE35)</f>
        <v>10</v>
      </c>
      <c r="AG35" s="826">
        <f>AVERAGE(T35:AE35)</f>
        <v>10</v>
      </c>
      <c r="AM35" s="135"/>
      <c r="AN35" s="135"/>
    </row>
    <row r="36" spans="1:40" customFormat="1" ht="24" thickBot="1">
      <c r="A36" s="314" t="s">
        <v>347</v>
      </c>
      <c r="B36" s="318"/>
      <c r="C36" s="319"/>
      <c r="D36" s="319"/>
      <c r="E36" s="319"/>
      <c r="F36" s="319"/>
      <c r="G36" s="303"/>
      <c r="H36" s="319"/>
      <c r="I36" s="319"/>
      <c r="J36" s="315"/>
      <c r="K36" s="320"/>
      <c r="L36" s="315"/>
      <c r="M36" s="321">
        <v>14</v>
      </c>
      <c r="N36" s="322">
        <f t="shared" si="0"/>
        <v>14</v>
      </c>
      <c r="O36" s="323">
        <f t="shared" si="1"/>
        <v>14</v>
      </c>
      <c r="P36" s="324">
        <f t="shared" si="2"/>
        <v>2.4822695035460995</v>
      </c>
      <c r="Q36" s="2"/>
      <c r="R36" s="189"/>
      <c r="S36" s="347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9"/>
      <c r="AF36" s="806"/>
      <c r="AG36" s="811"/>
      <c r="AM36" s="135"/>
      <c r="AN36" s="135"/>
    </row>
    <row r="37" spans="1:40" customFormat="1" ht="24" thickBot="1">
      <c r="A37" s="314" t="s">
        <v>348</v>
      </c>
      <c r="B37" s="318"/>
      <c r="C37" s="319"/>
      <c r="D37" s="319"/>
      <c r="E37" s="319"/>
      <c r="F37" s="319"/>
      <c r="G37" s="303"/>
      <c r="H37" s="319"/>
      <c r="I37" s="319"/>
      <c r="J37" s="315"/>
      <c r="K37" s="320"/>
      <c r="L37" s="315"/>
      <c r="M37" s="321">
        <v>14</v>
      </c>
      <c r="N37" s="322">
        <f t="shared" si="0"/>
        <v>14</v>
      </c>
      <c r="O37" s="323">
        <f t="shared" si="1"/>
        <v>14</v>
      </c>
      <c r="P37" s="324">
        <f t="shared" si="2"/>
        <v>2.4822695035460995</v>
      </c>
      <c r="Q37" s="2"/>
      <c r="R37" s="189"/>
      <c r="S37" s="990" t="s">
        <v>349</v>
      </c>
      <c r="T37" s="990"/>
      <c r="U37" s="990"/>
      <c r="V37" s="990"/>
      <c r="W37" s="990"/>
      <c r="X37" s="990"/>
      <c r="Y37" s="990"/>
      <c r="Z37" s="990"/>
      <c r="AA37" s="990"/>
      <c r="AB37" s="990"/>
      <c r="AC37" s="990"/>
      <c r="AD37" s="990"/>
      <c r="AE37" s="990"/>
      <c r="AF37" s="812"/>
      <c r="AG37" s="813"/>
      <c r="AM37" s="135"/>
      <c r="AN37" s="135"/>
    </row>
    <row r="38" spans="1:40" customFormat="1" ht="24" thickBot="1">
      <c r="A38" s="314" t="s">
        <v>350</v>
      </c>
      <c r="B38" s="318"/>
      <c r="C38" s="319"/>
      <c r="D38" s="319"/>
      <c r="E38" s="319"/>
      <c r="F38" s="319"/>
      <c r="G38" s="303"/>
      <c r="H38" s="319"/>
      <c r="I38" s="319"/>
      <c r="J38" s="315"/>
      <c r="K38" s="320"/>
      <c r="L38" s="315"/>
      <c r="M38" s="321">
        <v>3</v>
      </c>
      <c r="N38" s="322">
        <f t="shared" si="0"/>
        <v>3</v>
      </c>
      <c r="O38" s="323">
        <f t="shared" si="1"/>
        <v>3</v>
      </c>
      <c r="P38" s="324">
        <f t="shared" si="2"/>
        <v>0.53191489361702127</v>
      </c>
      <c r="Q38" s="2"/>
      <c r="R38" s="189"/>
      <c r="S38" s="351" t="s">
        <v>341</v>
      </c>
      <c r="T38" s="352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4">
        <v>32</v>
      </c>
      <c r="AF38" s="827">
        <f t="shared" ref="AF38:AF43" si="5">SUM(T38:AE38)</f>
        <v>32</v>
      </c>
      <c r="AG38" s="809">
        <f>AVERAGE(T38:AE38)</f>
        <v>32</v>
      </c>
      <c r="AM38" s="135"/>
      <c r="AN38" s="135"/>
    </row>
    <row r="39" spans="1:40" customFormat="1" ht="29.25" thickBot="1">
      <c r="A39" s="314" t="s">
        <v>351</v>
      </c>
      <c r="B39" s="318"/>
      <c r="C39" s="319"/>
      <c r="D39" s="319"/>
      <c r="E39" s="319"/>
      <c r="F39" s="319"/>
      <c r="G39" s="303"/>
      <c r="H39" s="319"/>
      <c r="I39" s="319"/>
      <c r="J39" s="315"/>
      <c r="K39" s="320"/>
      <c r="L39" s="315"/>
      <c r="M39" s="321">
        <v>0</v>
      </c>
      <c r="N39" s="322">
        <f t="shared" si="0"/>
        <v>0</v>
      </c>
      <c r="O39" s="323">
        <f t="shared" si="1"/>
        <v>0</v>
      </c>
      <c r="P39" s="324">
        <f t="shared" si="2"/>
        <v>0</v>
      </c>
      <c r="Q39" s="2"/>
      <c r="R39" s="189"/>
      <c r="S39" s="355" t="s">
        <v>352</v>
      </c>
      <c r="T39" s="356">
        <f t="shared" ref="T39:AC39" si="6">SUM(T40:T41)</f>
        <v>0</v>
      </c>
      <c r="U39" s="356">
        <f t="shared" si="6"/>
        <v>0</v>
      </c>
      <c r="V39" s="356">
        <f t="shared" si="6"/>
        <v>0</v>
      </c>
      <c r="W39" s="356">
        <f t="shared" si="6"/>
        <v>0</v>
      </c>
      <c r="X39" s="356">
        <f t="shared" si="6"/>
        <v>0</v>
      </c>
      <c r="Y39" s="356">
        <f t="shared" si="6"/>
        <v>0</v>
      </c>
      <c r="Z39" s="356">
        <f t="shared" si="6"/>
        <v>0</v>
      </c>
      <c r="AA39" s="356">
        <f t="shared" si="6"/>
        <v>0</v>
      </c>
      <c r="AB39" s="356">
        <f t="shared" si="6"/>
        <v>0</v>
      </c>
      <c r="AC39" s="356">
        <f t="shared" si="6"/>
        <v>0</v>
      </c>
      <c r="AD39" s="356">
        <f>SUM(AD40:AD41)</f>
        <v>0</v>
      </c>
      <c r="AE39" s="357">
        <f>SUM(AE40:AE41)</f>
        <v>46</v>
      </c>
      <c r="AF39" s="814">
        <f t="shared" si="5"/>
        <v>46</v>
      </c>
      <c r="AG39" s="809">
        <f>SUM(AG40:AG41)</f>
        <v>46</v>
      </c>
      <c r="AM39" s="135"/>
      <c r="AN39" s="135"/>
    </row>
    <row r="40" spans="1:40" customFormat="1" ht="23.25">
      <c r="A40" s="314" t="s">
        <v>353</v>
      </c>
      <c r="B40" s="318"/>
      <c r="C40" s="319"/>
      <c r="D40" s="319"/>
      <c r="E40" s="319"/>
      <c r="F40" s="319"/>
      <c r="G40" s="303"/>
      <c r="H40" s="319"/>
      <c r="I40" s="319"/>
      <c r="J40" s="315"/>
      <c r="K40" s="320"/>
      <c r="L40" s="315"/>
      <c r="M40" s="321">
        <v>48</v>
      </c>
      <c r="N40" s="322">
        <f t="shared" si="0"/>
        <v>48</v>
      </c>
      <c r="O40" s="323">
        <f t="shared" si="1"/>
        <v>48</v>
      </c>
      <c r="P40" s="324">
        <f t="shared" si="2"/>
        <v>8.5106382978723403</v>
      </c>
      <c r="Q40" s="310"/>
      <c r="R40" s="189"/>
      <c r="S40" s="358" t="s">
        <v>345</v>
      </c>
      <c r="T40" s="359"/>
      <c r="U40" s="360"/>
      <c r="V40" s="361"/>
      <c r="W40" s="360"/>
      <c r="X40" s="361"/>
      <c r="Y40" s="361"/>
      <c r="Z40" s="360"/>
      <c r="AA40" s="360"/>
      <c r="AB40" s="360"/>
      <c r="AC40" s="360"/>
      <c r="AD40" s="360"/>
      <c r="AE40" s="362">
        <v>28</v>
      </c>
      <c r="AF40" s="828">
        <f t="shared" si="5"/>
        <v>28</v>
      </c>
      <c r="AG40" s="829">
        <f>AVERAGE(T40:AE40)</f>
        <v>28</v>
      </c>
      <c r="AM40" s="135"/>
      <c r="AN40" s="135"/>
    </row>
    <row r="41" spans="1:40" customFormat="1" ht="15.75" thickBot="1">
      <c r="A41" s="314" t="s">
        <v>354</v>
      </c>
      <c r="B41" s="318"/>
      <c r="C41" s="319"/>
      <c r="D41" s="319"/>
      <c r="E41" s="319"/>
      <c r="F41" s="319"/>
      <c r="G41" s="303"/>
      <c r="H41" s="319"/>
      <c r="I41" s="319"/>
      <c r="J41" s="315"/>
      <c r="K41" s="320"/>
      <c r="L41" s="315"/>
      <c r="M41" s="321">
        <v>0</v>
      </c>
      <c r="N41" s="322">
        <f t="shared" si="0"/>
        <v>0</v>
      </c>
      <c r="O41" s="323">
        <f t="shared" si="1"/>
        <v>0</v>
      </c>
      <c r="P41" s="324">
        <f t="shared" si="2"/>
        <v>0</v>
      </c>
      <c r="Q41" s="2"/>
      <c r="R41" s="189"/>
      <c r="S41" s="363" t="s">
        <v>336</v>
      </c>
      <c r="T41" s="364"/>
      <c r="U41" s="361"/>
      <c r="V41" s="365"/>
      <c r="W41" s="361"/>
      <c r="X41" s="365"/>
      <c r="Y41" s="365"/>
      <c r="Z41" s="361"/>
      <c r="AA41" s="361"/>
      <c r="AB41" s="361"/>
      <c r="AC41" s="361"/>
      <c r="AD41" s="361"/>
      <c r="AE41" s="366">
        <v>18</v>
      </c>
      <c r="AF41" s="830">
        <f t="shared" si="5"/>
        <v>18</v>
      </c>
      <c r="AG41" s="831">
        <f>AVERAGE(T41:AE41)</f>
        <v>18</v>
      </c>
      <c r="AM41" s="135"/>
      <c r="AN41" s="135"/>
    </row>
    <row r="42" spans="1:40" customFormat="1" ht="24" thickBot="1">
      <c r="A42" s="314" t="s">
        <v>355</v>
      </c>
      <c r="B42" s="318"/>
      <c r="C42" s="319"/>
      <c r="D42" s="319"/>
      <c r="E42" s="319"/>
      <c r="F42" s="319"/>
      <c r="G42" s="303"/>
      <c r="H42" s="319"/>
      <c r="I42" s="319"/>
      <c r="J42" s="315"/>
      <c r="K42" s="320"/>
      <c r="L42" s="315"/>
      <c r="M42" s="321">
        <v>2</v>
      </c>
      <c r="N42" s="322">
        <f t="shared" si="0"/>
        <v>2</v>
      </c>
      <c r="O42" s="323">
        <f t="shared" si="1"/>
        <v>2</v>
      </c>
      <c r="P42" s="324">
        <f t="shared" si="2"/>
        <v>0.3546099290780142</v>
      </c>
      <c r="Q42" s="2"/>
      <c r="R42" s="189"/>
      <c r="S42" s="367" t="s">
        <v>356</v>
      </c>
      <c r="T42" s="352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4">
        <v>29</v>
      </c>
      <c r="AF42" s="827">
        <f t="shared" si="5"/>
        <v>29</v>
      </c>
      <c r="AG42" s="832">
        <f>AVERAGE(T42:AE42)</f>
        <v>29</v>
      </c>
      <c r="AM42" s="135"/>
      <c r="AN42" s="135"/>
    </row>
    <row r="43" spans="1:40" customFormat="1" ht="26.25" thickBot="1">
      <c r="A43" s="314" t="s">
        <v>357</v>
      </c>
      <c r="B43" s="318"/>
      <c r="C43" s="319"/>
      <c r="D43" s="319"/>
      <c r="E43" s="319"/>
      <c r="F43" s="319"/>
      <c r="G43" s="303"/>
      <c r="H43" s="319"/>
      <c r="I43" s="319"/>
      <c r="J43" s="315"/>
      <c r="K43" s="320"/>
      <c r="L43" s="315"/>
      <c r="M43" s="321">
        <v>11</v>
      </c>
      <c r="N43" s="322">
        <f t="shared" si="0"/>
        <v>11</v>
      </c>
      <c r="O43" s="323">
        <f t="shared" si="1"/>
        <v>11</v>
      </c>
      <c r="P43" s="324">
        <f t="shared" si="2"/>
        <v>1.9503546099290781</v>
      </c>
      <c r="Q43" s="2"/>
      <c r="R43" s="189"/>
      <c r="S43" s="368" t="s">
        <v>358</v>
      </c>
      <c r="T43" s="369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1">
        <v>4</v>
      </c>
      <c r="AF43" s="817">
        <f t="shared" si="5"/>
        <v>4</v>
      </c>
      <c r="AG43" s="809">
        <f>AVERAGE(T43:AE43)</f>
        <v>4</v>
      </c>
      <c r="AM43" s="135"/>
      <c r="AN43" s="135"/>
    </row>
    <row r="44" spans="1:40" customFormat="1" ht="34.5" thickBot="1">
      <c r="A44" s="350" t="s">
        <v>359</v>
      </c>
      <c r="B44" s="318"/>
      <c r="C44" s="319"/>
      <c r="D44" s="319"/>
      <c r="E44" s="319"/>
      <c r="F44" s="319"/>
      <c r="G44" s="303"/>
      <c r="H44" s="319"/>
      <c r="I44" s="319"/>
      <c r="J44" s="315"/>
      <c r="K44" s="320"/>
      <c r="L44" s="315"/>
      <c r="M44" s="321">
        <v>9</v>
      </c>
      <c r="N44" s="322">
        <f t="shared" si="0"/>
        <v>9</v>
      </c>
      <c r="O44" s="323">
        <f t="shared" si="1"/>
        <v>9</v>
      </c>
      <c r="P44" s="324">
        <f t="shared" si="2"/>
        <v>1.5957446808510638</v>
      </c>
      <c r="Q44" s="2"/>
      <c r="R44" s="189"/>
      <c r="S44" s="317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3"/>
      <c r="AF44" s="812"/>
      <c r="AG44" s="807"/>
      <c r="AM44" s="135"/>
      <c r="AN44" s="135"/>
    </row>
    <row r="45" spans="1:40" customFormat="1" ht="24" thickBot="1">
      <c r="A45" s="314" t="s">
        <v>360</v>
      </c>
      <c r="B45" s="318"/>
      <c r="C45" s="319"/>
      <c r="D45" s="319"/>
      <c r="E45" s="319"/>
      <c r="F45" s="319"/>
      <c r="G45" s="303"/>
      <c r="H45" s="319"/>
      <c r="I45" s="319"/>
      <c r="J45" s="315"/>
      <c r="K45" s="320"/>
      <c r="L45" s="315"/>
      <c r="M45" s="321">
        <v>13</v>
      </c>
      <c r="N45" s="322">
        <f t="shared" si="0"/>
        <v>13</v>
      </c>
      <c r="O45" s="323">
        <f t="shared" si="1"/>
        <v>13</v>
      </c>
      <c r="P45" s="324">
        <f t="shared" si="2"/>
        <v>2.3049645390070919</v>
      </c>
      <c r="Q45" s="2"/>
      <c r="R45" s="189"/>
      <c r="S45" s="984" t="s">
        <v>361</v>
      </c>
      <c r="T45" s="984"/>
      <c r="U45" s="984"/>
      <c r="V45" s="984"/>
      <c r="W45" s="984"/>
      <c r="X45" s="984"/>
      <c r="Y45" s="984"/>
      <c r="Z45" s="984"/>
      <c r="AA45" s="984"/>
      <c r="AB45" s="984"/>
      <c r="AC45" s="984"/>
      <c r="AD45" s="984"/>
      <c r="AE45" s="984"/>
      <c r="AF45" s="833"/>
      <c r="AG45" s="834"/>
      <c r="AM45" s="135"/>
      <c r="AN45" s="135"/>
    </row>
    <row r="46" spans="1:40" customFormat="1" ht="35.25" thickBot="1">
      <c r="A46" s="314" t="s">
        <v>362</v>
      </c>
      <c r="B46" s="318"/>
      <c r="C46" s="319"/>
      <c r="D46" s="319"/>
      <c r="E46" s="319"/>
      <c r="F46" s="319"/>
      <c r="G46" s="303"/>
      <c r="H46" s="319"/>
      <c r="I46" s="319"/>
      <c r="J46" s="315"/>
      <c r="K46" s="320"/>
      <c r="L46" s="315"/>
      <c r="M46" s="321">
        <v>2</v>
      </c>
      <c r="N46" s="322">
        <f t="shared" si="0"/>
        <v>2</v>
      </c>
      <c r="O46" s="323">
        <f t="shared" si="1"/>
        <v>2</v>
      </c>
      <c r="P46" s="324">
        <f t="shared" si="2"/>
        <v>0.3546099290780142</v>
      </c>
      <c r="Q46" s="2"/>
      <c r="R46" s="189"/>
      <c r="S46" s="374" t="s">
        <v>341</v>
      </c>
      <c r="T46" s="375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7">
        <v>3</v>
      </c>
      <c r="AF46" s="835">
        <f>SUM(T46:AE46)</f>
        <v>3</v>
      </c>
      <c r="AG46" s="832">
        <f>AVERAGE(T46:AE46)</f>
        <v>3</v>
      </c>
      <c r="AM46" s="135"/>
      <c r="AN46" s="135"/>
    </row>
    <row r="47" spans="1:40" customFormat="1" ht="35.25" thickBot="1">
      <c r="A47" s="314" t="s">
        <v>363</v>
      </c>
      <c r="B47" s="318"/>
      <c r="C47" s="319"/>
      <c r="D47" s="319"/>
      <c r="E47" s="319"/>
      <c r="F47" s="319"/>
      <c r="G47" s="303"/>
      <c r="H47" s="319"/>
      <c r="I47" s="319"/>
      <c r="J47" s="315"/>
      <c r="K47" s="320"/>
      <c r="L47" s="315"/>
      <c r="M47" s="321">
        <v>4</v>
      </c>
      <c r="N47" s="322">
        <f t="shared" si="0"/>
        <v>4</v>
      </c>
      <c r="O47" s="323">
        <f t="shared" si="1"/>
        <v>4</v>
      </c>
      <c r="P47" s="324">
        <f t="shared" si="2"/>
        <v>0.70921985815602839</v>
      </c>
      <c r="Q47" s="2"/>
      <c r="R47" s="189"/>
      <c r="S47" s="378" t="s">
        <v>364</v>
      </c>
      <c r="T47" s="379">
        <f t="shared" ref="T47:AD47" si="7">SUM(T48:T49)</f>
        <v>0</v>
      </c>
      <c r="U47" s="379">
        <f t="shared" si="7"/>
        <v>0</v>
      </c>
      <c r="V47" s="379">
        <f t="shared" si="7"/>
        <v>0</v>
      </c>
      <c r="W47" s="379">
        <f t="shared" si="7"/>
        <v>0</v>
      </c>
      <c r="X47" s="379">
        <f t="shared" si="7"/>
        <v>0</v>
      </c>
      <c r="Y47" s="379">
        <f t="shared" si="7"/>
        <v>0</v>
      </c>
      <c r="Z47" s="379">
        <f t="shared" si="7"/>
        <v>0</v>
      </c>
      <c r="AA47" s="379">
        <f t="shared" si="7"/>
        <v>0</v>
      </c>
      <c r="AB47" s="379">
        <f t="shared" si="7"/>
        <v>0</v>
      </c>
      <c r="AC47" s="379">
        <f t="shared" si="7"/>
        <v>0</v>
      </c>
      <c r="AD47" s="379">
        <f t="shared" si="7"/>
        <v>0</v>
      </c>
      <c r="AE47" s="380">
        <f>SUM(AE48:AE49)</f>
        <v>3</v>
      </c>
      <c r="AF47" s="814">
        <f>SUM(T47:AE47)</f>
        <v>3</v>
      </c>
      <c r="AG47" s="809">
        <f>SUM(AG48:AG49)</f>
        <v>3</v>
      </c>
      <c r="AM47" s="135"/>
      <c r="AN47" s="135"/>
    </row>
    <row r="48" spans="1:40" customFormat="1" ht="23.25">
      <c r="A48" s="314" t="s">
        <v>365</v>
      </c>
      <c r="B48" s="318"/>
      <c r="C48" s="319"/>
      <c r="D48" s="319"/>
      <c r="E48" s="319"/>
      <c r="F48" s="319"/>
      <c r="G48" s="303"/>
      <c r="H48" s="319"/>
      <c r="I48" s="319"/>
      <c r="J48" s="315"/>
      <c r="K48" s="320"/>
      <c r="L48" s="315"/>
      <c r="M48" s="321">
        <v>29</v>
      </c>
      <c r="N48" s="322">
        <f t="shared" si="0"/>
        <v>29</v>
      </c>
      <c r="O48" s="323">
        <f t="shared" si="1"/>
        <v>29</v>
      </c>
      <c r="P48" s="324">
        <f t="shared" si="2"/>
        <v>5.1418439716312054</v>
      </c>
      <c r="Q48" s="2"/>
      <c r="R48" s="189"/>
      <c r="S48" s="381" t="s">
        <v>345</v>
      </c>
      <c r="T48" s="382"/>
      <c r="U48" s="383"/>
      <c r="V48" s="383"/>
      <c r="W48" s="383"/>
      <c r="X48" s="383"/>
      <c r="Y48" s="384"/>
      <c r="Z48" s="383"/>
      <c r="AA48" s="383"/>
      <c r="AB48" s="383"/>
      <c r="AC48" s="383"/>
      <c r="AD48" s="383"/>
      <c r="AE48" s="385">
        <v>3</v>
      </c>
      <c r="AF48" s="828">
        <f>SUM(T48:AE48)</f>
        <v>3</v>
      </c>
      <c r="AG48" s="829">
        <f>AVERAGE(T48:AE48)</f>
        <v>3</v>
      </c>
      <c r="AM48" s="135"/>
      <c r="AN48" s="135"/>
    </row>
    <row r="49" spans="1:55" ht="24" thickBot="1">
      <c r="A49" s="314" t="s">
        <v>366</v>
      </c>
      <c r="B49" s="318"/>
      <c r="C49" s="319"/>
      <c r="D49" s="319"/>
      <c r="E49" s="319"/>
      <c r="F49" s="319"/>
      <c r="G49" s="303"/>
      <c r="H49" s="319"/>
      <c r="I49" s="319"/>
      <c r="J49" s="315"/>
      <c r="K49" s="320"/>
      <c r="L49" s="315"/>
      <c r="M49" s="321">
        <v>16</v>
      </c>
      <c r="N49" s="322">
        <f t="shared" si="0"/>
        <v>16</v>
      </c>
      <c r="O49" s="323">
        <f t="shared" si="1"/>
        <v>16</v>
      </c>
      <c r="P49" s="324">
        <f t="shared" si="2"/>
        <v>2.8368794326241136</v>
      </c>
      <c r="Q49" s="2"/>
      <c r="R49" s="189"/>
      <c r="S49" s="386" t="s">
        <v>336</v>
      </c>
      <c r="T49" s="387"/>
      <c r="U49" s="388"/>
      <c r="V49" s="388"/>
      <c r="W49" s="388"/>
      <c r="X49" s="388"/>
      <c r="Y49" s="389"/>
      <c r="Z49" s="388"/>
      <c r="AA49" s="388"/>
      <c r="AB49" s="388"/>
      <c r="AC49" s="388"/>
      <c r="AD49" s="388"/>
      <c r="AE49" s="390">
        <v>0</v>
      </c>
      <c r="AF49" s="830">
        <f>SUM(T49:AE49)</f>
        <v>0</v>
      </c>
      <c r="AG49" s="831">
        <f>AVERAGE(T49:AE49)</f>
        <v>0</v>
      </c>
      <c r="AM49" s="135"/>
      <c r="AN49" s="135"/>
      <c r="BB49"/>
    </row>
    <row r="50" spans="1:55" ht="23.25">
      <c r="A50" s="314" t="s">
        <v>367</v>
      </c>
      <c r="B50" s="318"/>
      <c r="C50" s="319"/>
      <c r="D50" s="319"/>
      <c r="E50" s="319"/>
      <c r="F50" s="319"/>
      <c r="G50" s="303"/>
      <c r="H50" s="319"/>
      <c r="I50" s="319"/>
      <c r="J50" s="315"/>
      <c r="K50" s="320"/>
      <c r="L50" s="315"/>
      <c r="M50" s="321">
        <v>0</v>
      </c>
      <c r="N50" s="322">
        <f t="shared" si="0"/>
        <v>0</v>
      </c>
      <c r="O50" s="323">
        <f t="shared" si="1"/>
        <v>0</v>
      </c>
      <c r="P50" s="324">
        <f t="shared" si="2"/>
        <v>0</v>
      </c>
      <c r="Q50" s="2"/>
      <c r="R50" s="189"/>
      <c r="BC50" s="135"/>
    </row>
    <row r="51" spans="1:55" ht="23.25">
      <c r="A51" s="314" t="s">
        <v>368</v>
      </c>
      <c r="B51" s="318"/>
      <c r="C51" s="319"/>
      <c r="D51" s="319"/>
      <c r="E51" s="319"/>
      <c r="F51" s="319"/>
      <c r="G51" s="303"/>
      <c r="H51" s="319"/>
      <c r="I51" s="319"/>
      <c r="J51" s="315"/>
      <c r="K51" s="320"/>
      <c r="L51" s="315"/>
      <c r="M51" s="321">
        <v>1</v>
      </c>
      <c r="N51" s="322">
        <f t="shared" si="0"/>
        <v>1</v>
      </c>
      <c r="O51" s="323">
        <f t="shared" si="1"/>
        <v>1</v>
      </c>
      <c r="P51" s="324">
        <f t="shared" si="2"/>
        <v>0.1773049645390071</v>
      </c>
      <c r="Q51" s="2"/>
      <c r="R51" s="189"/>
      <c r="BC51" s="135"/>
    </row>
    <row r="52" spans="1:55" ht="22.5">
      <c r="A52" s="346" t="s">
        <v>369</v>
      </c>
      <c r="B52" s="318"/>
      <c r="C52" s="319"/>
      <c r="D52" s="319"/>
      <c r="E52" s="319"/>
      <c r="F52" s="319"/>
      <c r="G52" s="303"/>
      <c r="H52" s="319"/>
      <c r="I52" s="319"/>
      <c r="J52" s="315"/>
      <c r="K52" s="320"/>
      <c r="L52" s="315"/>
      <c r="M52" s="321">
        <v>0</v>
      </c>
      <c r="N52" s="322">
        <f t="shared" si="0"/>
        <v>0</v>
      </c>
      <c r="O52" s="323">
        <f t="shared" si="1"/>
        <v>0</v>
      </c>
      <c r="P52" s="324">
        <f t="shared" si="2"/>
        <v>0</v>
      </c>
      <c r="Q52" s="310"/>
      <c r="R52" s="189"/>
      <c r="S52" s="189"/>
      <c r="AH52" s="93"/>
    </row>
    <row r="53" spans="1:55" ht="23.25">
      <c r="A53" s="314" t="s">
        <v>370</v>
      </c>
      <c r="B53" s="318"/>
      <c r="C53" s="319"/>
      <c r="D53" s="319"/>
      <c r="E53" s="319"/>
      <c r="F53" s="319"/>
      <c r="G53" s="303"/>
      <c r="H53" s="319"/>
      <c r="I53" s="319"/>
      <c r="J53" s="315"/>
      <c r="K53" s="320"/>
      <c r="L53" s="315"/>
      <c r="M53" s="321">
        <v>82</v>
      </c>
      <c r="N53" s="322">
        <f t="shared" si="0"/>
        <v>82</v>
      </c>
      <c r="O53" s="323">
        <f t="shared" si="1"/>
        <v>82</v>
      </c>
      <c r="P53" s="324">
        <f t="shared" si="2"/>
        <v>14.539007092198581</v>
      </c>
      <c r="Q53" s="2"/>
      <c r="R53" s="189"/>
      <c r="S53" s="189"/>
    </row>
    <row r="54" spans="1:55" ht="23.25">
      <c r="A54" s="314" t="s">
        <v>371</v>
      </c>
      <c r="B54" s="318"/>
      <c r="C54" s="319"/>
      <c r="D54" s="319"/>
      <c r="E54" s="319"/>
      <c r="F54" s="319"/>
      <c r="G54" s="303"/>
      <c r="H54" s="319"/>
      <c r="I54" s="319"/>
      <c r="J54" s="315"/>
      <c r="K54" s="320"/>
      <c r="L54" s="315"/>
      <c r="M54" s="321">
        <v>6</v>
      </c>
      <c r="N54" s="322">
        <f t="shared" ref="N54:N85" si="8">SUM(B54:M54)</f>
        <v>6</v>
      </c>
      <c r="O54" s="323">
        <f t="shared" ref="O54:O85" si="9">AVERAGE(B54:M54)</f>
        <v>6</v>
      </c>
      <c r="P54" s="324">
        <f t="shared" si="2"/>
        <v>1.0638297872340425</v>
      </c>
      <c r="Q54" s="2"/>
      <c r="R54" s="189"/>
      <c r="S54" s="189"/>
    </row>
    <row r="55" spans="1:55" ht="23.25">
      <c r="A55" s="314" t="s">
        <v>372</v>
      </c>
      <c r="B55" s="318"/>
      <c r="C55" s="319"/>
      <c r="D55" s="319"/>
      <c r="E55" s="319"/>
      <c r="F55" s="319"/>
      <c r="G55" s="303"/>
      <c r="H55" s="319"/>
      <c r="I55" s="319"/>
      <c r="J55" s="315"/>
      <c r="K55" s="320"/>
      <c r="L55" s="315"/>
      <c r="M55" s="321">
        <v>23</v>
      </c>
      <c r="N55" s="322">
        <f t="shared" si="8"/>
        <v>23</v>
      </c>
      <c r="O55" s="323">
        <f t="shared" si="9"/>
        <v>23</v>
      </c>
      <c r="P55" s="324">
        <f t="shared" si="2"/>
        <v>4.0780141843971638</v>
      </c>
      <c r="Q55" s="2"/>
      <c r="R55" s="189"/>
      <c r="S55" s="189"/>
    </row>
    <row r="56" spans="1:55" ht="23.25">
      <c r="A56" s="314" t="s">
        <v>487</v>
      </c>
      <c r="B56" s="318"/>
      <c r="C56" s="319"/>
      <c r="D56" s="319"/>
      <c r="E56" s="319"/>
      <c r="F56" s="319"/>
      <c r="G56" s="303"/>
      <c r="H56" s="319"/>
      <c r="I56" s="319"/>
      <c r="J56" s="315"/>
      <c r="K56" s="320"/>
      <c r="L56" s="315"/>
      <c r="M56" s="321">
        <v>11</v>
      </c>
      <c r="N56" s="322">
        <f t="shared" si="8"/>
        <v>11</v>
      </c>
      <c r="O56" s="323">
        <f t="shared" si="9"/>
        <v>11</v>
      </c>
      <c r="P56" s="324">
        <f t="shared" ref="P56:P87" si="10">(N56/$N$100)*100</f>
        <v>1.9503546099290781</v>
      </c>
      <c r="Q56" s="310"/>
      <c r="R56" s="189"/>
      <c r="S56" s="189"/>
    </row>
    <row r="57" spans="1:55" ht="23.25">
      <c r="A57" s="391" t="s">
        <v>373</v>
      </c>
      <c r="B57" s="318"/>
      <c r="C57" s="319"/>
      <c r="D57" s="319"/>
      <c r="E57" s="319"/>
      <c r="F57" s="319"/>
      <c r="G57" s="303"/>
      <c r="H57" s="319"/>
      <c r="I57" s="319"/>
      <c r="J57" s="315"/>
      <c r="K57" s="320"/>
      <c r="L57" s="315"/>
      <c r="M57" s="321">
        <v>0</v>
      </c>
      <c r="N57" s="322">
        <f t="shared" si="8"/>
        <v>0</v>
      </c>
      <c r="O57" s="323">
        <f t="shared" si="9"/>
        <v>0</v>
      </c>
      <c r="P57" s="324">
        <f t="shared" si="10"/>
        <v>0</v>
      </c>
      <c r="Q57" s="310"/>
      <c r="R57" s="189"/>
      <c r="S57" s="189"/>
    </row>
    <row r="58" spans="1:55" ht="23.25">
      <c r="A58" s="314" t="s">
        <v>374</v>
      </c>
      <c r="B58" s="318"/>
      <c r="C58" s="319"/>
      <c r="D58" s="319"/>
      <c r="E58" s="319"/>
      <c r="F58" s="319"/>
      <c r="G58" s="303"/>
      <c r="H58" s="319"/>
      <c r="I58" s="319"/>
      <c r="J58" s="315"/>
      <c r="K58" s="320"/>
      <c r="L58" s="315"/>
      <c r="M58" s="321">
        <v>24</v>
      </c>
      <c r="N58" s="322">
        <f t="shared" si="8"/>
        <v>24</v>
      </c>
      <c r="O58" s="323">
        <f t="shared" si="9"/>
        <v>24</v>
      </c>
      <c r="P58" s="324">
        <f t="shared" si="10"/>
        <v>4.2553191489361701</v>
      </c>
      <c r="Q58" s="310"/>
      <c r="R58" s="189"/>
      <c r="S58" s="189"/>
    </row>
    <row r="59" spans="1:55" ht="23.25">
      <c r="A59" s="314" t="s">
        <v>375</v>
      </c>
      <c r="B59" s="318"/>
      <c r="C59" s="319"/>
      <c r="D59" s="319"/>
      <c r="E59" s="319"/>
      <c r="F59" s="319"/>
      <c r="G59" s="303"/>
      <c r="H59" s="319"/>
      <c r="I59" s="319"/>
      <c r="J59" s="315"/>
      <c r="K59" s="320"/>
      <c r="L59" s="315"/>
      <c r="M59" s="321">
        <v>1</v>
      </c>
      <c r="N59" s="322">
        <f t="shared" si="8"/>
        <v>1</v>
      </c>
      <c r="O59" s="323">
        <f t="shared" si="9"/>
        <v>1</v>
      </c>
      <c r="P59" s="324">
        <f t="shared" si="10"/>
        <v>0.1773049645390071</v>
      </c>
      <c r="Q59" s="310"/>
      <c r="R59" s="189"/>
      <c r="S59" s="189"/>
    </row>
    <row r="60" spans="1:55">
      <c r="A60" s="314" t="s">
        <v>376</v>
      </c>
      <c r="B60" s="318"/>
      <c r="C60" s="319"/>
      <c r="D60" s="319"/>
      <c r="E60" s="319"/>
      <c r="F60" s="319"/>
      <c r="G60" s="303"/>
      <c r="H60" s="319"/>
      <c r="I60" s="319"/>
      <c r="J60" s="315"/>
      <c r="K60" s="320"/>
      <c r="L60" s="315"/>
      <c r="M60" s="321">
        <v>9</v>
      </c>
      <c r="N60" s="322">
        <f t="shared" si="8"/>
        <v>9</v>
      </c>
      <c r="O60" s="323">
        <f t="shared" si="9"/>
        <v>9</v>
      </c>
      <c r="P60" s="324">
        <f t="shared" si="10"/>
        <v>1.5957446808510638</v>
      </c>
      <c r="Q60" s="310"/>
      <c r="R60" s="189"/>
      <c r="S60" s="189"/>
    </row>
    <row r="61" spans="1:55">
      <c r="A61" s="392" t="s">
        <v>377</v>
      </c>
      <c r="B61" s="318"/>
      <c r="C61" s="319"/>
      <c r="D61" s="319"/>
      <c r="E61" s="319"/>
      <c r="F61" s="319"/>
      <c r="G61" s="303"/>
      <c r="H61" s="319"/>
      <c r="I61" s="319"/>
      <c r="J61" s="315"/>
      <c r="K61" s="320"/>
      <c r="L61" s="315"/>
      <c r="M61" s="321">
        <v>3</v>
      </c>
      <c r="N61" s="322">
        <f t="shared" si="8"/>
        <v>3</v>
      </c>
      <c r="O61" s="323">
        <f t="shared" si="9"/>
        <v>3</v>
      </c>
      <c r="P61" s="324">
        <f t="shared" si="10"/>
        <v>0.53191489361702127</v>
      </c>
      <c r="Q61" s="2"/>
      <c r="R61" s="189"/>
      <c r="S61" s="189"/>
      <c r="AL61" s="393"/>
    </row>
    <row r="62" spans="1:55" ht="34.5">
      <c r="A62" s="391" t="s">
        <v>378</v>
      </c>
      <c r="B62" s="318"/>
      <c r="C62" s="319"/>
      <c r="D62" s="319"/>
      <c r="E62" s="319"/>
      <c r="F62" s="319"/>
      <c r="G62" s="303"/>
      <c r="H62" s="319"/>
      <c r="I62" s="319"/>
      <c r="J62" s="315"/>
      <c r="K62" s="320"/>
      <c r="L62" s="315"/>
      <c r="M62" s="321">
        <v>5</v>
      </c>
      <c r="N62" s="322">
        <f t="shared" si="8"/>
        <v>5</v>
      </c>
      <c r="O62" s="323">
        <f t="shared" si="9"/>
        <v>5</v>
      </c>
      <c r="P62" s="324">
        <f t="shared" si="10"/>
        <v>0.88652482269503552</v>
      </c>
      <c r="Q62" s="2"/>
      <c r="R62" s="189"/>
      <c r="S62" s="189"/>
    </row>
    <row r="63" spans="1:55" ht="23.25">
      <c r="A63" s="391" t="s">
        <v>379</v>
      </c>
      <c r="B63" s="318"/>
      <c r="C63" s="319"/>
      <c r="D63" s="319"/>
      <c r="E63" s="319"/>
      <c r="F63" s="319"/>
      <c r="G63" s="303"/>
      <c r="H63" s="319"/>
      <c r="I63" s="319"/>
      <c r="J63" s="315"/>
      <c r="K63" s="320"/>
      <c r="L63" s="315"/>
      <c r="M63" s="321">
        <v>0</v>
      </c>
      <c r="N63" s="322">
        <f t="shared" si="8"/>
        <v>0</v>
      </c>
      <c r="O63" s="323">
        <f t="shared" si="9"/>
        <v>0</v>
      </c>
      <c r="P63" s="324">
        <f t="shared" si="10"/>
        <v>0</v>
      </c>
      <c r="Q63" s="310"/>
      <c r="R63" s="189"/>
      <c r="S63" s="189"/>
    </row>
    <row r="64" spans="1:55" ht="34.5">
      <c r="A64" s="391" t="s">
        <v>380</v>
      </c>
      <c r="B64" s="318"/>
      <c r="C64" s="319"/>
      <c r="D64" s="319"/>
      <c r="E64" s="319"/>
      <c r="F64" s="319"/>
      <c r="G64" s="303"/>
      <c r="H64" s="319"/>
      <c r="I64" s="319"/>
      <c r="J64" s="315"/>
      <c r="K64" s="320"/>
      <c r="L64" s="315"/>
      <c r="M64" s="321">
        <v>1</v>
      </c>
      <c r="N64" s="322">
        <f t="shared" si="8"/>
        <v>1</v>
      </c>
      <c r="O64" s="323">
        <f t="shared" si="9"/>
        <v>1</v>
      </c>
      <c r="P64" s="324">
        <f t="shared" si="10"/>
        <v>0.1773049645390071</v>
      </c>
      <c r="Q64" s="310"/>
      <c r="R64" s="189"/>
      <c r="S64" s="189"/>
    </row>
    <row r="65" spans="1:38" ht="24.95" customHeight="1">
      <c r="A65" s="346" t="s">
        <v>381</v>
      </c>
      <c r="B65" s="318"/>
      <c r="C65" s="319"/>
      <c r="D65" s="319"/>
      <c r="E65" s="319"/>
      <c r="F65" s="319"/>
      <c r="G65" s="303"/>
      <c r="H65" s="319"/>
      <c r="I65" s="319"/>
      <c r="J65" s="315"/>
      <c r="K65" s="316"/>
      <c r="L65" s="315"/>
      <c r="M65" s="321">
        <v>0</v>
      </c>
      <c r="N65" s="322">
        <f t="shared" si="8"/>
        <v>0</v>
      </c>
      <c r="O65" s="323">
        <f t="shared" si="9"/>
        <v>0</v>
      </c>
      <c r="P65" s="324">
        <f t="shared" si="10"/>
        <v>0</v>
      </c>
      <c r="Q65" s="310"/>
      <c r="R65" s="189"/>
      <c r="S65" s="189"/>
    </row>
    <row r="66" spans="1:38" ht="24.95" customHeight="1">
      <c r="A66" s="314" t="s">
        <v>382</v>
      </c>
      <c r="B66" s="318"/>
      <c r="C66" s="319"/>
      <c r="D66" s="319"/>
      <c r="E66" s="319"/>
      <c r="F66" s="319"/>
      <c r="G66" s="303"/>
      <c r="H66" s="319"/>
      <c r="I66" s="319"/>
      <c r="J66" s="315"/>
      <c r="K66" s="320"/>
      <c r="L66" s="315"/>
      <c r="M66" s="321">
        <v>0</v>
      </c>
      <c r="N66" s="322">
        <f t="shared" si="8"/>
        <v>0</v>
      </c>
      <c r="O66" s="323">
        <f t="shared" si="9"/>
        <v>0</v>
      </c>
      <c r="P66" s="324">
        <f t="shared" si="10"/>
        <v>0</v>
      </c>
      <c r="Q66" s="310"/>
      <c r="R66" s="189"/>
      <c r="S66" s="189"/>
    </row>
    <row r="67" spans="1:38" ht="24.95" customHeight="1">
      <c r="A67" s="314" t="s">
        <v>383</v>
      </c>
      <c r="B67" s="318"/>
      <c r="C67" s="319"/>
      <c r="D67" s="319"/>
      <c r="E67" s="319"/>
      <c r="F67" s="319"/>
      <c r="G67" s="303"/>
      <c r="H67" s="319"/>
      <c r="I67" s="319"/>
      <c r="J67" s="315"/>
      <c r="K67" s="320"/>
      <c r="L67" s="315"/>
      <c r="M67" s="321">
        <v>1</v>
      </c>
      <c r="N67" s="322">
        <f t="shared" si="8"/>
        <v>1</v>
      </c>
      <c r="O67" s="323">
        <f t="shared" si="9"/>
        <v>1</v>
      </c>
      <c r="P67" s="324">
        <f t="shared" si="10"/>
        <v>0.1773049645390071</v>
      </c>
      <c r="Q67" s="2"/>
      <c r="R67" s="189"/>
      <c r="S67" s="189"/>
      <c r="AL67" s="89"/>
    </row>
    <row r="68" spans="1:38" ht="24.95" customHeight="1">
      <c r="A68" s="314" t="s">
        <v>246</v>
      </c>
      <c r="B68" s="318"/>
      <c r="C68" s="319"/>
      <c r="D68" s="319"/>
      <c r="E68" s="319"/>
      <c r="F68" s="319"/>
      <c r="G68" s="303"/>
      <c r="H68" s="319"/>
      <c r="I68" s="319"/>
      <c r="J68" s="315"/>
      <c r="K68" s="320"/>
      <c r="L68" s="315"/>
      <c r="M68" s="321">
        <v>5</v>
      </c>
      <c r="N68" s="322">
        <f t="shared" si="8"/>
        <v>5</v>
      </c>
      <c r="O68" s="323">
        <f t="shared" si="9"/>
        <v>5</v>
      </c>
      <c r="P68" s="324">
        <f t="shared" si="10"/>
        <v>0.88652482269503552</v>
      </c>
      <c r="Q68" s="2"/>
      <c r="R68" s="189"/>
      <c r="S68" s="189"/>
      <c r="AL68" s="89"/>
    </row>
    <row r="69" spans="1:38" ht="24.95" customHeight="1">
      <c r="A69" s="314" t="s">
        <v>247</v>
      </c>
      <c r="B69" s="318"/>
      <c r="C69" s="319"/>
      <c r="D69" s="319"/>
      <c r="E69" s="319"/>
      <c r="F69" s="319"/>
      <c r="G69" s="303"/>
      <c r="H69" s="319"/>
      <c r="I69" s="319"/>
      <c r="J69" s="315"/>
      <c r="K69" s="320"/>
      <c r="L69" s="315"/>
      <c r="M69" s="321">
        <v>0</v>
      </c>
      <c r="N69" s="322">
        <f t="shared" si="8"/>
        <v>0</v>
      </c>
      <c r="O69" s="323">
        <f t="shared" si="9"/>
        <v>0</v>
      </c>
      <c r="P69" s="324">
        <f t="shared" si="10"/>
        <v>0</v>
      </c>
      <c r="Q69" s="2"/>
      <c r="R69" s="189"/>
      <c r="S69" s="189"/>
      <c r="AL69" s="89"/>
    </row>
    <row r="70" spans="1:38" ht="24.95" customHeight="1">
      <c r="A70" s="314" t="s">
        <v>248</v>
      </c>
      <c r="B70" s="318"/>
      <c r="C70" s="319"/>
      <c r="D70" s="319"/>
      <c r="E70" s="319"/>
      <c r="F70" s="319"/>
      <c r="G70" s="303"/>
      <c r="H70" s="319"/>
      <c r="I70" s="319"/>
      <c r="J70" s="315"/>
      <c r="K70" s="320"/>
      <c r="L70" s="315"/>
      <c r="M70" s="321">
        <v>1</v>
      </c>
      <c r="N70" s="322">
        <f t="shared" si="8"/>
        <v>1</v>
      </c>
      <c r="O70" s="323">
        <f t="shared" si="9"/>
        <v>1</v>
      </c>
      <c r="P70" s="324">
        <f t="shared" si="10"/>
        <v>0.1773049645390071</v>
      </c>
      <c r="Q70" s="2"/>
      <c r="R70" s="189"/>
      <c r="S70" s="189"/>
      <c r="AL70" s="89"/>
    </row>
    <row r="71" spans="1:38" ht="24.95" customHeight="1">
      <c r="A71" s="314" t="s">
        <v>384</v>
      </c>
      <c r="B71" s="318"/>
      <c r="C71" s="319"/>
      <c r="D71" s="319"/>
      <c r="E71" s="319"/>
      <c r="F71" s="319"/>
      <c r="G71" s="303"/>
      <c r="H71" s="319"/>
      <c r="I71" s="319"/>
      <c r="J71" s="315"/>
      <c r="K71" s="320"/>
      <c r="L71" s="315"/>
      <c r="M71" s="321">
        <v>2</v>
      </c>
      <c r="N71" s="322">
        <f t="shared" si="8"/>
        <v>2</v>
      </c>
      <c r="O71" s="323">
        <f t="shared" si="9"/>
        <v>2</v>
      </c>
      <c r="P71" s="324">
        <f t="shared" si="10"/>
        <v>0.3546099290780142</v>
      </c>
      <c r="Q71" s="2"/>
      <c r="R71" s="189"/>
      <c r="S71" s="189"/>
      <c r="AL71" s="89"/>
    </row>
    <row r="72" spans="1:38" ht="24.95" customHeight="1">
      <c r="A72" s="314" t="s">
        <v>250</v>
      </c>
      <c r="B72" s="318"/>
      <c r="C72" s="319"/>
      <c r="D72" s="319"/>
      <c r="E72" s="319"/>
      <c r="F72" s="319"/>
      <c r="G72" s="303"/>
      <c r="H72" s="319"/>
      <c r="I72" s="319"/>
      <c r="J72" s="315"/>
      <c r="K72" s="320"/>
      <c r="L72" s="315"/>
      <c r="M72" s="321">
        <v>0</v>
      </c>
      <c r="N72" s="322">
        <f t="shared" si="8"/>
        <v>0</v>
      </c>
      <c r="O72" s="323">
        <f t="shared" si="9"/>
        <v>0</v>
      </c>
      <c r="P72" s="324">
        <f t="shared" si="10"/>
        <v>0</v>
      </c>
      <c r="Q72" s="2"/>
      <c r="R72" s="189"/>
      <c r="S72" s="189"/>
    </row>
    <row r="73" spans="1:38" ht="24.95" customHeight="1">
      <c r="A73" s="314" t="s">
        <v>251</v>
      </c>
      <c r="B73" s="318"/>
      <c r="C73" s="319"/>
      <c r="D73" s="319"/>
      <c r="E73" s="319"/>
      <c r="F73" s="319"/>
      <c r="G73" s="303"/>
      <c r="H73" s="319"/>
      <c r="I73" s="319"/>
      <c r="J73" s="315"/>
      <c r="K73" s="320"/>
      <c r="L73" s="315"/>
      <c r="M73" s="321">
        <v>2</v>
      </c>
      <c r="N73" s="322">
        <f t="shared" si="8"/>
        <v>2</v>
      </c>
      <c r="O73" s="323">
        <f t="shared" si="9"/>
        <v>2</v>
      </c>
      <c r="P73" s="324">
        <f t="shared" si="10"/>
        <v>0.3546099290780142</v>
      </c>
      <c r="Q73" s="2"/>
      <c r="R73" s="189"/>
      <c r="S73" s="189"/>
    </row>
    <row r="74" spans="1:38" ht="24.95" customHeight="1">
      <c r="A74" s="314" t="s">
        <v>252</v>
      </c>
      <c r="B74" s="318"/>
      <c r="C74" s="319"/>
      <c r="D74" s="319"/>
      <c r="E74" s="319"/>
      <c r="F74" s="319"/>
      <c r="G74" s="303"/>
      <c r="H74" s="319"/>
      <c r="I74" s="319"/>
      <c r="J74" s="315"/>
      <c r="K74" s="320"/>
      <c r="L74" s="315"/>
      <c r="M74" s="321">
        <v>2</v>
      </c>
      <c r="N74" s="322">
        <f t="shared" si="8"/>
        <v>2</v>
      </c>
      <c r="O74" s="323">
        <f t="shared" si="9"/>
        <v>2</v>
      </c>
      <c r="P74" s="324">
        <f t="shared" si="10"/>
        <v>0.3546099290780142</v>
      </c>
      <c r="Q74" s="2"/>
      <c r="R74" s="189"/>
      <c r="S74" s="189"/>
    </row>
    <row r="75" spans="1:38" ht="24.95" customHeight="1">
      <c r="A75" s="314" t="s">
        <v>385</v>
      </c>
      <c r="B75" s="318"/>
      <c r="C75" s="319"/>
      <c r="D75" s="319"/>
      <c r="E75" s="319"/>
      <c r="F75" s="319"/>
      <c r="G75" s="303"/>
      <c r="H75" s="319"/>
      <c r="I75" s="319"/>
      <c r="J75" s="315"/>
      <c r="K75" s="320"/>
      <c r="L75" s="315"/>
      <c r="M75" s="321">
        <v>1</v>
      </c>
      <c r="N75" s="322">
        <f t="shared" si="8"/>
        <v>1</v>
      </c>
      <c r="O75" s="323">
        <f t="shared" si="9"/>
        <v>1</v>
      </c>
      <c r="P75" s="324">
        <f t="shared" si="10"/>
        <v>0.1773049645390071</v>
      </c>
      <c r="Q75" s="2"/>
      <c r="R75" s="189"/>
      <c r="S75" s="189"/>
    </row>
    <row r="76" spans="1:38" ht="24.95" customHeight="1">
      <c r="A76" s="314" t="s">
        <v>254</v>
      </c>
      <c r="B76" s="318"/>
      <c r="C76" s="319"/>
      <c r="D76" s="319"/>
      <c r="E76" s="319"/>
      <c r="F76" s="319"/>
      <c r="G76" s="303"/>
      <c r="H76" s="319"/>
      <c r="I76" s="319"/>
      <c r="J76" s="315"/>
      <c r="K76" s="320"/>
      <c r="L76" s="315"/>
      <c r="M76" s="321">
        <v>0</v>
      </c>
      <c r="N76" s="322">
        <f t="shared" si="8"/>
        <v>0</v>
      </c>
      <c r="O76" s="323">
        <f t="shared" si="9"/>
        <v>0</v>
      </c>
      <c r="P76" s="324">
        <f t="shared" si="10"/>
        <v>0</v>
      </c>
      <c r="Q76" s="2"/>
      <c r="R76" s="189"/>
      <c r="S76" s="189"/>
    </row>
    <row r="77" spans="1:38" ht="24.95" customHeight="1">
      <c r="A77" s="314" t="s">
        <v>255</v>
      </c>
      <c r="B77" s="318"/>
      <c r="C77" s="319"/>
      <c r="D77" s="319"/>
      <c r="E77" s="319"/>
      <c r="F77" s="319"/>
      <c r="G77" s="303"/>
      <c r="H77" s="319"/>
      <c r="I77" s="319"/>
      <c r="J77" s="315"/>
      <c r="K77" s="320"/>
      <c r="L77" s="315"/>
      <c r="M77" s="321">
        <v>3</v>
      </c>
      <c r="N77" s="322">
        <f t="shared" si="8"/>
        <v>3</v>
      </c>
      <c r="O77" s="323">
        <f t="shared" si="9"/>
        <v>3</v>
      </c>
      <c r="P77" s="324">
        <f t="shared" si="10"/>
        <v>0.53191489361702127</v>
      </c>
      <c r="Q77" s="2"/>
      <c r="R77" s="189"/>
      <c r="S77" s="189"/>
    </row>
    <row r="78" spans="1:38" ht="24.95" customHeight="1">
      <c r="A78" s="314" t="s">
        <v>256</v>
      </c>
      <c r="B78" s="318"/>
      <c r="C78" s="319"/>
      <c r="D78" s="319"/>
      <c r="E78" s="319"/>
      <c r="F78" s="319"/>
      <c r="G78" s="303"/>
      <c r="H78" s="319"/>
      <c r="I78" s="319"/>
      <c r="J78" s="315"/>
      <c r="K78" s="320"/>
      <c r="L78" s="315"/>
      <c r="M78" s="321">
        <v>0</v>
      </c>
      <c r="N78" s="322">
        <f t="shared" si="8"/>
        <v>0</v>
      </c>
      <c r="O78" s="323">
        <f t="shared" si="9"/>
        <v>0</v>
      </c>
      <c r="P78" s="324">
        <f t="shared" si="10"/>
        <v>0</v>
      </c>
      <c r="Q78" s="2"/>
      <c r="R78" s="189"/>
      <c r="S78" s="189"/>
    </row>
    <row r="79" spans="1:38" ht="24.95" customHeight="1">
      <c r="A79" s="314" t="s">
        <v>257</v>
      </c>
      <c r="B79" s="318"/>
      <c r="C79" s="319"/>
      <c r="D79" s="319"/>
      <c r="E79" s="319"/>
      <c r="F79" s="319"/>
      <c r="G79" s="303"/>
      <c r="H79" s="319"/>
      <c r="I79" s="319"/>
      <c r="J79" s="315"/>
      <c r="K79" s="320"/>
      <c r="L79" s="315"/>
      <c r="M79" s="321">
        <v>7</v>
      </c>
      <c r="N79" s="322">
        <f t="shared" si="8"/>
        <v>7</v>
      </c>
      <c r="O79" s="323">
        <f t="shared" si="9"/>
        <v>7</v>
      </c>
      <c r="P79" s="324">
        <f t="shared" si="10"/>
        <v>1.2411347517730498</v>
      </c>
      <c r="Q79" s="2"/>
      <c r="R79" s="189"/>
      <c r="S79" s="189"/>
    </row>
    <row r="80" spans="1:38" ht="24.95" customHeight="1">
      <c r="A80" s="314" t="s">
        <v>258</v>
      </c>
      <c r="B80" s="318"/>
      <c r="C80" s="319"/>
      <c r="D80" s="319"/>
      <c r="E80" s="319"/>
      <c r="F80" s="319"/>
      <c r="G80" s="303"/>
      <c r="H80" s="319"/>
      <c r="I80" s="319"/>
      <c r="J80" s="315"/>
      <c r="K80" s="320"/>
      <c r="L80" s="315"/>
      <c r="M80" s="321">
        <v>5</v>
      </c>
      <c r="N80" s="322">
        <f t="shared" si="8"/>
        <v>5</v>
      </c>
      <c r="O80" s="323">
        <f t="shared" si="9"/>
        <v>5</v>
      </c>
      <c r="P80" s="324">
        <f t="shared" si="10"/>
        <v>0.88652482269503552</v>
      </c>
      <c r="Q80" s="2"/>
      <c r="R80" s="189"/>
      <c r="S80" s="189"/>
    </row>
    <row r="81" spans="1:19" ht="24.95" customHeight="1">
      <c r="A81" s="314" t="s">
        <v>259</v>
      </c>
      <c r="B81" s="318"/>
      <c r="C81" s="319"/>
      <c r="D81" s="319"/>
      <c r="E81" s="319"/>
      <c r="F81" s="319"/>
      <c r="G81" s="303"/>
      <c r="H81" s="319"/>
      <c r="I81" s="319"/>
      <c r="J81" s="315"/>
      <c r="K81" s="320"/>
      <c r="L81" s="315"/>
      <c r="M81" s="321">
        <v>1</v>
      </c>
      <c r="N81" s="322">
        <f t="shared" si="8"/>
        <v>1</v>
      </c>
      <c r="O81" s="323">
        <f t="shared" si="9"/>
        <v>1</v>
      </c>
      <c r="P81" s="324">
        <f t="shared" si="10"/>
        <v>0.1773049645390071</v>
      </c>
      <c r="Q81" s="2"/>
      <c r="R81" s="189"/>
      <c r="S81" s="189"/>
    </row>
    <row r="82" spans="1:19" ht="24.95" customHeight="1">
      <c r="A82" s="314" t="s">
        <v>260</v>
      </c>
      <c r="B82" s="318"/>
      <c r="C82" s="319"/>
      <c r="D82" s="319"/>
      <c r="E82" s="319"/>
      <c r="F82" s="319"/>
      <c r="G82" s="303"/>
      <c r="H82" s="319"/>
      <c r="I82" s="319"/>
      <c r="J82" s="315"/>
      <c r="K82" s="320"/>
      <c r="L82" s="315"/>
      <c r="M82" s="321">
        <v>3</v>
      </c>
      <c r="N82" s="322">
        <f t="shared" si="8"/>
        <v>3</v>
      </c>
      <c r="O82" s="323">
        <f t="shared" si="9"/>
        <v>3</v>
      </c>
      <c r="P82" s="324">
        <f t="shared" si="10"/>
        <v>0.53191489361702127</v>
      </c>
      <c r="Q82" s="2"/>
      <c r="R82" s="189"/>
      <c r="S82" s="189"/>
    </row>
    <row r="83" spans="1:19" ht="24.95" customHeight="1">
      <c r="A83" s="394" t="s">
        <v>386</v>
      </c>
      <c r="B83" s="318"/>
      <c r="C83" s="319"/>
      <c r="D83" s="319"/>
      <c r="E83" s="319"/>
      <c r="F83" s="319"/>
      <c r="G83" s="303"/>
      <c r="H83" s="319"/>
      <c r="I83" s="319"/>
      <c r="J83" s="315"/>
      <c r="K83" s="320"/>
      <c r="L83" s="315"/>
      <c r="M83" s="321">
        <v>3</v>
      </c>
      <c r="N83" s="322">
        <f t="shared" si="8"/>
        <v>3</v>
      </c>
      <c r="O83" s="323">
        <f t="shared" si="9"/>
        <v>3</v>
      </c>
      <c r="P83" s="324">
        <f t="shared" si="10"/>
        <v>0.53191489361702127</v>
      </c>
      <c r="Q83" s="2"/>
      <c r="R83" s="189"/>
      <c r="S83" s="189"/>
    </row>
    <row r="84" spans="1:19" ht="24.95" customHeight="1">
      <c r="A84" s="314" t="s">
        <v>262</v>
      </c>
      <c r="B84" s="318"/>
      <c r="C84" s="319"/>
      <c r="D84" s="319"/>
      <c r="E84" s="319"/>
      <c r="F84" s="319"/>
      <c r="G84" s="303"/>
      <c r="H84" s="319"/>
      <c r="I84" s="319"/>
      <c r="J84" s="315"/>
      <c r="K84" s="320"/>
      <c r="L84" s="315"/>
      <c r="M84" s="321">
        <v>2</v>
      </c>
      <c r="N84" s="322">
        <f t="shared" si="8"/>
        <v>2</v>
      </c>
      <c r="O84" s="323">
        <f t="shared" si="9"/>
        <v>2</v>
      </c>
      <c r="P84" s="324">
        <f t="shared" si="10"/>
        <v>0.3546099290780142</v>
      </c>
      <c r="Q84" s="2"/>
      <c r="R84" s="189"/>
      <c r="S84" s="189"/>
    </row>
    <row r="85" spans="1:19" ht="24.95" customHeight="1">
      <c r="A85" s="314" t="s">
        <v>263</v>
      </c>
      <c r="B85" s="318"/>
      <c r="C85" s="319"/>
      <c r="D85" s="319"/>
      <c r="E85" s="319"/>
      <c r="F85" s="319"/>
      <c r="G85" s="303"/>
      <c r="H85" s="319"/>
      <c r="I85" s="319"/>
      <c r="J85" s="315"/>
      <c r="K85" s="320"/>
      <c r="L85" s="315"/>
      <c r="M85" s="321">
        <v>0</v>
      </c>
      <c r="N85" s="322">
        <f t="shared" si="8"/>
        <v>0</v>
      </c>
      <c r="O85" s="323">
        <f t="shared" si="9"/>
        <v>0</v>
      </c>
      <c r="P85" s="324">
        <f t="shared" si="10"/>
        <v>0</v>
      </c>
      <c r="Q85" s="2"/>
      <c r="R85" s="189"/>
      <c r="S85" s="189"/>
    </row>
    <row r="86" spans="1:19" ht="24.95" customHeight="1">
      <c r="A86" s="314" t="s">
        <v>264</v>
      </c>
      <c r="B86" s="318"/>
      <c r="C86" s="319"/>
      <c r="D86" s="319"/>
      <c r="E86" s="319"/>
      <c r="F86" s="319"/>
      <c r="G86" s="303"/>
      <c r="H86" s="319"/>
      <c r="I86" s="319"/>
      <c r="J86" s="315"/>
      <c r="K86" s="320"/>
      <c r="L86" s="315"/>
      <c r="M86" s="321">
        <v>0</v>
      </c>
      <c r="N86" s="322">
        <f t="shared" ref="N86:N99" si="11">SUM(B86:M86)</f>
        <v>0</v>
      </c>
      <c r="O86" s="323">
        <f t="shared" ref="O86:O100" si="12">AVERAGE(B86:M86)</f>
        <v>0</v>
      </c>
      <c r="P86" s="324">
        <f t="shared" si="10"/>
        <v>0</v>
      </c>
      <c r="Q86" s="2"/>
      <c r="R86" s="189"/>
      <c r="S86" s="189"/>
    </row>
    <row r="87" spans="1:19" ht="24.95" customHeight="1">
      <c r="A87" s="314" t="s">
        <v>265</v>
      </c>
      <c r="B87" s="318"/>
      <c r="C87" s="319"/>
      <c r="D87" s="319"/>
      <c r="E87" s="319"/>
      <c r="F87" s="319"/>
      <c r="G87" s="303"/>
      <c r="H87" s="319"/>
      <c r="I87" s="319"/>
      <c r="J87" s="315"/>
      <c r="K87" s="320"/>
      <c r="L87" s="315"/>
      <c r="M87" s="321">
        <v>3</v>
      </c>
      <c r="N87" s="322">
        <f t="shared" si="11"/>
        <v>3</v>
      </c>
      <c r="O87" s="323">
        <f t="shared" si="12"/>
        <v>3</v>
      </c>
      <c r="P87" s="324">
        <f t="shared" si="10"/>
        <v>0.53191489361702127</v>
      </c>
      <c r="Q87" s="2"/>
      <c r="R87" s="189"/>
      <c r="S87" s="189"/>
    </row>
    <row r="88" spans="1:19" ht="24.95" customHeight="1">
      <c r="A88" s="314" t="s">
        <v>266</v>
      </c>
      <c r="B88" s="318"/>
      <c r="C88" s="319"/>
      <c r="D88" s="319"/>
      <c r="E88" s="319"/>
      <c r="F88" s="319"/>
      <c r="G88" s="303"/>
      <c r="H88" s="319"/>
      <c r="I88" s="319"/>
      <c r="J88" s="315"/>
      <c r="K88" s="320"/>
      <c r="L88" s="315"/>
      <c r="M88" s="321">
        <v>6</v>
      </c>
      <c r="N88" s="322">
        <f t="shared" si="11"/>
        <v>6</v>
      </c>
      <c r="O88" s="323">
        <f t="shared" si="12"/>
        <v>6</v>
      </c>
      <c r="P88" s="324">
        <f t="shared" ref="P88:P99" si="13">(N88/$N$100)*100</f>
        <v>1.0638297872340425</v>
      </c>
      <c r="Q88" s="2"/>
      <c r="R88" s="189"/>
      <c r="S88" s="189"/>
    </row>
    <row r="89" spans="1:19" ht="24.95" customHeight="1">
      <c r="A89" s="314" t="s">
        <v>267</v>
      </c>
      <c r="B89" s="318"/>
      <c r="C89" s="319"/>
      <c r="D89" s="319"/>
      <c r="E89" s="319"/>
      <c r="F89" s="319"/>
      <c r="G89" s="303"/>
      <c r="H89" s="319"/>
      <c r="I89" s="319"/>
      <c r="J89" s="315"/>
      <c r="K89" s="320"/>
      <c r="L89" s="315"/>
      <c r="M89" s="321">
        <v>10</v>
      </c>
      <c r="N89" s="322">
        <f t="shared" si="11"/>
        <v>10</v>
      </c>
      <c r="O89" s="323">
        <f t="shared" si="12"/>
        <v>10</v>
      </c>
      <c r="P89" s="324">
        <f t="shared" si="13"/>
        <v>1.773049645390071</v>
      </c>
      <c r="Q89" s="2"/>
      <c r="R89" s="189"/>
      <c r="S89" s="189"/>
    </row>
    <row r="90" spans="1:19" ht="24.95" customHeight="1">
      <c r="A90" s="314" t="s">
        <v>268</v>
      </c>
      <c r="B90" s="318"/>
      <c r="C90" s="319"/>
      <c r="D90" s="319"/>
      <c r="E90" s="319"/>
      <c r="F90" s="319"/>
      <c r="G90" s="303"/>
      <c r="H90" s="319"/>
      <c r="I90" s="319"/>
      <c r="J90" s="315"/>
      <c r="K90" s="320"/>
      <c r="L90" s="315"/>
      <c r="M90" s="321">
        <v>3</v>
      </c>
      <c r="N90" s="322">
        <f t="shared" si="11"/>
        <v>3</v>
      </c>
      <c r="O90" s="323">
        <f t="shared" si="12"/>
        <v>3</v>
      </c>
      <c r="P90" s="324">
        <f t="shared" si="13"/>
        <v>0.53191489361702127</v>
      </c>
      <c r="Q90" s="2"/>
      <c r="R90" s="189"/>
      <c r="S90" s="189"/>
    </row>
    <row r="91" spans="1:19" ht="24.95" customHeight="1">
      <c r="A91" s="314" t="s">
        <v>269</v>
      </c>
      <c r="B91" s="318"/>
      <c r="C91" s="319"/>
      <c r="D91" s="319"/>
      <c r="E91" s="319"/>
      <c r="F91" s="319"/>
      <c r="G91" s="303"/>
      <c r="H91" s="319"/>
      <c r="I91" s="319"/>
      <c r="J91" s="315"/>
      <c r="K91" s="320"/>
      <c r="L91" s="315"/>
      <c r="M91" s="321">
        <v>5</v>
      </c>
      <c r="N91" s="322">
        <f t="shared" si="11"/>
        <v>5</v>
      </c>
      <c r="O91" s="323">
        <f t="shared" si="12"/>
        <v>5</v>
      </c>
      <c r="P91" s="324">
        <f t="shared" si="13"/>
        <v>0.88652482269503552</v>
      </c>
      <c r="Q91" s="2"/>
      <c r="R91" s="189"/>
      <c r="S91" s="189"/>
    </row>
    <row r="92" spans="1:19" ht="24.95" customHeight="1">
      <c r="A92" s="314" t="s">
        <v>270</v>
      </c>
      <c r="B92" s="318"/>
      <c r="C92" s="319"/>
      <c r="D92" s="319"/>
      <c r="E92" s="319"/>
      <c r="F92" s="319"/>
      <c r="G92" s="303"/>
      <c r="H92" s="319"/>
      <c r="I92" s="319"/>
      <c r="J92" s="315"/>
      <c r="K92" s="320"/>
      <c r="L92" s="315"/>
      <c r="M92" s="321">
        <v>3</v>
      </c>
      <c r="N92" s="322">
        <f t="shared" si="11"/>
        <v>3</v>
      </c>
      <c r="O92" s="323">
        <f t="shared" si="12"/>
        <v>3</v>
      </c>
      <c r="P92" s="324">
        <f t="shared" si="13"/>
        <v>0.53191489361702127</v>
      </c>
      <c r="Q92" s="2"/>
      <c r="R92" s="189"/>
      <c r="S92" s="189"/>
    </row>
    <row r="93" spans="1:19" ht="24.95" customHeight="1">
      <c r="A93" s="314" t="s">
        <v>271</v>
      </c>
      <c r="B93" s="318"/>
      <c r="C93" s="319"/>
      <c r="D93" s="319"/>
      <c r="E93" s="319"/>
      <c r="F93" s="319"/>
      <c r="G93" s="303"/>
      <c r="H93" s="319"/>
      <c r="I93" s="319"/>
      <c r="J93" s="315"/>
      <c r="K93" s="320"/>
      <c r="L93" s="315"/>
      <c r="M93" s="321">
        <v>2</v>
      </c>
      <c r="N93" s="322">
        <f t="shared" si="11"/>
        <v>2</v>
      </c>
      <c r="O93" s="323">
        <f t="shared" si="12"/>
        <v>2</v>
      </c>
      <c r="P93" s="324">
        <f t="shared" si="13"/>
        <v>0.3546099290780142</v>
      </c>
      <c r="Q93" s="2"/>
      <c r="R93" s="189"/>
      <c r="S93" s="189"/>
    </row>
    <row r="94" spans="1:19" ht="24.95" customHeight="1">
      <c r="A94" s="314" t="s">
        <v>272</v>
      </c>
      <c r="B94" s="318"/>
      <c r="C94" s="319"/>
      <c r="D94" s="319"/>
      <c r="E94" s="319"/>
      <c r="F94" s="319"/>
      <c r="G94" s="303"/>
      <c r="H94" s="319"/>
      <c r="I94" s="319"/>
      <c r="J94" s="315"/>
      <c r="K94" s="320"/>
      <c r="L94" s="315"/>
      <c r="M94" s="321">
        <v>0</v>
      </c>
      <c r="N94" s="322">
        <f t="shared" si="11"/>
        <v>0</v>
      </c>
      <c r="O94" s="323">
        <f t="shared" si="12"/>
        <v>0</v>
      </c>
      <c r="P94" s="324">
        <f t="shared" si="13"/>
        <v>0</v>
      </c>
      <c r="Q94" s="2"/>
      <c r="R94" s="189"/>
      <c r="S94" s="189"/>
    </row>
    <row r="95" spans="1:19" ht="24.95" customHeight="1">
      <c r="A95" s="314" t="s">
        <v>273</v>
      </c>
      <c r="B95" s="318"/>
      <c r="C95" s="319"/>
      <c r="D95" s="319"/>
      <c r="E95" s="319"/>
      <c r="F95" s="319"/>
      <c r="G95" s="303"/>
      <c r="H95" s="319"/>
      <c r="I95" s="319"/>
      <c r="J95" s="315"/>
      <c r="K95" s="320"/>
      <c r="L95" s="315"/>
      <c r="M95" s="321">
        <v>2</v>
      </c>
      <c r="N95" s="322">
        <f t="shared" si="11"/>
        <v>2</v>
      </c>
      <c r="O95" s="323">
        <f t="shared" si="12"/>
        <v>2</v>
      </c>
      <c r="P95" s="324">
        <f t="shared" si="13"/>
        <v>0.3546099290780142</v>
      </c>
      <c r="Q95" s="2"/>
      <c r="R95" s="189"/>
      <c r="S95" s="189"/>
    </row>
    <row r="96" spans="1:19" ht="24.95" customHeight="1">
      <c r="A96" s="314" t="s">
        <v>274</v>
      </c>
      <c r="B96" s="318"/>
      <c r="C96" s="319"/>
      <c r="D96" s="319"/>
      <c r="E96" s="319"/>
      <c r="F96" s="319"/>
      <c r="G96" s="303"/>
      <c r="H96" s="319"/>
      <c r="I96" s="319"/>
      <c r="J96" s="315"/>
      <c r="K96" s="320"/>
      <c r="L96" s="315"/>
      <c r="M96" s="321">
        <v>0</v>
      </c>
      <c r="N96" s="322">
        <f t="shared" si="11"/>
        <v>0</v>
      </c>
      <c r="O96" s="323">
        <f t="shared" si="12"/>
        <v>0</v>
      </c>
      <c r="P96" s="324">
        <f t="shared" si="13"/>
        <v>0</v>
      </c>
      <c r="Q96" s="2"/>
      <c r="R96" s="189"/>
      <c r="S96" s="189"/>
    </row>
    <row r="97" spans="1:54" ht="24.95" customHeight="1">
      <c r="A97" s="314" t="s">
        <v>275</v>
      </c>
      <c r="B97" s="318"/>
      <c r="C97" s="319"/>
      <c r="D97" s="319"/>
      <c r="E97" s="319"/>
      <c r="F97" s="319"/>
      <c r="G97" s="303"/>
      <c r="H97" s="319"/>
      <c r="I97" s="319"/>
      <c r="J97" s="315"/>
      <c r="K97" s="320"/>
      <c r="L97" s="315"/>
      <c r="M97" s="321">
        <v>2</v>
      </c>
      <c r="N97" s="322">
        <f t="shared" si="11"/>
        <v>2</v>
      </c>
      <c r="O97" s="323">
        <f t="shared" si="12"/>
        <v>2</v>
      </c>
      <c r="P97" s="324">
        <f t="shared" si="13"/>
        <v>0.3546099290780142</v>
      </c>
      <c r="Q97" s="2"/>
      <c r="R97" s="189"/>
      <c r="S97" s="189"/>
    </row>
    <row r="98" spans="1:54" s="73" customFormat="1" ht="24.95" customHeight="1">
      <c r="A98" s="322" t="s">
        <v>276</v>
      </c>
      <c r="B98" s="594"/>
      <c r="C98" s="319"/>
      <c r="D98" s="398"/>
      <c r="E98" s="398"/>
      <c r="F98" s="398"/>
      <c r="G98" s="303"/>
      <c r="H98" s="398"/>
      <c r="I98" s="398"/>
      <c r="J98" s="315"/>
      <c r="K98" s="320"/>
      <c r="L98" s="315"/>
      <c r="M98" s="321">
        <v>1</v>
      </c>
      <c r="N98" s="322">
        <f t="shared" si="11"/>
        <v>1</v>
      </c>
      <c r="O98" s="395">
        <f t="shared" si="12"/>
        <v>1</v>
      </c>
      <c r="P98" s="396">
        <f t="shared" si="13"/>
        <v>0.1773049645390071</v>
      </c>
      <c r="Q98" s="310"/>
      <c r="T98" s="131"/>
      <c r="BB98" s="139"/>
    </row>
    <row r="99" spans="1:54" ht="24.95" customHeight="1" thickBot="1">
      <c r="A99" s="397" t="s">
        <v>387</v>
      </c>
      <c r="B99" s="541"/>
      <c r="C99" s="398"/>
      <c r="D99" s="399"/>
      <c r="E99" s="399"/>
      <c r="F99" s="399"/>
      <c r="G99" s="512"/>
      <c r="H99" s="399"/>
      <c r="I99" s="399"/>
      <c r="J99" s="400"/>
      <c r="K99" s="401"/>
      <c r="L99" s="400"/>
      <c r="M99" s="402">
        <v>21</v>
      </c>
      <c r="N99" s="403">
        <f t="shared" si="11"/>
        <v>21</v>
      </c>
      <c r="O99" s="404">
        <f t="shared" si="12"/>
        <v>21</v>
      </c>
      <c r="P99" s="405">
        <f t="shared" si="13"/>
        <v>3.7234042553191489</v>
      </c>
      <c r="Q99" s="406"/>
      <c r="R99" s="189"/>
      <c r="S99" s="407"/>
      <c r="T99" s="209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</row>
    <row r="100" spans="1:54" ht="24.95" customHeight="1" thickBot="1">
      <c r="A100" s="408" t="s">
        <v>312</v>
      </c>
      <c r="B100" s="410"/>
      <c r="C100" s="410"/>
      <c r="D100" s="409"/>
      <c r="E100" s="409"/>
      <c r="F100" s="510"/>
      <c r="G100" s="513"/>
      <c r="H100" s="511"/>
      <c r="I100" s="410"/>
      <c r="J100" s="410"/>
      <c r="K100" s="410"/>
      <c r="L100" s="410"/>
      <c r="M100" s="410">
        <f t="shared" ref="M100:N100" si="14">SUM(M22:M99)</f>
        <v>564</v>
      </c>
      <c r="N100" s="409">
        <f t="shared" si="14"/>
        <v>564</v>
      </c>
      <c r="O100" s="411">
        <f t="shared" si="12"/>
        <v>564</v>
      </c>
      <c r="P100" s="412">
        <f>SUM(P22:P99)</f>
        <v>100</v>
      </c>
      <c r="Q100" s="413"/>
      <c r="R100" s="138"/>
      <c r="S100" s="189"/>
      <c r="T100" s="414"/>
      <c r="U100" s="73"/>
      <c r="V100" s="73"/>
      <c r="W100" s="73"/>
      <c r="X100" s="73"/>
      <c r="Y100" s="73"/>
      <c r="Z100" s="73"/>
      <c r="AA100" s="73"/>
      <c r="AB100" s="73"/>
      <c r="AC100" s="73"/>
      <c r="AD100" s="139"/>
      <c r="AE100" s="139"/>
      <c r="AH100" s="131"/>
    </row>
    <row r="101" spans="1:54" s="516" customFormat="1" ht="24.95" customHeight="1">
      <c r="C101" s="521"/>
      <c r="D101" s="521"/>
      <c r="F101" s="522"/>
      <c r="G101" s="522"/>
      <c r="H101" s="522"/>
      <c r="I101" s="523"/>
      <c r="J101" s="522"/>
      <c r="K101" s="522"/>
      <c r="L101" s="522"/>
      <c r="M101" s="524"/>
      <c r="N101" s="525"/>
      <c r="O101" s="521"/>
      <c r="P101" s="521"/>
      <c r="Q101" s="526"/>
      <c r="T101" s="733"/>
      <c r="U101" s="522"/>
      <c r="V101" s="522"/>
      <c r="W101" s="522"/>
      <c r="X101" s="522"/>
      <c r="Y101" s="522"/>
      <c r="Z101" s="522"/>
      <c r="AA101" s="522"/>
      <c r="AB101" s="522"/>
      <c r="AC101" s="522"/>
      <c r="AD101" s="522"/>
      <c r="AE101" s="522"/>
      <c r="AF101" s="522"/>
      <c r="AG101" s="522"/>
      <c r="AH101" s="524"/>
    </row>
    <row r="102" spans="1:54" s="516" customFormat="1">
      <c r="A102" s="630"/>
      <c r="B102" s="631"/>
      <c r="C102" s="631"/>
      <c r="D102" s="631"/>
      <c r="E102" s="631"/>
      <c r="F102" s="631"/>
      <c r="G102" s="631"/>
      <c r="H102" s="631"/>
      <c r="I102" s="631"/>
      <c r="J102" s="631"/>
      <c r="K102" s="631"/>
      <c r="L102" s="631"/>
      <c r="M102" s="631"/>
      <c r="N102" s="631"/>
      <c r="O102" s="632"/>
      <c r="P102" s="526"/>
      <c r="Q102" s="521"/>
      <c r="R102" s="734"/>
      <c r="S102" s="522"/>
      <c r="T102" s="524"/>
      <c r="U102" s="522"/>
      <c r="V102" s="522"/>
      <c r="W102" s="522"/>
      <c r="X102" s="522"/>
      <c r="Y102" s="522"/>
      <c r="Z102" s="522"/>
      <c r="AA102" s="522"/>
      <c r="AB102" s="522"/>
      <c r="AC102" s="522"/>
      <c r="AD102" s="522"/>
      <c r="AE102" s="522"/>
      <c r="AF102" s="524"/>
      <c r="AG102" s="522"/>
    </row>
    <row r="103" spans="1:54" s="527" customFormat="1">
      <c r="A103" s="836"/>
      <c r="B103" s="837"/>
      <c r="C103" s="837"/>
      <c r="D103" s="837"/>
      <c r="E103" s="838"/>
      <c r="F103" s="838"/>
      <c r="G103" s="838"/>
      <c r="H103" s="838"/>
      <c r="I103" s="838"/>
      <c r="J103" s="838"/>
      <c r="K103" s="838"/>
      <c r="L103" s="838"/>
      <c r="M103" s="838"/>
      <c r="N103" s="839"/>
      <c r="O103" s="840"/>
      <c r="P103" s="530"/>
      <c r="Q103" s="528"/>
      <c r="T103" s="735"/>
      <c r="U103" s="529"/>
      <c r="V103" s="529"/>
      <c r="W103" s="529"/>
      <c r="X103" s="529"/>
      <c r="Y103" s="529"/>
      <c r="Z103" s="529"/>
      <c r="AA103" s="529"/>
      <c r="AB103" s="529"/>
      <c r="AC103" s="529"/>
      <c r="AD103" s="529"/>
      <c r="AE103" s="529"/>
      <c r="AF103" s="529"/>
      <c r="AG103" s="529"/>
      <c r="AH103" s="531"/>
    </row>
    <row r="104" spans="1:54" s="527" customFormat="1">
      <c r="A104" s="496" t="s">
        <v>323</v>
      </c>
      <c r="B104" s="497">
        <v>45627</v>
      </c>
      <c r="C104" s="497">
        <v>45597</v>
      </c>
      <c r="D104" s="498">
        <v>45566</v>
      </c>
      <c r="E104" s="498">
        <v>45536</v>
      </c>
      <c r="F104" s="498">
        <v>45505</v>
      </c>
      <c r="G104" s="498">
        <v>45474</v>
      </c>
      <c r="H104" s="498">
        <v>45444</v>
      </c>
      <c r="I104" s="498">
        <v>45413</v>
      </c>
      <c r="J104" s="498">
        <v>45383</v>
      </c>
      <c r="K104" s="498">
        <v>45352</v>
      </c>
      <c r="L104" s="499">
        <v>45323</v>
      </c>
      <c r="M104" s="498">
        <v>45292</v>
      </c>
      <c r="N104" s="498" t="s">
        <v>5</v>
      </c>
      <c r="O104" s="500"/>
      <c r="P104" s="595"/>
      <c r="Q104" s="528"/>
      <c r="T104" s="735"/>
      <c r="U104" s="529"/>
      <c r="V104" s="529"/>
      <c r="W104" s="529"/>
      <c r="X104" s="529"/>
      <c r="Y104" s="529"/>
      <c r="Z104" s="529"/>
      <c r="AA104" s="529"/>
      <c r="AB104" s="529"/>
      <c r="AC104" s="529"/>
      <c r="AD104" s="529"/>
      <c r="AE104" s="529"/>
      <c r="AF104" s="529"/>
      <c r="AG104" s="529"/>
      <c r="AH104" s="531"/>
    </row>
    <row r="105" spans="1:54" s="527" customFormat="1">
      <c r="A105" s="841" t="s">
        <v>388</v>
      </c>
      <c r="B105" s="842"/>
      <c r="C105" s="842"/>
      <c r="D105" s="842"/>
      <c r="E105" s="842"/>
      <c r="F105" s="842"/>
      <c r="G105" s="842"/>
      <c r="H105" s="842"/>
      <c r="I105" s="842"/>
      <c r="J105" s="843"/>
      <c r="K105" s="502"/>
      <c r="L105" s="843"/>
      <c r="M105" s="843">
        <v>82</v>
      </c>
      <c r="N105" s="842">
        <f t="shared" ref="N105:N114" si="15">SUM(B105:M105)</f>
        <v>82</v>
      </c>
      <c r="O105" s="503">
        <f>N105/$N$115*100</f>
        <v>23.906705539358601</v>
      </c>
      <c r="P105" s="595"/>
      <c r="Q105" s="528"/>
      <c r="T105" s="735"/>
      <c r="U105" s="529"/>
      <c r="V105" s="529"/>
      <c r="W105" s="529"/>
      <c r="X105" s="529"/>
      <c r="Y105" s="529"/>
      <c r="Z105" s="529"/>
      <c r="AA105" s="529"/>
      <c r="AB105" s="529"/>
      <c r="AC105" s="529"/>
      <c r="AD105" s="529"/>
      <c r="AE105" s="529"/>
      <c r="AF105" s="529"/>
      <c r="AG105" s="529"/>
      <c r="AH105" s="531"/>
    </row>
    <row r="106" spans="1:54" s="527" customFormat="1">
      <c r="A106" s="841" t="s">
        <v>392</v>
      </c>
      <c r="B106" s="842"/>
      <c r="C106" s="842"/>
      <c r="D106" s="842"/>
      <c r="E106" s="842"/>
      <c r="F106" s="842"/>
      <c r="G106" s="842"/>
      <c r="H106" s="842"/>
      <c r="I106" s="842"/>
      <c r="J106" s="843"/>
      <c r="K106" s="502"/>
      <c r="L106" s="843"/>
      <c r="M106" s="843">
        <v>48</v>
      </c>
      <c r="N106" s="842">
        <f t="shared" si="15"/>
        <v>48</v>
      </c>
      <c r="O106" s="503">
        <f t="shared" ref="O106:O114" si="16">N106/$N$115*100</f>
        <v>13.994169096209912</v>
      </c>
      <c r="P106" s="595"/>
      <c r="Q106" s="528"/>
      <c r="T106" s="735"/>
      <c r="U106" s="529"/>
      <c r="V106" s="529"/>
      <c r="W106" s="529"/>
      <c r="X106" s="529"/>
      <c r="Y106" s="529"/>
      <c r="Z106" s="529"/>
      <c r="AA106" s="529"/>
      <c r="AB106" s="529"/>
      <c r="AC106" s="529"/>
      <c r="AD106" s="529"/>
      <c r="AE106" s="529"/>
      <c r="AF106" s="529"/>
      <c r="AG106" s="529"/>
      <c r="AH106" s="531"/>
    </row>
    <row r="107" spans="1:54" s="527" customFormat="1">
      <c r="A107" s="841" t="s">
        <v>391</v>
      </c>
      <c r="B107" s="842"/>
      <c r="C107" s="842"/>
      <c r="D107" s="842"/>
      <c r="E107" s="842"/>
      <c r="F107" s="842"/>
      <c r="G107" s="842"/>
      <c r="H107" s="842"/>
      <c r="I107" s="842"/>
      <c r="J107" s="843"/>
      <c r="K107" s="502"/>
      <c r="L107" s="843"/>
      <c r="M107" s="843">
        <v>45</v>
      </c>
      <c r="N107" s="842">
        <f t="shared" si="15"/>
        <v>45</v>
      </c>
      <c r="O107" s="503">
        <f t="shared" si="16"/>
        <v>13.119533527696792</v>
      </c>
      <c r="P107" s="595"/>
      <c r="Q107" s="528"/>
      <c r="T107" s="735"/>
      <c r="U107" s="529"/>
      <c r="V107" s="529"/>
      <c r="W107" s="529"/>
      <c r="X107" s="529"/>
      <c r="Y107" s="529"/>
      <c r="Z107" s="529"/>
      <c r="AA107" s="529"/>
      <c r="AB107" s="529"/>
      <c r="AC107" s="529"/>
      <c r="AD107" s="529"/>
      <c r="AE107" s="529"/>
      <c r="AF107" s="529"/>
      <c r="AG107" s="529"/>
      <c r="AH107" s="531"/>
    </row>
    <row r="108" spans="1:54" s="527" customFormat="1">
      <c r="A108" s="841" t="s">
        <v>389</v>
      </c>
      <c r="B108" s="842"/>
      <c r="C108" s="842"/>
      <c r="D108" s="842"/>
      <c r="E108" s="842"/>
      <c r="F108" s="842"/>
      <c r="G108" s="842"/>
      <c r="H108" s="842"/>
      <c r="I108" s="842"/>
      <c r="J108" s="843"/>
      <c r="K108" s="502"/>
      <c r="L108" s="843"/>
      <c r="M108" s="843">
        <v>37</v>
      </c>
      <c r="N108" s="842">
        <f t="shared" si="15"/>
        <v>37</v>
      </c>
      <c r="O108" s="503">
        <f t="shared" si="16"/>
        <v>10.787172011661808</v>
      </c>
      <c r="P108" s="595"/>
      <c r="Q108" s="528"/>
      <c r="T108" s="736"/>
      <c r="AF108" s="529"/>
      <c r="AG108" s="529"/>
    </row>
    <row r="109" spans="1:54" s="527" customFormat="1">
      <c r="A109" s="841" t="s">
        <v>390</v>
      </c>
      <c r="B109" s="842"/>
      <c r="C109" s="842"/>
      <c r="D109" s="842"/>
      <c r="E109" s="842"/>
      <c r="F109" s="842"/>
      <c r="G109" s="842"/>
      <c r="H109" s="842"/>
      <c r="I109" s="842"/>
      <c r="J109" s="843"/>
      <c r="K109" s="502"/>
      <c r="L109" s="843"/>
      <c r="M109" s="843">
        <v>29</v>
      </c>
      <c r="N109" s="842">
        <f t="shared" si="15"/>
        <v>29</v>
      </c>
      <c r="O109" s="503">
        <f t="shared" si="16"/>
        <v>8.4548104956268215</v>
      </c>
      <c r="P109" s="595"/>
      <c r="Q109" s="528"/>
      <c r="T109" s="736"/>
      <c r="AF109" s="529"/>
      <c r="AG109" s="529"/>
    </row>
    <row r="110" spans="1:54" s="527" customFormat="1">
      <c r="A110" s="841" t="s">
        <v>433</v>
      </c>
      <c r="B110" s="842"/>
      <c r="C110" s="842"/>
      <c r="D110" s="842"/>
      <c r="E110" s="842"/>
      <c r="F110" s="842"/>
      <c r="G110" s="842"/>
      <c r="H110" s="842"/>
      <c r="I110" s="842"/>
      <c r="J110" s="843"/>
      <c r="K110" s="502"/>
      <c r="L110" s="843"/>
      <c r="M110" s="843">
        <v>24</v>
      </c>
      <c r="N110" s="842">
        <f t="shared" si="15"/>
        <v>24</v>
      </c>
      <c r="O110" s="503">
        <f t="shared" si="16"/>
        <v>6.9970845481049562</v>
      </c>
      <c r="P110" s="595"/>
      <c r="Q110" s="528"/>
      <c r="T110" s="736"/>
      <c r="AF110" s="529"/>
      <c r="AG110" s="529"/>
    </row>
    <row r="111" spans="1:54" s="527" customFormat="1">
      <c r="A111" s="841" t="s">
        <v>393</v>
      </c>
      <c r="B111" s="842"/>
      <c r="C111" s="842"/>
      <c r="D111" s="842"/>
      <c r="E111" s="842"/>
      <c r="F111" s="842"/>
      <c r="G111" s="842"/>
      <c r="H111" s="842"/>
      <c r="I111" s="842"/>
      <c r="J111" s="843"/>
      <c r="K111" s="502"/>
      <c r="L111" s="843"/>
      <c r="M111" s="843">
        <v>23</v>
      </c>
      <c r="N111" s="842">
        <f t="shared" si="15"/>
        <v>23</v>
      </c>
      <c r="O111" s="503">
        <f t="shared" si="16"/>
        <v>6.7055393586005829</v>
      </c>
      <c r="P111" s="595"/>
      <c r="Q111" s="528"/>
      <c r="T111" s="736"/>
      <c r="AF111" s="529"/>
      <c r="AG111" s="529"/>
    </row>
    <row r="112" spans="1:54" s="527" customFormat="1">
      <c r="A112" s="843" t="s">
        <v>488</v>
      </c>
      <c r="B112" s="842"/>
      <c r="C112" s="842"/>
      <c r="D112" s="842"/>
      <c r="E112" s="842"/>
      <c r="F112" s="842"/>
      <c r="G112" s="842"/>
      <c r="H112" s="842"/>
      <c r="I112" s="842"/>
      <c r="J112" s="843"/>
      <c r="K112" s="502"/>
      <c r="L112" s="843"/>
      <c r="M112" s="843">
        <v>21</v>
      </c>
      <c r="N112" s="842">
        <f t="shared" si="15"/>
        <v>21</v>
      </c>
      <c r="O112" s="503">
        <f t="shared" si="16"/>
        <v>6.1224489795918364</v>
      </c>
      <c r="P112" s="595"/>
      <c r="Q112" s="528"/>
      <c r="T112" s="736"/>
      <c r="AF112" s="529"/>
      <c r="AG112" s="529"/>
    </row>
    <row r="113" spans="1:33" s="527" customFormat="1">
      <c r="A113" s="841" t="s">
        <v>73</v>
      </c>
      <c r="B113" s="842"/>
      <c r="C113" s="842"/>
      <c r="D113" s="842"/>
      <c r="E113" s="842"/>
      <c r="F113" s="842"/>
      <c r="G113" s="842"/>
      <c r="H113" s="842"/>
      <c r="I113" s="842"/>
      <c r="J113" s="843"/>
      <c r="K113" s="502"/>
      <c r="L113" s="843"/>
      <c r="M113" s="843">
        <v>18</v>
      </c>
      <c r="N113" s="842">
        <f t="shared" si="15"/>
        <v>18</v>
      </c>
      <c r="O113" s="503">
        <f t="shared" si="16"/>
        <v>5.2478134110787176</v>
      </c>
      <c r="P113" s="595"/>
      <c r="Q113" s="528"/>
      <c r="T113" s="736"/>
      <c r="AF113" s="529"/>
      <c r="AG113" s="529"/>
    </row>
    <row r="114" spans="1:33" s="527" customFormat="1">
      <c r="A114" s="841" t="s">
        <v>489</v>
      </c>
      <c r="B114" s="842"/>
      <c r="C114" s="842"/>
      <c r="D114" s="842"/>
      <c r="E114" s="842"/>
      <c r="F114" s="842"/>
      <c r="G114" s="842"/>
      <c r="H114" s="842"/>
      <c r="I114" s="842"/>
      <c r="J114" s="843"/>
      <c r="K114" s="502"/>
      <c r="L114" s="843"/>
      <c r="M114" s="843">
        <v>16</v>
      </c>
      <c r="N114" s="842">
        <f t="shared" si="15"/>
        <v>16</v>
      </c>
      <c r="O114" s="503">
        <f t="shared" si="16"/>
        <v>4.6647230320699711</v>
      </c>
      <c r="P114" s="595"/>
      <c r="Q114" s="530"/>
      <c r="T114" s="736"/>
      <c r="AF114" s="529"/>
      <c r="AG114" s="529"/>
    </row>
    <row r="115" spans="1:33" s="527" customFormat="1">
      <c r="A115" s="496"/>
      <c r="B115" s="504"/>
      <c r="C115" s="505"/>
      <c r="D115" s="506"/>
      <c r="E115" s="504"/>
      <c r="F115" s="507"/>
      <c r="G115" s="507"/>
      <c r="H115" s="507"/>
      <c r="I115" s="508"/>
      <c r="J115" s="507"/>
      <c r="K115" s="507"/>
      <c r="L115" s="509"/>
      <c r="M115" s="509"/>
      <c r="N115" s="507">
        <f>SUM(N105:N114)</f>
        <v>343</v>
      </c>
      <c r="O115" s="500"/>
      <c r="P115" s="595"/>
      <c r="Q115" s="530"/>
      <c r="AF115" s="529"/>
      <c r="AG115" s="529"/>
    </row>
    <row r="116" spans="1:33" s="527" customFormat="1">
      <c r="A116" s="509"/>
      <c r="B116" s="504"/>
      <c r="C116" s="505"/>
      <c r="D116" s="506"/>
      <c r="E116" s="504"/>
      <c r="F116" s="507"/>
      <c r="G116" s="507"/>
      <c r="H116" s="507"/>
      <c r="I116" s="508"/>
      <c r="J116" s="507"/>
      <c r="K116" s="507"/>
      <c r="L116" s="509"/>
      <c r="M116" s="509"/>
      <c r="N116" s="507"/>
      <c r="O116" s="500"/>
      <c r="P116" s="595"/>
      <c r="Q116" s="530"/>
      <c r="AF116" s="529"/>
      <c r="AG116" s="529"/>
    </row>
    <row r="117" spans="1:33" s="527" customFormat="1">
      <c r="A117" s="597"/>
      <c r="B117" s="501"/>
      <c r="C117" s="501"/>
      <c r="D117" s="598"/>
      <c r="E117" s="501"/>
      <c r="F117" s="501"/>
      <c r="G117" s="501"/>
      <c r="H117" s="501"/>
      <c r="I117" s="501"/>
      <c r="J117" s="502"/>
      <c r="K117" s="502"/>
      <c r="L117" s="502"/>
      <c r="M117" s="502"/>
      <c r="N117" s="501"/>
      <c r="O117" s="500"/>
      <c r="P117" s="595"/>
      <c r="Q117" s="530"/>
      <c r="AF117" s="529"/>
      <c r="AG117" s="529"/>
    </row>
    <row r="118" spans="1:33" s="527" customFormat="1">
      <c r="A118" s="597"/>
      <c r="B118" s="501"/>
      <c r="C118" s="501"/>
      <c r="D118" s="598"/>
      <c r="E118" s="501"/>
      <c r="F118" s="501"/>
      <c r="G118" s="501"/>
      <c r="H118" s="501"/>
      <c r="I118" s="501"/>
      <c r="J118" s="502"/>
      <c r="K118" s="502"/>
      <c r="L118" s="502"/>
      <c r="M118" s="502"/>
      <c r="N118" s="501"/>
      <c r="O118" s="506"/>
      <c r="P118" s="596"/>
      <c r="Q118" s="530"/>
      <c r="AF118" s="529"/>
      <c r="AG118" s="529"/>
    </row>
    <row r="119" spans="1:33" s="527" customFormat="1" ht="23.25">
      <c r="A119" s="841" t="s">
        <v>370</v>
      </c>
      <c r="B119" s="842"/>
      <c r="C119" s="842"/>
      <c r="D119" s="842"/>
      <c r="E119" s="842"/>
      <c r="F119" s="842"/>
      <c r="G119" s="842"/>
      <c r="H119" s="842"/>
      <c r="I119" s="842"/>
      <c r="J119" s="843"/>
      <c r="K119" s="502"/>
      <c r="L119" s="843"/>
      <c r="M119" s="843">
        <v>82</v>
      </c>
      <c r="N119" s="842">
        <f t="shared" ref="N119:N150" si="17">SUM(B119:M119)</f>
        <v>82</v>
      </c>
      <c r="O119" s="495"/>
      <c r="P119" s="530"/>
      <c r="Q119" s="530"/>
      <c r="AF119" s="529"/>
      <c r="AG119" s="529"/>
    </row>
    <row r="120" spans="1:33" s="527" customFormat="1" ht="23.25">
      <c r="A120" s="841" t="s">
        <v>353</v>
      </c>
      <c r="B120" s="842"/>
      <c r="C120" s="842"/>
      <c r="D120" s="842"/>
      <c r="E120" s="842"/>
      <c r="F120" s="842"/>
      <c r="G120" s="842"/>
      <c r="H120" s="842"/>
      <c r="I120" s="842"/>
      <c r="J120" s="843"/>
      <c r="K120" s="502"/>
      <c r="L120" s="843"/>
      <c r="M120" s="843">
        <v>48</v>
      </c>
      <c r="N120" s="842">
        <f t="shared" si="17"/>
        <v>48</v>
      </c>
      <c r="O120" s="495"/>
      <c r="P120" s="530"/>
      <c r="Q120" s="530"/>
      <c r="AF120" s="529"/>
      <c r="AG120" s="529"/>
    </row>
    <row r="121" spans="1:33" s="527" customFormat="1" ht="23.25">
      <c r="A121" s="841" t="s">
        <v>344</v>
      </c>
      <c r="B121" s="842"/>
      <c r="C121" s="842"/>
      <c r="D121" s="842"/>
      <c r="E121" s="842"/>
      <c r="F121" s="842"/>
      <c r="G121" s="842"/>
      <c r="H121" s="842"/>
      <c r="I121" s="842"/>
      <c r="J121" s="843"/>
      <c r="K121" s="502"/>
      <c r="L121" s="843"/>
      <c r="M121" s="843">
        <v>45</v>
      </c>
      <c r="N121" s="842">
        <f t="shared" si="17"/>
        <v>45</v>
      </c>
      <c r="O121" s="495"/>
      <c r="P121" s="530"/>
      <c r="Q121" s="530"/>
      <c r="AF121" s="529"/>
      <c r="AG121" s="529"/>
    </row>
    <row r="122" spans="1:33" s="527" customFormat="1" ht="23.25">
      <c r="A122" s="841" t="s">
        <v>328</v>
      </c>
      <c r="B122" s="842"/>
      <c r="C122" s="842"/>
      <c r="D122" s="842"/>
      <c r="E122" s="842"/>
      <c r="F122" s="842"/>
      <c r="G122" s="842"/>
      <c r="H122" s="842"/>
      <c r="I122" s="842"/>
      <c r="J122" s="843"/>
      <c r="K122" s="502"/>
      <c r="L122" s="843"/>
      <c r="M122" s="843">
        <v>37</v>
      </c>
      <c r="N122" s="842">
        <f t="shared" si="17"/>
        <v>37</v>
      </c>
      <c r="O122" s="495"/>
      <c r="P122" s="530"/>
      <c r="Q122" s="530"/>
      <c r="AF122" s="529"/>
      <c r="AG122" s="529"/>
    </row>
    <row r="123" spans="1:33" s="527" customFormat="1" ht="23.25">
      <c r="A123" s="841" t="s">
        <v>365</v>
      </c>
      <c r="B123" s="842"/>
      <c r="C123" s="842"/>
      <c r="D123" s="842"/>
      <c r="E123" s="842"/>
      <c r="F123" s="842"/>
      <c r="G123" s="842"/>
      <c r="H123" s="842"/>
      <c r="I123" s="842"/>
      <c r="J123" s="843"/>
      <c r="K123" s="502"/>
      <c r="L123" s="843"/>
      <c r="M123" s="843">
        <v>29</v>
      </c>
      <c r="N123" s="842">
        <f t="shared" si="17"/>
        <v>29</v>
      </c>
      <c r="O123" s="495"/>
      <c r="P123" s="530"/>
      <c r="Q123" s="530"/>
      <c r="AF123" s="529"/>
      <c r="AG123" s="529"/>
    </row>
    <row r="124" spans="1:33" s="527" customFormat="1" ht="23.25">
      <c r="A124" s="841" t="s">
        <v>374</v>
      </c>
      <c r="B124" s="842"/>
      <c r="C124" s="842"/>
      <c r="D124" s="842"/>
      <c r="E124" s="842"/>
      <c r="F124" s="842"/>
      <c r="G124" s="842"/>
      <c r="H124" s="842"/>
      <c r="I124" s="842"/>
      <c r="J124" s="843"/>
      <c r="K124" s="502"/>
      <c r="L124" s="843"/>
      <c r="M124" s="843">
        <v>24</v>
      </c>
      <c r="N124" s="842">
        <f t="shared" si="17"/>
        <v>24</v>
      </c>
      <c r="O124" s="495"/>
      <c r="P124" s="530"/>
      <c r="Q124" s="530"/>
      <c r="AF124" s="529"/>
      <c r="AG124" s="529"/>
    </row>
    <row r="125" spans="1:33" s="527" customFormat="1" ht="23.25">
      <c r="A125" s="841" t="s">
        <v>372</v>
      </c>
      <c r="B125" s="842"/>
      <c r="C125" s="842"/>
      <c r="D125" s="842"/>
      <c r="E125" s="842"/>
      <c r="F125" s="842"/>
      <c r="G125" s="842"/>
      <c r="H125" s="842"/>
      <c r="I125" s="842"/>
      <c r="J125" s="843"/>
      <c r="K125" s="502"/>
      <c r="L125" s="843"/>
      <c r="M125" s="843">
        <v>23</v>
      </c>
      <c r="N125" s="842">
        <f t="shared" si="17"/>
        <v>23</v>
      </c>
      <c r="O125" s="495"/>
      <c r="P125" s="530"/>
      <c r="Q125" s="530"/>
      <c r="AF125" s="529"/>
      <c r="AG125" s="529"/>
    </row>
    <row r="126" spans="1:33" s="527" customFormat="1" ht="22.5">
      <c r="A126" s="843" t="s">
        <v>387</v>
      </c>
      <c r="B126" s="842"/>
      <c r="C126" s="842"/>
      <c r="D126" s="842"/>
      <c r="E126" s="842"/>
      <c r="F126" s="842"/>
      <c r="G126" s="842"/>
      <c r="H126" s="842"/>
      <c r="I126" s="842"/>
      <c r="J126" s="843"/>
      <c r="K126" s="502"/>
      <c r="L126" s="843"/>
      <c r="M126" s="843">
        <v>21</v>
      </c>
      <c r="N126" s="842">
        <f t="shared" si="17"/>
        <v>21</v>
      </c>
      <c r="O126" s="495"/>
      <c r="P126" s="530"/>
      <c r="Q126" s="530"/>
      <c r="AF126" s="529"/>
      <c r="AG126" s="529"/>
    </row>
    <row r="127" spans="1:33" s="527" customFormat="1" ht="23.25">
      <c r="A127" s="841" t="s">
        <v>331</v>
      </c>
      <c r="B127" s="842"/>
      <c r="C127" s="842"/>
      <c r="D127" s="842"/>
      <c r="E127" s="842"/>
      <c r="F127" s="842"/>
      <c r="G127" s="842"/>
      <c r="H127" s="842"/>
      <c r="I127" s="842"/>
      <c r="J127" s="843"/>
      <c r="K127" s="502"/>
      <c r="L127" s="843"/>
      <c r="M127" s="843">
        <v>18</v>
      </c>
      <c r="N127" s="842">
        <f t="shared" si="17"/>
        <v>18</v>
      </c>
      <c r="O127" s="495"/>
      <c r="P127" s="530"/>
      <c r="Q127" s="530"/>
      <c r="AF127" s="529"/>
      <c r="AG127" s="529"/>
    </row>
    <row r="128" spans="1:33" s="527" customFormat="1" ht="23.25">
      <c r="A128" s="841" t="s">
        <v>366</v>
      </c>
      <c r="B128" s="842"/>
      <c r="C128" s="842"/>
      <c r="D128" s="842"/>
      <c r="E128" s="842"/>
      <c r="F128" s="842"/>
      <c r="G128" s="842"/>
      <c r="H128" s="842"/>
      <c r="I128" s="842"/>
      <c r="J128" s="843"/>
      <c r="K128" s="502"/>
      <c r="L128" s="843"/>
      <c r="M128" s="843">
        <v>16</v>
      </c>
      <c r="N128" s="842">
        <f t="shared" si="17"/>
        <v>16</v>
      </c>
      <c r="O128" s="495"/>
      <c r="P128" s="530"/>
      <c r="Q128" s="530"/>
      <c r="AF128" s="529"/>
      <c r="AG128" s="529"/>
    </row>
    <row r="129" spans="1:33" s="527" customFormat="1" ht="23.25">
      <c r="A129" s="841" t="s">
        <v>347</v>
      </c>
      <c r="B129" s="842"/>
      <c r="C129" s="842"/>
      <c r="D129" s="842"/>
      <c r="E129" s="842"/>
      <c r="F129" s="842"/>
      <c r="G129" s="842"/>
      <c r="H129" s="842"/>
      <c r="I129" s="842"/>
      <c r="J129" s="843"/>
      <c r="K129" s="502"/>
      <c r="L129" s="843"/>
      <c r="M129" s="843">
        <v>14</v>
      </c>
      <c r="N129" s="842">
        <f t="shared" si="17"/>
        <v>14</v>
      </c>
      <c r="O129" s="495"/>
      <c r="P129" s="530"/>
      <c r="Q129" s="530"/>
      <c r="AF129" s="529"/>
      <c r="AG129" s="529"/>
    </row>
    <row r="130" spans="1:33" s="527" customFormat="1" ht="23.25">
      <c r="A130" s="841" t="s">
        <v>348</v>
      </c>
      <c r="B130" s="842"/>
      <c r="C130" s="842"/>
      <c r="D130" s="842"/>
      <c r="E130" s="842"/>
      <c r="F130" s="842"/>
      <c r="G130" s="842"/>
      <c r="H130" s="842"/>
      <c r="I130" s="842"/>
      <c r="J130" s="843"/>
      <c r="K130" s="502"/>
      <c r="L130" s="843"/>
      <c r="M130" s="843">
        <v>14</v>
      </c>
      <c r="N130" s="842">
        <f t="shared" si="17"/>
        <v>14</v>
      </c>
      <c r="O130" s="495"/>
      <c r="P130" s="530"/>
      <c r="Q130" s="530"/>
      <c r="AF130" s="529"/>
      <c r="AG130" s="529"/>
    </row>
    <row r="131" spans="1:33" s="527" customFormat="1" ht="23.25">
      <c r="A131" s="841" t="s">
        <v>360</v>
      </c>
      <c r="B131" s="842"/>
      <c r="C131" s="842"/>
      <c r="D131" s="842"/>
      <c r="E131" s="842"/>
      <c r="F131" s="842"/>
      <c r="G131" s="842"/>
      <c r="H131" s="842"/>
      <c r="I131" s="842"/>
      <c r="J131" s="843"/>
      <c r="K131" s="502"/>
      <c r="L131" s="843"/>
      <c r="M131" s="843">
        <v>13</v>
      </c>
      <c r="N131" s="842">
        <f t="shared" si="17"/>
        <v>13</v>
      </c>
      <c r="O131" s="495"/>
      <c r="P131" s="530"/>
      <c r="Q131" s="530"/>
      <c r="AF131" s="529"/>
      <c r="AG131" s="529"/>
    </row>
    <row r="132" spans="1:33" s="527" customFormat="1" ht="23.25">
      <c r="A132" s="841" t="s">
        <v>357</v>
      </c>
      <c r="B132" s="842"/>
      <c r="C132" s="842"/>
      <c r="D132" s="842"/>
      <c r="E132" s="842"/>
      <c r="F132" s="842"/>
      <c r="G132" s="842"/>
      <c r="H132" s="842"/>
      <c r="I132" s="842"/>
      <c r="J132" s="843"/>
      <c r="K132" s="502"/>
      <c r="L132" s="843"/>
      <c r="M132" s="843">
        <v>11</v>
      </c>
      <c r="N132" s="842">
        <f t="shared" si="17"/>
        <v>11</v>
      </c>
      <c r="O132" s="495"/>
      <c r="P132" s="530"/>
      <c r="Q132" s="530"/>
      <c r="AF132" s="529"/>
      <c r="AG132" s="529"/>
    </row>
    <row r="133" spans="1:33" s="527" customFormat="1" ht="23.25">
      <c r="A133" s="841" t="s">
        <v>487</v>
      </c>
      <c r="B133" s="842"/>
      <c r="C133" s="842"/>
      <c r="D133" s="842"/>
      <c r="E133" s="842"/>
      <c r="F133" s="842"/>
      <c r="G133" s="842"/>
      <c r="H133" s="842"/>
      <c r="I133" s="842"/>
      <c r="J133" s="843"/>
      <c r="K133" s="502"/>
      <c r="L133" s="843"/>
      <c r="M133" s="843">
        <v>11</v>
      </c>
      <c r="N133" s="842">
        <f t="shared" si="17"/>
        <v>11</v>
      </c>
      <c r="O133" s="495"/>
      <c r="P133" s="530"/>
      <c r="Q133" s="530"/>
      <c r="AF133" s="529"/>
      <c r="AG133" s="529"/>
    </row>
    <row r="134" spans="1:33" s="527" customFormat="1">
      <c r="A134" s="841" t="s">
        <v>267</v>
      </c>
      <c r="B134" s="842"/>
      <c r="C134" s="842"/>
      <c r="D134" s="842"/>
      <c r="E134" s="842"/>
      <c r="F134" s="842"/>
      <c r="G134" s="842"/>
      <c r="H134" s="842"/>
      <c r="I134" s="842"/>
      <c r="J134" s="843"/>
      <c r="K134" s="502"/>
      <c r="L134" s="843"/>
      <c r="M134" s="843">
        <v>10</v>
      </c>
      <c r="N134" s="842">
        <f t="shared" si="17"/>
        <v>10</v>
      </c>
      <c r="O134" s="495"/>
      <c r="P134" s="530"/>
      <c r="Q134" s="530"/>
      <c r="AF134" s="529"/>
      <c r="AG134" s="529"/>
    </row>
    <row r="135" spans="1:33" s="527" customFormat="1" ht="23.25">
      <c r="A135" s="841" t="s">
        <v>329</v>
      </c>
      <c r="B135" s="842"/>
      <c r="C135" s="842"/>
      <c r="D135" s="842"/>
      <c r="E135" s="842"/>
      <c r="F135" s="842"/>
      <c r="G135" s="842"/>
      <c r="H135" s="842"/>
      <c r="I135" s="842"/>
      <c r="J135" s="843"/>
      <c r="K135" s="502"/>
      <c r="L135" s="843"/>
      <c r="M135" s="843">
        <v>9</v>
      </c>
      <c r="N135" s="842">
        <f t="shared" si="17"/>
        <v>9</v>
      </c>
      <c r="O135" s="495"/>
      <c r="P135" s="530"/>
      <c r="Q135" s="530"/>
      <c r="AF135" s="529"/>
      <c r="AG135" s="529"/>
    </row>
    <row r="136" spans="1:33" s="527" customFormat="1" ht="23.25">
      <c r="A136" s="841" t="s">
        <v>340</v>
      </c>
      <c r="B136" s="842"/>
      <c r="C136" s="842"/>
      <c r="D136" s="842"/>
      <c r="E136" s="842"/>
      <c r="F136" s="842"/>
      <c r="G136" s="842"/>
      <c r="H136" s="842"/>
      <c r="I136" s="842"/>
      <c r="J136" s="843"/>
      <c r="K136" s="502"/>
      <c r="L136" s="843"/>
      <c r="M136" s="843">
        <v>9</v>
      </c>
      <c r="N136" s="842">
        <f t="shared" si="17"/>
        <v>9</v>
      </c>
      <c r="O136" s="495"/>
      <c r="P136" s="530"/>
      <c r="Q136" s="530"/>
      <c r="AF136" s="529"/>
      <c r="AG136" s="529"/>
    </row>
    <row r="137" spans="1:33" s="527" customFormat="1" ht="33.75">
      <c r="A137" s="844" t="s">
        <v>359</v>
      </c>
      <c r="B137" s="842"/>
      <c r="C137" s="842"/>
      <c r="D137" s="842"/>
      <c r="E137" s="842"/>
      <c r="F137" s="842"/>
      <c r="G137" s="842"/>
      <c r="H137" s="842"/>
      <c r="I137" s="842"/>
      <c r="J137" s="843"/>
      <c r="K137" s="502"/>
      <c r="L137" s="843"/>
      <c r="M137" s="843">
        <v>9</v>
      </c>
      <c r="N137" s="842">
        <f t="shared" si="17"/>
        <v>9</v>
      </c>
      <c r="O137" s="495"/>
      <c r="P137" s="530"/>
      <c r="Q137" s="530"/>
      <c r="AF137" s="529"/>
      <c r="AG137" s="529"/>
    </row>
    <row r="138" spans="1:33" s="527" customFormat="1">
      <c r="A138" s="841" t="s">
        <v>376</v>
      </c>
      <c r="B138" s="842"/>
      <c r="C138" s="842"/>
      <c r="D138" s="842"/>
      <c r="E138" s="842"/>
      <c r="F138" s="842"/>
      <c r="G138" s="842"/>
      <c r="H138" s="842"/>
      <c r="I138" s="842"/>
      <c r="J138" s="843"/>
      <c r="K138" s="502"/>
      <c r="L138" s="843"/>
      <c r="M138" s="843">
        <v>9</v>
      </c>
      <c r="N138" s="842">
        <f t="shared" si="17"/>
        <v>9</v>
      </c>
      <c r="O138" s="495"/>
      <c r="P138" s="530"/>
      <c r="Q138" s="530"/>
      <c r="AF138" s="529"/>
      <c r="AG138" s="529"/>
    </row>
    <row r="139" spans="1:33" s="527" customFormat="1">
      <c r="A139" s="841" t="s">
        <v>257</v>
      </c>
      <c r="B139" s="842"/>
      <c r="C139" s="842"/>
      <c r="D139" s="842"/>
      <c r="E139" s="842"/>
      <c r="F139" s="842"/>
      <c r="G139" s="842"/>
      <c r="H139" s="842"/>
      <c r="I139" s="842"/>
      <c r="J139" s="843"/>
      <c r="K139" s="502"/>
      <c r="L139" s="843"/>
      <c r="M139" s="843">
        <v>7</v>
      </c>
      <c r="N139" s="842">
        <f t="shared" si="17"/>
        <v>7</v>
      </c>
      <c r="O139" s="495"/>
      <c r="P139" s="530"/>
      <c r="Q139" s="530"/>
      <c r="AF139" s="529"/>
      <c r="AG139" s="529"/>
    </row>
    <row r="140" spans="1:33" s="527" customFormat="1" ht="23.25">
      <c r="A140" s="841" t="s">
        <v>338</v>
      </c>
      <c r="B140" s="842"/>
      <c r="C140" s="842"/>
      <c r="D140" s="842"/>
      <c r="E140" s="842"/>
      <c r="F140" s="842"/>
      <c r="G140" s="842"/>
      <c r="H140" s="842"/>
      <c r="I140" s="842"/>
      <c r="J140" s="843"/>
      <c r="K140" s="502"/>
      <c r="L140" s="843"/>
      <c r="M140" s="843">
        <v>6</v>
      </c>
      <c r="N140" s="842">
        <f t="shared" si="17"/>
        <v>6</v>
      </c>
      <c r="O140" s="495"/>
      <c r="P140" s="530"/>
      <c r="Q140" s="530"/>
      <c r="AF140" s="529"/>
      <c r="AG140" s="529"/>
    </row>
    <row r="141" spans="1:33" s="527" customFormat="1" ht="23.25">
      <c r="A141" s="841" t="s">
        <v>371</v>
      </c>
      <c r="B141" s="842"/>
      <c r="C141" s="842"/>
      <c r="D141" s="842"/>
      <c r="E141" s="842"/>
      <c r="F141" s="842"/>
      <c r="G141" s="842"/>
      <c r="H141" s="842"/>
      <c r="I141" s="842"/>
      <c r="J141" s="843"/>
      <c r="K141" s="502"/>
      <c r="L141" s="843"/>
      <c r="M141" s="843">
        <v>6</v>
      </c>
      <c r="N141" s="842">
        <f t="shared" si="17"/>
        <v>6</v>
      </c>
      <c r="O141" s="495"/>
      <c r="P141" s="530"/>
      <c r="Q141" s="530"/>
      <c r="AF141" s="529"/>
      <c r="AG141" s="529"/>
    </row>
    <row r="142" spans="1:33" s="527" customFormat="1">
      <c r="A142" s="841" t="s">
        <v>266</v>
      </c>
      <c r="B142" s="842"/>
      <c r="C142" s="842"/>
      <c r="D142" s="842"/>
      <c r="E142" s="842"/>
      <c r="F142" s="842"/>
      <c r="G142" s="842"/>
      <c r="H142" s="842"/>
      <c r="I142" s="842"/>
      <c r="J142" s="843"/>
      <c r="K142" s="502"/>
      <c r="L142" s="843"/>
      <c r="M142" s="843">
        <v>6</v>
      </c>
      <c r="N142" s="842">
        <f t="shared" si="17"/>
        <v>6</v>
      </c>
      <c r="O142" s="495"/>
      <c r="P142" s="530"/>
      <c r="Q142" s="530"/>
      <c r="AF142" s="529"/>
      <c r="AG142" s="529"/>
    </row>
    <row r="143" spans="1:33" s="527" customFormat="1">
      <c r="A143" s="841" t="s">
        <v>213</v>
      </c>
      <c r="B143" s="842"/>
      <c r="C143" s="842"/>
      <c r="D143" s="842"/>
      <c r="E143" s="842"/>
      <c r="F143" s="842"/>
      <c r="G143" s="842"/>
      <c r="H143" s="842"/>
      <c r="I143" s="842"/>
      <c r="J143" s="843"/>
      <c r="K143" s="502"/>
      <c r="L143" s="843"/>
      <c r="M143" s="843">
        <v>5</v>
      </c>
      <c r="N143" s="842">
        <f t="shared" si="17"/>
        <v>5</v>
      </c>
      <c r="O143" s="495"/>
      <c r="P143" s="530"/>
      <c r="Q143" s="530"/>
      <c r="AF143" s="529"/>
      <c r="AG143" s="529"/>
    </row>
    <row r="144" spans="1:33" s="527" customFormat="1" ht="34.5">
      <c r="A144" s="845" t="s">
        <v>378</v>
      </c>
      <c r="B144" s="842"/>
      <c r="C144" s="842"/>
      <c r="D144" s="842"/>
      <c r="E144" s="842"/>
      <c r="F144" s="842"/>
      <c r="G144" s="842"/>
      <c r="H144" s="842"/>
      <c r="I144" s="842"/>
      <c r="J144" s="843"/>
      <c r="K144" s="502"/>
      <c r="L144" s="843"/>
      <c r="M144" s="843">
        <v>5</v>
      </c>
      <c r="N144" s="842">
        <f t="shared" si="17"/>
        <v>5</v>
      </c>
      <c r="O144" s="495"/>
      <c r="P144" s="530"/>
      <c r="Q144" s="530"/>
      <c r="AF144" s="529"/>
      <c r="AG144" s="529"/>
    </row>
    <row r="145" spans="1:33" s="527" customFormat="1">
      <c r="A145" s="841" t="s">
        <v>246</v>
      </c>
      <c r="B145" s="842"/>
      <c r="C145" s="842"/>
      <c r="D145" s="842"/>
      <c r="E145" s="842"/>
      <c r="F145" s="842"/>
      <c r="G145" s="842"/>
      <c r="H145" s="842"/>
      <c r="I145" s="842"/>
      <c r="J145" s="843"/>
      <c r="K145" s="502"/>
      <c r="L145" s="843"/>
      <c r="M145" s="843">
        <v>5</v>
      </c>
      <c r="N145" s="842">
        <f t="shared" si="17"/>
        <v>5</v>
      </c>
      <c r="O145" s="495"/>
      <c r="P145" s="530"/>
      <c r="Q145" s="530"/>
      <c r="AF145" s="529"/>
      <c r="AG145" s="529"/>
    </row>
    <row r="146" spans="1:33" s="527" customFormat="1">
      <c r="A146" s="841" t="s">
        <v>258</v>
      </c>
      <c r="B146" s="842"/>
      <c r="C146" s="842"/>
      <c r="D146" s="842"/>
      <c r="E146" s="842"/>
      <c r="F146" s="842"/>
      <c r="G146" s="842"/>
      <c r="H146" s="842"/>
      <c r="I146" s="842"/>
      <c r="J146" s="843"/>
      <c r="K146" s="502"/>
      <c r="L146" s="843"/>
      <c r="M146" s="843">
        <v>5</v>
      </c>
      <c r="N146" s="842">
        <f t="shared" si="17"/>
        <v>5</v>
      </c>
      <c r="O146" s="495"/>
      <c r="P146" s="530"/>
      <c r="Q146" s="530"/>
      <c r="AF146" s="529"/>
      <c r="AG146" s="529"/>
    </row>
    <row r="147" spans="1:33" s="527" customFormat="1">
      <c r="A147" s="841" t="s">
        <v>269</v>
      </c>
      <c r="B147" s="842"/>
      <c r="C147" s="842"/>
      <c r="D147" s="842"/>
      <c r="E147" s="842"/>
      <c r="F147" s="842"/>
      <c r="G147" s="842"/>
      <c r="H147" s="842"/>
      <c r="I147" s="842"/>
      <c r="J147" s="843"/>
      <c r="K147" s="502"/>
      <c r="L147" s="843"/>
      <c r="M147" s="843">
        <v>5</v>
      </c>
      <c r="N147" s="842">
        <f t="shared" si="17"/>
        <v>5</v>
      </c>
      <c r="O147" s="495"/>
      <c r="P147" s="530"/>
      <c r="Q147" s="530"/>
      <c r="AF147" s="529"/>
      <c r="AG147" s="529"/>
    </row>
    <row r="148" spans="1:33" s="527" customFormat="1" ht="34.5">
      <c r="A148" s="841" t="s">
        <v>363</v>
      </c>
      <c r="B148" s="842"/>
      <c r="C148" s="842"/>
      <c r="D148" s="842"/>
      <c r="E148" s="842"/>
      <c r="F148" s="842"/>
      <c r="G148" s="842"/>
      <c r="H148" s="842"/>
      <c r="I148" s="842"/>
      <c r="J148" s="843"/>
      <c r="K148" s="502"/>
      <c r="L148" s="843"/>
      <c r="M148" s="843">
        <v>4</v>
      </c>
      <c r="N148" s="842">
        <f t="shared" si="17"/>
        <v>4</v>
      </c>
      <c r="O148" s="495"/>
      <c r="P148" s="530"/>
      <c r="Q148" s="530"/>
      <c r="AF148" s="529"/>
      <c r="AG148" s="529"/>
    </row>
    <row r="149" spans="1:33" s="527" customFormat="1" ht="23.25">
      <c r="A149" s="841" t="s">
        <v>350</v>
      </c>
      <c r="B149" s="842"/>
      <c r="C149" s="842"/>
      <c r="D149" s="842"/>
      <c r="E149" s="842"/>
      <c r="F149" s="842"/>
      <c r="G149" s="842"/>
      <c r="H149" s="842"/>
      <c r="I149" s="842"/>
      <c r="J149" s="843"/>
      <c r="K149" s="502"/>
      <c r="L149" s="843"/>
      <c r="M149" s="843">
        <v>3</v>
      </c>
      <c r="N149" s="842">
        <f t="shared" si="17"/>
        <v>3</v>
      </c>
      <c r="O149" s="495"/>
      <c r="P149" s="530"/>
      <c r="Q149" s="530"/>
      <c r="AF149" s="529"/>
      <c r="AG149" s="529"/>
    </row>
    <row r="150" spans="1:33" s="527" customFormat="1">
      <c r="A150" s="846" t="s">
        <v>377</v>
      </c>
      <c r="B150" s="842"/>
      <c r="C150" s="842"/>
      <c r="D150" s="842"/>
      <c r="E150" s="842"/>
      <c r="F150" s="842"/>
      <c r="G150" s="842"/>
      <c r="H150" s="842"/>
      <c r="I150" s="842"/>
      <c r="J150" s="843"/>
      <c r="K150" s="502"/>
      <c r="L150" s="843"/>
      <c r="M150" s="843">
        <v>3</v>
      </c>
      <c r="N150" s="842">
        <f t="shared" si="17"/>
        <v>3</v>
      </c>
      <c r="O150" s="495"/>
      <c r="P150" s="530"/>
      <c r="Q150" s="530"/>
      <c r="AF150" s="529"/>
      <c r="AG150" s="529"/>
    </row>
    <row r="151" spans="1:33" s="527" customFormat="1">
      <c r="A151" s="841" t="s">
        <v>255</v>
      </c>
      <c r="B151" s="842"/>
      <c r="C151" s="842"/>
      <c r="D151" s="842"/>
      <c r="E151" s="842"/>
      <c r="F151" s="842"/>
      <c r="G151" s="842"/>
      <c r="H151" s="842"/>
      <c r="I151" s="842"/>
      <c r="J151" s="843"/>
      <c r="K151" s="502"/>
      <c r="L151" s="843"/>
      <c r="M151" s="843">
        <v>3</v>
      </c>
      <c r="N151" s="842">
        <f t="shared" ref="N151:N182" si="18">SUM(B151:M151)</f>
        <v>3</v>
      </c>
      <c r="O151" s="495"/>
      <c r="P151" s="530"/>
      <c r="Q151" s="530"/>
      <c r="AF151" s="529"/>
      <c r="AG151" s="529"/>
    </row>
    <row r="152" spans="1:33" s="527" customFormat="1">
      <c r="A152" s="841" t="s">
        <v>260</v>
      </c>
      <c r="B152" s="842"/>
      <c r="C152" s="842"/>
      <c r="D152" s="842"/>
      <c r="E152" s="842"/>
      <c r="F152" s="842"/>
      <c r="G152" s="842"/>
      <c r="H152" s="842"/>
      <c r="I152" s="842"/>
      <c r="J152" s="843"/>
      <c r="K152" s="502"/>
      <c r="L152" s="843"/>
      <c r="M152" s="843">
        <v>3</v>
      </c>
      <c r="N152" s="842">
        <f t="shared" si="18"/>
        <v>3</v>
      </c>
      <c r="O152" s="495"/>
      <c r="P152" s="530"/>
      <c r="Q152" s="530"/>
      <c r="AF152" s="529"/>
      <c r="AG152" s="529"/>
    </row>
    <row r="153" spans="1:33" s="527" customFormat="1">
      <c r="A153" s="847" t="s">
        <v>386</v>
      </c>
      <c r="B153" s="842"/>
      <c r="C153" s="842"/>
      <c r="D153" s="842"/>
      <c r="E153" s="842"/>
      <c r="F153" s="842"/>
      <c r="G153" s="842"/>
      <c r="H153" s="842"/>
      <c r="I153" s="842"/>
      <c r="J153" s="843"/>
      <c r="K153" s="502"/>
      <c r="L153" s="843"/>
      <c r="M153" s="843">
        <v>3</v>
      </c>
      <c r="N153" s="842">
        <f t="shared" si="18"/>
        <v>3</v>
      </c>
      <c r="O153" s="495"/>
      <c r="P153" s="530"/>
      <c r="Q153" s="530"/>
      <c r="AF153" s="529"/>
      <c r="AG153" s="529"/>
    </row>
    <row r="154" spans="1:33" s="527" customFormat="1">
      <c r="A154" s="841" t="s">
        <v>265</v>
      </c>
      <c r="B154" s="842"/>
      <c r="C154" s="842"/>
      <c r="D154" s="842"/>
      <c r="E154" s="842"/>
      <c r="F154" s="842"/>
      <c r="G154" s="842"/>
      <c r="H154" s="842"/>
      <c r="I154" s="842"/>
      <c r="J154" s="843"/>
      <c r="K154" s="502"/>
      <c r="L154" s="843"/>
      <c r="M154" s="843">
        <v>3</v>
      </c>
      <c r="N154" s="842">
        <f t="shared" si="18"/>
        <v>3</v>
      </c>
      <c r="O154" s="495"/>
      <c r="P154" s="530"/>
      <c r="Q154" s="530"/>
      <c r="AF154" s="529"/>
      <c r="AG154" s="529"/>
    </row>
    <row r="155" spans="1:33" s="527" customFormat="1" ht="23.25">
      <c r="A155" s="841" t="s">
        <v>268</v>
      </c>
      <c r="B155" s="842"/>
      <c r="C155" s="842"/>
      <c r="D155" s="842"/>
      <c r="E155" s="842"/>
      <c r="F155" s="842"/>
      <c r="G155" s="842"/>
      <c r="H155" s="842"/>
      <c r="I155" s="842"/>
      <c r="J155" s="843"/>
      <c r="K155" s="502"/>
      <c r="L155" s="843"/>
      <c r="M155" s="843">
        <v>3</v>
      </c>
      <c r="N155" s="842">
        <f t="shared" si="18"/>
        <v>3</v>
      </c>
      <c r="O155" s="495"/>
      <c r="P155" s="530"/>
      <c r="Q155" s="530"/>
      <c r="AF155" s="529"/>
      <c r="AG155" s="529"/>
    </row>
    <row r="156" spans="1:33" s="527" customFormat="1">
      <c r="A156" s="841" t="s">
        <v>270</v>
      </c>
      <c r="B156" s="842"/>
      <c r="C156" s="842"/>
      <c r="D156" s="842"/>
      <c r="E156" s="842"/>
      <c r="F156" s="842"/>
      <c r="G156" s="842"/>
      <c r="H156" s="842"/>
      <c r="I156" s="842"/>
      <c r="J156" s="843"/>
      <c r="K156" s="502"/>
      <c r="L156" s="843"/>
      <c r="M156" s="843">
        <v>3</v>
      </c>
      <c r="N156" s="842">
        <f t="shared" si="18"/>
        <v>3</v>
      </c>
      <c r="O156" s="495"/>
      <c r="P156" s="530"/>
      <c r="Q156" s="530"/>
      <c r="AF156" s="529"/>
      <c r="AG156" s="529"/>
    </row>
    <row r="157" spans="1:33" s="527" customFormat="1" ht="23.25">
      <c r="A157" s="845" t="s">
        <v>325</v>
      </c>
      <c r="B157" s="842"/>
      <c r="C157" s="842"/>
      <c r="D157" s="842"/>
      <c r="E157" s="842"/>
      <c r="F157" s="842"/>
      <c r="G157" s="842"/>
      <c r="H157" s="842"/>
      <c r="I157" s="842"/>
      <c r="J157" s="843"/>
      <c r="K157" s="501"/>
      <c r="L157" s="843"/>
      <c r="M157" s="842">
        <v>2</v>
      </c>
      <c r="N157" s="842">
        <f t="shared" si="18"/>
        <v>2</v>
      </c>
      <c r="O157" s="495"/>
      <c r="P157" s="530"/>
      <c r="Q157" s="530"/>
      <c r="AF157" s="529"/>
      <c r="AG157" s="529"/>
    </row>
    <row r="158" spans="1:33" s="527" customFormat="1" ht="23.25">
      <c r="A158" s="841" t="s">
        <v>333</v>
      </c>
      <c r="B158" s="842"/>
      <c r="C158" s="842"/>
      <c r="D158" s="842"/>
      <c r="E158" s="842"/>
      <c r="F158" s="842"/>
      <c r="G158" s="842"/>
      <c r="H158" s="842"/>
      <c r="I158" s="842"/>
      <c r="J158" s="843"/>
      <c r="K158" s="502"/>
      <c r="L158" s="843"/>
      <c r="M158" s="843">
        <v>2</v>
      </c>
      <c r="N158" s="842">
        <f t="shared" si="18"/>
        <v>2</v>
      </c>
      <c r="O158" s="495"/>
      <c r="P158" s="530"/>
      <c r="Q158" s="530"/>
      <c r="AF158" s="529"/>
      <c r="AG158" s="529"/>
    </row>
    <row r="159" spans="1:33" s="527" customFormat="1" ht="23.25">
      <c r="A159" s="841" t="s">
        <v>355</v>
      </c>
      <c r="B159" s="842"/>
      <c r="C159" s="842"/>
      <c r="D159" s="842"/>
      <c r="E159" s="842"/>
      <c r="F159" s="842"/>
      <c r="G159" s="842"/>
      <c r="H159" s="842"/>
      <c r="I159" s="842"/>
      <c r="J159" s="843"/>
      <c r="K159" s="502"/>
      <c r="L159" s="843"/>
      <c r="M159" s="843">
        <v>2</v>
      </c>
      <c r="N159" s="842">
        <f t="shared" si="18"/>
        <v>2</v>
      </c>
      <c r="O159" s="495"/>
      <c r="P159" s="530"/>
      <c r="Q159" s="530"/>
      <c r="AF159" s="529"/>
      <c r="AG159" s="529"/>
    </row>
    <row r="160" spans="1:33" s="527" customFormat="1" ht="34.5">
      <c r="A160" s="841" t="s">
        <v>362</v>
      </c>
      <c r="B160" s="842"/>
      <c r="C160" s="842"/>
      <c r="D160" s="842"/>
      <c r="E160" s="842"/>
      <c r="F160" s="842"/>
      <c r="G160" s="842"/>
      <c r="H160" s="842"/>
      <c r="I160" s="842"/>
      <c r="J160" s="843"/>
      <c r="K160" s="502"/>
      <c r="L160" s="843"/>
      <c r="M160" s="843">
        <v>2</v>
      </c>
      <c r="N160" s="842">
        <f t="shared" si="18"/>
        <v>2</v>
      </c>
      <c r="O160" s="495"/>
      <c r="P160" s="530"/>
      <c r="Q160" s="530"/>
      <c r="AF160" s="529"/>
      <c r="AG160" s="529"/>
    </row>
    <row r="161" spans="1:33" s="527" customFormat="1" ht="23.25">
      <c r="A161" s="841" t="s">
        <v>384</v>
      </c>
      <c r="B161" s="842"/>
      <c r="C161" s="842"/>
      <c r="D161" s="842"/>
      <c r="E161" s="842"/>
      <c r="F161" s="842"/>
      <c r="G161" s="842"/>
      <c r="H161" s="842"/>
      <c r="I161" s="842"/>
      <c r="J161" s="843"/>
      <c r="K161" s="502"/>
      <c r="L161" s="843"/>
      <c r="M161" s="843">
        <v>2</v>
      </c>
      <c r="N161" s="842">
        <f t="shared" si="18"/>
        <v>2</v>
      </c>
      <c r="O161" s="495"/>
      <c r="P161" s="530"/>
      <c r="Q161" s="530"/>
      <c r="AF161" s="529"/>
      <c r="AG161" s="529"/>
    </row>
    <row r="162" spans="1:33" s="527" customFormat="1" ht="23.25">
      <c r="A162" s="841" t="s">
        <v>251</v>
      </c>
      <c r="B162" s="842"/>
      <c r="C162" s="842"/>
      <c r="D162" s="842"/>
      <c r="E162" s="842"/>
      <c r="F162" s="842"/>
      <c r="G162" s="842"/>
      <c r="H162" s="842"/>
      <c r="I162" s="842"/>
      <c r="J162" s="843"/>
      <c r="K162" s="502"/>
      <c r="L162" s="843"/>
      <c r="M162" s="843">
        <v>2</v>
      </c>
      <c r="N162" s="842">
        <f t="shared" si="18"/>
        <v>2</v>
      </c>
      <c r="O162" s="495"/>
      <c r="P162" s="530"/>
      <c r="Q162" s="530"/>
      <c r="AF162" s="529"/>
      <c r="AG162" s="529"/>
    </row>
    <row r="163" spans="1:33" s="527" customFormat="1" ht="23.25">
      <c r="A163" s="841" t="s">
        <v>252</v>
      </c>
      <c r="B163" s="842"/>
      <c r="C163" s="842"/>
      <c r="D163" s="842"/>
      <c r="E163" s="842"/>
      <c r="F163" s="842"/>
      <c r="G163" s="842"/>
      <c r="H163" s="842"/>
      <c r="I163" s="842"/>
      <c r="J163" s="843"/>
      <c r="K163" s="502"/>
      <c r="L163" s="843"/>
      <c r="M163" s="843">
        <v>2</v>
      </c>
      <c r="N163" s="842">
        <f t="shared" si="18"/>
        <v>2</v>
      </c>
      <c r="O163" s="495"/>
      <c r="P163" s="530"/>
      <c r="Q163" s="530"/>
      <c r="AF163" s="529"/>
      <c r="AG163" s="529"/>
    </row>
    <row r="164" spans="1:33" s="527" customFormat="1">
      <c r="A164" s="841" t="s">
        <v>262</v>
      </c>
      <c r="B164" s="842"/>
      <c r="C164" s="842"/>
      <c r="D164" s="842"/>
      <c r="E164" s="842"/>
      <c r="F164" s="842"/>
      <c r="G164" s="842"/>
      <c r="H164" s="842"/>
      <c r="I164" s="842"/>
      <c r="J164" s="843"/>
      <c r="K164" s="502"/>
      <c r="L164" s="843"/>
      <c r="M164" s="843">
        <v>2</v>
      </c>
      <c r="N164" s="842">
        <f t="shared" si="18"/>
        <v>2</v>
      </c>
      <c r="O164" s="495"/>
      <c r="P164" s="530"/>
      <c r="Q164" s="530"/>
      <c r="AF164" s="529"/>
      <c r="AG164" s="529"/>
    </row>
    <row r="165" spans="1:33" s="527" customFormat="1" ht="23.25">
      <c r="A165" s="841" t="s">
        <v>271</v>
      </c>
      <c r="B165" s="842"/>
      <c r="C165" s="842"/>
      <c r="D165" s="842"/>
      <c r="E165" s="842"/>
      <c r="F165" s="842"/>
      <c r="G165" s="842"/>
      <c r="H165" s="842"/>
      <c r="I165" s="842"/>
      <c r="J165" s="843"/>
      <c r="K165" s="502"/>
      <c r="L165" s="843"/>
      <c r="M165" s="843">
        <v>2</v>
      </c>
      <c r="N165" s="842">
        <f t="shared" si="18"/>
        <v>2</v>
      </c>
      <c r="O165" s="495"/>
      <c r="P165" s="530"/>
      <c r="Q165" s="530"/>
      <c r="AF165" s="529"/>
      <c r="AG165" s="529"/>
    </row>
    <row r="166" spans="1:33" s="527" customFormat="1">
      <c r="A166" s="841" t="s">
        <v>273</v>
      </c>
      <c r="B166" s="842"/>
      <c r="C166" s="842"/>
      <c r="D166" s="842"/>
      <c r="E166" s="842"/>
      <c r="F166" s="842"/>
      <c r="G166" s="842"/>
      <c r="H166" s="842"/>
      <c r="I166" s="842"/>
      <c r="J166" s="843"/>
      <c r="K166" s="502"/>
      <c r="L166" s="843"/>
      <c r="M166" s="843">
        <v>2</v>
      </c>
      <c r="N166" s="842">
        <f t="shared" si="18"/>
        <v>2</v>
      </c>
      <c r="O166" s="495"/>
      <c r="P166" s="530"/>
      <c r="Q166" s="530"/>
      <c r="AF166" s="529"/>
      <c r="AG166" s="529"/>
    </row>
    <row r="167" spans="1:33" s="527" customFormat="1">
      <c r="A167" s="841" t="s">
        <v>275</v>
      </c>
      <c r="B167" s="842"/>
      <c r="C167" s="842"/>
      <c r="D167" s="842"/>
      <c r="E167" s="842"/>
      <c r="F167" s="842"/>
      <c r="G167" s="842"/>
      <c r="H167" s="842"/>
      <c r="I167" s="842"/>
      <c r="J167" s="843"/>
      <c r="K167" s="502"/>
      <c r="L167" s="843"/>
      <c r="M167" s="843">
        <v>2</v>
      </c>
      <c r="N167" s="842">
        <f t="shared" si="18"/>
        <v>2</v>
      </c>
      <c r="O167" s="495"/>
      <c r="P167" s="530"/>
      <c r="Q167" s="530"/>
      <c r="AF167" s="529"/>
      <c r="AG167" s="529"/>
    </row>
    <row r="168" spans="1:33" s="527" customFormat="1" ht="23.25">
      <c r="A168" s="841" t="s">
        <v>335</v>
      </c>
      <c r="B168" s="842"/>
      <c r="C168" s="842"/>
      <c r="D168" s="842"/>
      <c r="E168" s="842"/>
      <c r="F168" s="842"/>
      <c r="G168" s="842"/>
      <c r="H168" s="842"/>
      <c r="I168" s="842"/>
      <c r="J168" s="843"/>
      <c r="K168" s="502"/>
      <c r="L168" s="843"/>
      <c r="M168" s="843">
        <v>1</v>
      </c>
      <c r="N168" s="842">
        <f t="shared" si="18"/>
        <v>1</v>
      </c>
      <c r="O168" s="495"/>
      <c r="P168" s="530"/>
      <c r="Q168" s="530"/>
      <c r="AF168" s="529"/>
      <c r="AG168" s="529"/>
    </row>
    <row r="169" spans="1:33" s="527" customFormat="1" ht="22.5">
      <c r="A169" s="843" t="s">
        <v>337</v>
      </c>
      <c r="B169" s="842"/>
      <c r="C169" s="842"/>
      <c r="D169" s="842"/>
      <c r="E169" s="842"/>
      <c r="F169" s="842"/>
      <c r="G169" s="842"/>
      <c r="H169" s="842"/>
      <c r="I169" s="842"/>
      <c r="J169" s="843"/>
      <c r="K169" s="502"/>
      <c r="L169" s="843"/>
      <c r="M169" s="843">
        <v>1</v>
      </c>
      <c r="N169" s="842">
        <f t="shared" si="18"/>
        <v>1</v>
      </c>
      <c r="O169" s="495"/>
      <c r="P169" s="530"/>
      <c r="Q169" s="530"/>
      <c r="AF169" s="529"/>
      <c r="AG169" s="529"/>
    </row>
    <row r="170" spans="1:33" s="527" customFormat="1" ht="33.75">
      <c r="A170" s="844" t="s">
        <v>342</v>
      </c>
      <c r="B170" s="842"/>
      <c r="C170" s="842"/>
      <c r="D170" s="842"/>
      <c r="E170" s="842"/>
      <c r="F170" s="842"/>
      <c r="G170" s="842"/>
      <c r="H170" s="842"/>
      <c r="I170" s="842"/>
      <c r="J170" s="843"/>
      <c r="K170" s="502"/>
      <c r="L170" s="843"/>
      <c r="M170" s="843">
        <v>1</v>
      </c>
      <c r="N170" s="842">
        <f t="shared" si="18"/>
        <v>1</v>
      </c>
      <c r="O170" s="495"/>
      <c r="P170" s="530"/>
      <c r="Q170" s="530"/>
      <c r="AF170" s="529"/>
      <c r="AG170" s="529"/>
    </row>
    <row r="171" spans="1:33" s="527" customFormat="1" ht="23.25">
      <c r="A171" s="841" t="s">
        <v>346</v>
      </c>
      <c r="B171" s="842"/>
      <c r="C171" s="842"/>
      <c r="D171" s="842"/>
      <c r="E171" s="842"/>
      <c r="F171" s="842"/>
      <c r="G171" s="842"/>
      <c r="H171" s="842"/>
      <c r="I171" s="842"/>
      <c r="J171" s="843"/>
      <c r="K171" s="502"/>
      <c r="L171" s="843"/>
      <c r="M171" s="843">
        <v>1</v>
      </c>
      <c r="N171" s="842">
        <f t="shared" si="18"/>
        <v>1</v>
      </c>
      <c r="O171" s="495"/>
      <c r="P171" s="530"/>
      <c r="Q171" s="530"/>
      <c r="AF171" s="529"/>
      <c r="AG171" s="529"/>
    </row>
    <row r="172" spans="1:33" s="527" customFormat="1" ht="23.25">
      <c r="A172" s="841" t="s">
        <v>368</v>
      </c>
      <c r="B172" s="842"/>
      <c r="C172" s="842"/>
      <c r="D172" s="842"/>
      <c r="E172" s="842"/>
      <c r="F172" s="842"/>
      <c r="G172" s="842"/>
      <c r="H172" s="842"/>
      <c r="I172" s="842"/>
      <c r="J172" s="843"/>
      <c r="K172" s="502"/>
      <c r="L172" s="843"/>
      <c r="M172" s="843">
        <v>1</v>
      </c>
      <c r="N172" s="842">
        <f t="shared" si="18"/>
        <v>1</v>
      </c>
      <c r="O172" s="495"/>
      <c r="P172" s="530"/>
      <c r="Q172" s="530"/>
      <c r="AF172" s="529"/>
      <c r="AG172" s="529"/>
    </row>
    <row r="173" spans="1:33" s="527" customFormat="1" ht="23.25">
      <c r="A173" s="841" t="s">
        <v>375</v>
      </c>
      <c r="B173" s="842"/>
      <c r="C173" s="842"/>
      <c r="D173" s="842"/>
      <c r="E173" s="842"/>
      <c r="F173" s="842"/>
      <c r="G173" s="842"/>
      <c r="H173" s="842"/>
      <c r="I173" s="842"/>
      <c r="J173" s="843"/>
      <c r="K173" s="502"/>
      <c r="L173" s="843"/>
      <c r="M173" s="843">
        <v>1</v>
      </c>
      <c r="N173" s="842">
        <f t="shared" si="18"/>
        <v>1</v>
      </c>
      <c r="O173" s="495"/>
      <c r="P173" s="530"/>
      <c r="Q173" s="530"/>
      <c r="AF173" s="529"/>
      <c r="AG173" s="529"/>
    </row>
    <row r="174" spans="1:33" s="527" customFormat="1" ht="34.5">
      <c r="A174" s="845" t="s">
        <v>380</v>
      </c>
      <c r="B174" s="842"/>
      <c r="C174" s="842"/>
      <c r="D174" s="842"/>
      <c r="E174" s="842"/>
      <c r="F174" s="842"/>
      <c r="G174" s="842"/>
      <c r="H174" s="842"/>
      <c r="I174" s="842"/>
      <c r="J174" s="843"/>
      <c r="K174" s="502"/>
      <c r="L174" s="843"/>
      <c r="M174" s="843">
        <v>1</v>
      </c>
      <c r="N174" s="842">
        <f t="shared" si="18"/>
        <v>1</v>
      </c>
      <c r="O174" s="495"/>
      <c r="P174" s="530"/>
      <c r="Q174" s="530"/>
      <c r="AF174" s="529"/>
      <c r="AG174" s="529"/>
    </row>
    <row r="175" spans="1:33" s="527" customFormat="1" ht="23.25">
      <c r="A175" s="841" t="s">
        <v>383</v>
      </c>
      <c r="B175" s="842"/>
      <c r="C175" s="842"/>
      <c r="D175" s="842"/>
      <c r="E175" s="842"/>
      <c r="F175" s="842"/>
      <c r="G175" s="842"/>
      <c r="H175" s="842"/>
      <c r="I175" s="842"/>
      <c r="J175" s="843"/>
      <c r="K175" s="502"/>
      <c r="L175" s="843"/>
      <c r="M175" s="843">
        <v>1</v>
      </c>
      <c r="N175" s="842">
        <f t="shared" si="18"/>
        <v>1</v>
      </c>
      <c r="O175" s="495"/>
      <c r="P175" s="530"/>
      <c r="Q175" s="530"/>
      <c r="AF175" s="529"/>
      <c r="AG175" s="529"/>
    </row>
    <row r="176" spans="1:33" s="527" customFormat="1" ht="23.25">
      <c r="A176" s="841" t="s">
        <v>248</v>
      </c>
      <c r="B176" s="842"/>
      <c r="C176" s="842"/>
      <c r="D176" s="842"/>
      <c r="E176" s="842"/>
      <c r="F176" s="842"/>
      <c r="G176" s="842"/>
      <c r="H176" s="842"/>
      <c r="I176" s="842"/>
      <c r="J176" s="843"/>
      <c r="K176" s="502"/>
      <c r="L176" s="843"/>
      <c r="M176" s="843">
        <v>1</v>
      </c>
      <c r="N176" s="842">
        <f t="shared" si="18"/>
        <v>1</v>
      </c>
      <c r="O176" s="495"/>
      <c r="P176" s="530"/>
      <c r="Q176" s="530"/>
      <c r="AF176" s="529"/>
      <c r="AG176" s="529"/>
    </row>
    <row r="177" spans="1:33" s="527" customFormat="1" ht="23.25">
      <c r="A177" s="841" t="s">
        <v>385</v>
      </c>
      <c r="B177" s="842"/>
      <c r="C177" s="842"/>
      <c r="D177" s="842"/>
      <c r="E177" s="842"/>
      <c r="F177" s="842"/>
      <c r="G177" s="842"/>
      <c r="H177" s="842"/>
      <c r="I177" s="842"/>
      <c r="J177" s="843"/>
      <c r="K177" s="502"/>
      <c r="L177" s="843"/>
      <c r="M177" s="843">
        <v>1</v>
      </c>
      <c r="N177" s="842">
        <f t="shared" si="18"/>
        <v>1</v>
      </c>
      <c r="O177" s="495"/>
      <c r="P177" s="530"/>
      <c r="Q177" s="530"/>
      <c r="AF177" s="529"/>
      <c r="AG177" s="529"/>
    </row>
    <row r="178" spans="1:33" s="527" customFormat="1" ht="23.25">
      <c r="A178" s="841" t="s">
        <v>259</v>
      </c>
      <c r="B178" s="842"/>
      <c r="C178" s="842"/>
      <c r="D178" s="842"/>
      <c r="E178" s="842"/>
      <c r="F178" s="842"/>
      <c r="G178" s="842"/>
      <c r="H178" s="842"/>
      <c r="I178" s="842"/>
      <c r="J178" s="843"/>
      <c r="K178" s="502"/>
      <c r="L178" s="843"/>
      <c r="M178" s="843">
        <v>1</v>
      </c>
      <c r="N178" s="842">
        <f t="shared" si="18"/>
        <v>1</v>
      </c>
      <c r="O178" s="495"/>
      <c r="P178" s="530"/>
      <c r="Q178" s="530"/>
      <c r="AF178" s="529"/>
      <c r="AG178" s="529"/>
    </row>
    <row r="179" spans="1:33" s="527" customFormat="1">
      <c r="A179" s="842" t="s">
        <v>276</v>
      </c>
      <c r="B179" s="842"/>
      <c r="C179" s="842"/>
      <c r="D179" s="842"/>
      <c r="E179" s="842"/>
      <c r="F179" s="842"/>
      <c r="G179" s="842"/>
      <c r="H179" s="842"/>
      <c r="I179" s="842"/>
      <c r="J179" s="843"/>
      <c r="K179" s="502"/>
      <c r="L179" s="843"/>
      <c r="M179" s="843">
        <v>1</v>
      </c>
      <c r="N179" s="842">
        <f t="shared" si="18"/>
        <v>1</v>
      </c>
      <c r="O179" s="495"/>
      <c r="P179" s="530"/>
      <c r="Q179" s="530"/>
      <c r="AF179" s="529"/>
      <c r="AG179" s="529"/>
    </row>
    <row r="180" spans="1:33" s="527" customFormat="1" ht="23.25">
      <c r="A180" s="841" t="s">
        <v>326</v>
      </c>
      <c r="B180" s="842"/>
      <c r="C180" s="842"/>
      <c r="D180" s="842"/>
      <c r="E180" s="842"/>
      <c r="F180" s="842"/>
      <c r="G180" s="842"/>
      <c r="H180" s="842"/>
      <c r="I180" s="842"/>
      <c r="J180" s="843"/>
      <c r="K180" s="501"/>
      <c r="L180" s="843"/>
      <c r="M180" s="842">
        <v>0</v>
      </c>
      <c r="N180" s="842">
        <f t="shared" si="18"/>
        <v>0</v>
      </c>
      <c r="O180" s="495"/>
      <c r="P180" s="530"/>
      <c r="Q180" s="530"/>
      <c r="AF180" s="529"/>
      <c r="AG180" s="529"/>
    </row>
    <row r="181" spans="1:33" s="527" customFormat="1" ht="23.25">
      <c r="A181" s="841" t="s">
        <v>351</v>
      </c>
      <c r="B181" s="842"/>
      <c r="C181" s="842"/>
      <c r="D181" s="842"/>
      <c r="E181" s="842"/>
      <c r="F181" s="842"/>
      <c r="G181" s="842"/>
      <c r="H181" s="842"/>
      <c r="I181" s="842"/>
      <c r="J181" s="843"/>
      <c r="K181" s="502"/>
      <c r="L181" s="843"/>
      <c r="M181" s="843">
        <v>0</v>
      </c>
      <c r="N181" s="842">
        <f t="shared" si="18"/>
        <v>0</v>
      </c>
      <c r="O181" s="495"/>
      <c r="P181" s="530"/>
      <c r="Q181" s="530"/>
      <c r="AF181" s="529"/>
      <c r="AG181" s="529"/>
    </row>
    <row r="182" spans="1:33" s="527" customFormat="1">
      <c r="A182" s="841" t="s">
        <v>354</v>
      </c>
      <c r="B182" s="842"/>
      <c r="C182" s="842"/>
      <c r="D182" s="842"/>
      <c r="E182" s="842"/>
      <c r="F182" s="842"/>
      <c r="G182" s="842"/>
      <c r="H182" s="842"/>
      <c r="I182" s="842"/>
      <c r="J182" s="843"/>
      <c r="K182" s="502"/>
      <c r="L182" s="843"/>
      <c r="M182" s="843">
        <v>0</v>
      </c>
      <c r="N182" s="842">
        <f t="shared" si="18"/>
        <v>0</v>
      </c>
      <c r="O182" s="495"/>
      <c r="P182" s="530"/>
      <c r="Q182" s="530"/>
      <c r="AF182" s="529"/>
      <c r="AG182" s="529"/>
    </row>
    <row r="183" spans="1:33" s="527" customFormat="1" ht="23.25">
      <c r="A183" s="841" t="s">
        <v>367</v>
      </c>
      <c r="B183" s="842"/>
      <c r="C183" s="842"/>
      <c r="D183" s="842"/>
      <c r="E183" s="842"/>
      <c r="F183" s="842"/>
      <c r="G183" s="842"/>
      <c r="H183" s="842"/>
      <c r="I183" s="842"/>
      <c r="J183" s="843"/>
      <c r="K183" s="502"/>
      <c r="L183" s="843"/>
      <c r="M183" s="843">
        <v>0</v>
      </c>
      <c r="N183" s="842">
        <f t="shared" ref="N183:N196" si="19">SUM(B183:M183)</f>
        <v>0</v>
      </c>
      <c r="O183" s="495"/>
      <c r="P183" s="530"/>
      <c r="Q183" s="530"/>
      <c r="AF183" s="529"/>
      <c r="AG183" s="529"/>
    </row>
    <row r="184" spans="1:33" s="527" customFormat="1" ht="22.5">
      <c r="A184" s="843" t="s">
        <v>369</v>
      </c>
      <c r="B184" s="842"/>
      <c r="C184" s="842"/>
      <c r="D184" s="842"/>
      <c r="E184" s="842"/>
      <c r="F184" s="842"/>
      <c r="G184" s="842"/>
      <c r="H184" s="842"/>
      <c r="I184" s="842"/>
      <c r="J184" s="843"/>
      <c r="K184" s="502"/>
      <c r="L184" s="843"/>
      <c r="M184" s="843">
        <v>0</v>
      </c>
      <c r="N184" s="842">
        <f t="shared" si="19"/>
        <v>0</v>
      </c>
      <c r="O184" s="495"/>
      <c r="P184" s="530"/>
      <c r="Q184" s="530"/>
      <c r="AF184" s="529"/>
      <c r="AG184" s="529"/>
    </row>
    <row r="185" spans="1:33" s="527" customFormat="1" ht="23.25">
      <c r="A185" s="845" t="s">
        <v>373</v>
      </c>
      <c r="B185" s="842"/>
      <c r="C185" s="842"/>
      <c r="D185" s="842"/>
      <c r="E185" s="842"/>
      <c r="F185" s="842"/>
      <c r="G185" s="842"/>
      <c r="H185" s="842"/>
      <c r="I185" s="842"/>
      <c r="J185" s="843"/>
      <c r="K185" s="502"/>
      <c r="L185" s="843"/>
      <c r="M185" s="843">
        <v>0</v>
      </c>
      <c r="N185" s="842">
        <f t="shared" si="19"/>
        <v>0</v>
      </c>
      <c r="O185" s="495"/>
      <c r="P185" s="530"/>
      <c r="Q185" s="530"/>
      <c r="AF185" s="529"/>
      <c r="AG185" s="529"/>
    </row>
    <row r="186" spans="1:33" s="527" customFormat="1" ht="23.25">
      <c r="A186" s="845" t="s">
        <v>379</v>
      </c>
      <c r="B186" s="842"/>
      <c r="C186" s="842"/>
      <c r="D186" s="842"/>
      <c r="E186" s="842"/>
      <c r="F186" s="842"/>
      <c r="G186" s="842"/>
      <c r="H186" s="842"/>
      <c r="I186" s="842"/>
      <c r="J186" s="843"/>
      <c r="K186" s="502"/>
      <c r="L186" s="843"/>
      <c r="M186" s="843">
        <v>0</v>
      </c>
      <c r="N186" s="842">
        <f t="shared" si="19"/>
        <v>0</v>
      </c>
      <c r="O186" s="495"/>
      <c r="P186" s="530"/>
      <c r="Q186" s="530"/>
      <c r="AF186" s="529"/>
      <c r="AG186" s="529"/>
    </row>
    <row r="187" spans="1:33" s="527" customFormat="1" ht="22.5">
      <c r="A187" s="843" t="s">
        <v>381</v>
      </c>
      <c r="B187" s="842"/>
      <c r="C187" s="842"/>
      <c r="D187" s="842"/>
      <c r="E187" s="842"/>
      <c r="F187" s="842"/>
      <c r="G187" s="842"/>
      <c r="H187" s="842"/>
      <c r="I187" s="842"/>
      <c r="J187" s="843"/>
      <c r="K187" s="501"/>
      <c r="L187" s="843"/>
      <c r="M187" s="843">
        <v>0</v>
      </c>
      <c r="N187" s="842">
        <f t="shared" si="19"/>
        <v>0</v>
      </c>
      <c r="O187" s="495"/>
      <c r="P187" s="530"/>
      <c r="Q187" s="530"/>
      <c r="AF187" s="529"/>
      <c r="AG187" s="529"/>
    </row>
    <row r="188" spans="1:33" s="527" customFormat="1">
      <c r="A188" s="841" t="s">
        <v>382</v>
      </c>
      <c r="B188" s="842"/>
      <c r="C188" s="842"/>
      <c r="D188" s="842"/>
      <c r="E188" s="842"/>
      <c r="F188" s="842"/>
      <c r="G188" s="842"/>
      <c r="H188" s="842"/>
      <c r="I188" s="842"/>
      <c r="J188" s="843"/>
      <c r="K188" s="502"/>
      <c r="L188" s="843"/>
      <c r="M188" s="843">
        <v>0</v>
      </c>
      <c r="N188" s="842">
        <f t="shared" si="19"/>
        <v>0</v>
      </c>
      <c r="O188" s="495"/>
      <c r="P188" s="530"/>
      <c r="Q188" s="530"/>
      <c r="AF188" s="529"/>
      <c r="AG188" s="529"/>
    </row>
    <row r="189" spans="1:33" s="527" customFormat="1">
      <c r="A189" s="841" t="s">
        <v>247</v>
      </c>
      <c r="B189" s="842"/>
      <c r="C189" s="842"/>
      <c r="D189" s="842"/>
      <c r="E189" s="842"/>
      <c r="F189" s="842"/>
      <c r="G189" s="842"/>
      <c r="H189" s="842"/>
      <c r="I189" s="842"/>
      <c r="J189" s="843"/>
      <c r="K189" s="502"/>
      <c r="L189" s="843"/>
      <c r="M189" s="843">
        <v>0</v>
      </c>
      <c r="N189" s="842">
        <f t="shared" si="19"/>
        <v>0</v>
      </c>
      <c r="O189" s="495"/>
      <c r="P189" s="530"/>
      <c r="Q189" s="530"/>
      <c r="AF189" s="529"/>
      <c r="AG189" s="529"/>
    </row>
    <row r="190" spans="1:33" s="527" customFormat="1">
      <c r="A190" s="841" t="s">
        <v>250</v>
      </c>
      <c r="B190" s="842"/>
      <c r="C190" s="842"/>
      <c r="D190" s="842"/>
      <c r="E190" s="842"/>
      <c r="F190" s="842"/>
      <c r="G190" s="842"/>
      <c r="H190" s="842"/>
      <c r="I190" s="842"/>
      <c r="J190" s="843"/>
      <c r="K190" s="502"/>
      <c r="L190" s="843"/>
      <c r="M190" s="843">
        <v>0</v>
      </c>
      <c r="N190" s="842">
        <f t="shared" si="19"/>
        <v>0</v>
      </c>
      <c r="O190" s="495"/>
      <c r="P190" s="530"/>
      <c r="Q190" s="530"/>
      <c r="AF190" s="529"/>
      <c r="AG190" s="529"/>
    </row>
    <row r="191" spans="1:33" s="527" customFormat="1">
      <c r="A191" s="841" t="s">
        <v>254</v>
      </c>
      <c r="B191" s="842"/>
      <c r="C191" s="842"/>
      <c r="D191" s="842"/>
      <c r="E191" s="842"/>
      <c r="F191" s="842"/>
      <c r="G191" s="842"/>
      <c r="H191" s="842"/>
      <c r="I191" s="842"/>
      <c r="J191" s="843"/>
      <c r="K191" s="502"/>
      <c r="L191" s="843"/>
      <c r="M191" s="843">
        <v>0</v>
      </c>
      <c r="N191" s="842">
        <f t="shared" si="19"/>
        <v>0</v>
      </c>
      <c r="O191" s="495"/>
      <c r="P191" s="530"/>
      <c r="Q191" s="530"/>
      <c r="AF191" s="529"/>
      <c r="AG191" s="529"/>
    </row>
    <row r="192" spans="1:33" s="527" customFormat="1">
      <c r="A192" s="841" t="s">
        <v>256</v>
      </c>
      <c r="B192" s="842"/>
      <c r="C192" s="842"/>
      <c r="D192" s="842"/>
      <c r="E192" s="842"/>
      <c r="F192" s="842"/>
      <c r="G192" s="842"/>
      <c r="H192" s="842"/>
      <c r="I192" s="842"/>
      <c r="J192" s="843"/>
      <c r="K192" s="502"/>
      <c r="L192" s="843"/>
      <c r="M192" s="843">
        <v>0</v>
      </c>
      <c r="N192" s="842">
        <f t="shared" si="19"/>
        <v>0</v>
      </c>
      <c r="O192" s="495"/>
      <c r="P192" s="530"/>
      <c r="Q192" s="530"/>
      <c r="AF192" s="529"/>
      <c r="AG192" s="529"/>
    </row>
    <row r="193" spans="1:33" s="527" customFormat="1">
      <c r="A193" s="841" t="s">
        <v>263</v>
      </c>
      <c r="B193" s="842"/>
      <c r="C193" s="842"/>
      <c r="D193" s="842"/>
      <c r="E193" s="842"/>
      <c r="F193" s="842"/>
      <c r="G193" s="842"/>
      <c r="H193" s="842"/>
      <c r="I193" s="842"/>
      <c r="J193" s="843"/>
      <c r="K193" s="502"/>
      <c r="L193" s="843"/>
      <c r="M193" s="843">
        <v>0</v>
      </c>
      <c r="N193" s="842">
        <f t="shared" si="19"/>
        <v>0</v>
      </c>
      <c r="O193" s="495"/>
      <c r="P193" s="530"/>
      <c r="Q193" s="530"/>
      <c r="AF193" s="529"/>
      <c r="AG193" s="529"/>
    </row>
    <row r="194" spans="1:33" s="527" customFormat="1">
      <c r="A194" s="841" t="s">
        <v>264</v>
      </c>
      <c r="B194" s="842"/>
      <c r="C194" s="842"/>
      <c r="D194" s="842"/>
      <c r="E194" s="842"/>
      <c r="F194" s="842"/>
      <c r="G194" s="842"/>
      <c r="H194" s="842"/>
      <c r="I194" s="842"/>
      <c r="J194" s="843"/>
      <c r="K194" s="502"/>
      <c r="L194" s="843"/>
      <c r="M194" s="843">
        <v>0</v>
      </c>
      <c r="N194" s="842">
        <f t="shared" si="19"/>
        <v>0</v>
      </c>
      <c r="O194" s="495"/>
      <c r="P194" s="530"/>
      <c r="Q194" s="530"/>
      <c r="AF194" s="529"/>
      <c r="AG194" s="529"/>
    </row>
    <row r="195" spans="1:33" s="527" customFormat="1">
      <c r="A195" s="841" t="s">
        <v>272</v>
      </c>
      <c r="B195" s="842"/>
      <c r="C195" s="842"/>
      <c r="D195" s="842"/>
      <c r="E195" s="842"/>
      <c r="F195" s="842"/>
      <c r="G195" s="842"/>
      <c r="H195" s="842"/>
      <c r="I195" s="842"/>
      <c r="J195" s="843"/>
      <c r="K195" s="502"/>
      <c r="L195" s="843"/>
      <c r="M195" s="843">
        <v>0</v>
      </c>
      <c r="N195" s="842">
        <f t="shared" si="19"/>
        <v>0</v>
      </c>
      <c r="O195" s="495"/>
      <c r="P195" s="530"/>
      <c r="Q195" s="530"/>
      <c r="AF195" s="529"/>
      <c r="AG195" s="529"/>
    </row>
    <row r="196" spans="1:33" s="527" customFormat="1" ht="23.25">
      <c r="A196" s="841" t="s">
        <v>274</v>
      </c>
      <c r="B196" s="842"/>
      <c r="C196" s="842"/>
      <c r="D196" s="842"/>
      <c r="E196" s="842"/>
      <c r="F196" s="842"/>
      <c r="G196" s="842"/>
      <c r="H196" s="842"/>
      <c r="I196" s="842"/>
      <c r="J196" s="843"/>
      <c r="K196" s="502"/>
      <c r="L196" s="843"/>
      <c r="M196" s="843">
        <v>0</v>
      </c>
      <c r="N196" s="842">
        <f t="shared" si="19"/>
        <v>0</v>
      </c>
      <c r="O196" s="495"/>
      <c r="P196" s="530"/>
      <c r="Q196" s="530"/>
      <c r="AF196" s="529"/>
      <c r="AG196" s="529"/>
    </row>
    <row r="197" spans="1:33" s="527" customFormat="1">
      <c r="A197" s="836"/>
      <c r="B197" s="836"/>
      <c r="C197" s="495"/>
      <c r="D197" s="495"/>
      <c r="E197" s="836"/>
      <c r="F197" s="840"/>
      <c r="G197" s="840"/>
      <c r="H197" s="840"/>
      <c r="I197" s="848"/>
      <c r="J197" s="840"/>
      <c r="K197" s="840"/>
      <c r="L197" s="840"/>
      <c r="M197" s="849"/>
      <c r="N197" s="839"/>
      <c r="O197" s="495"/>
      <c r="P197" s="530"/>
      <c r="Q197" s="530"/>
      <c r="AF197" s="529"/>
      <c r="AG197" s="529"/>
    </row>
    <row r="198" spans="1:33" s="527" customFormat="1">
      <c r="A198" s="836"/>
      <c r="B198" s="836"/>
      <c r="C198" s="495"/>
      <c r="D198" s="495"/>
      <c r="E198" s="836"/>
      <c r="F198" s="840"/>
      <c r="G198" s="840"/>
      <c r="H198" s="840"/>
      <c r="I198" s="848"/>
      <c r="J198" s="840"/>
      <c r="K198" s="840"/>
      <c r="L198" s="840"/>
      <c r="M198" s="849"/>
      <c r="N198" s="839"/>
      <c r="O198" s="495"/>
      <c r="P198" s="530"/>
      <c r="Q198" s="530"/>
      <c r="AF198" s="529"/>
      <c r="AG198" s="529"/>
    </row>
    <row r="199" spans="1:33" s="527" customFormat="1">
      <c r="A199" s="836"/>
      <c r="B199" s="836"/>
      <c r="C199" s="495"/>
      <c r="D199" s="495"/>
      <c r="E199" s="836"/>
      <c r="F199" s="840"/>
      <c r="G199" s="840"/>
      <c r="H199" s="840"/>
      <c r="I199" s="848"/>
      <c r="J199" s="840"/>
      <c r="K199" s="840"/>
      <c r="L199" s="840"/>
      <c r="M199" s="849"/>
      <c r="N199" s="839"/>
      <c r="O199" s="495"/>
      <c r="P199" s="530"/>
      <c r="Q199" s="530"/>
      <c r="AF199" s="529"/>
      <c r="AG199" s="529"/>
    </row>
    <row r="200" spans="1:33" s="527" customFormat="1">
      <c r="A200" s="836"/>
      <c r="B200" s="836"/>
      <c r="C200" s="495"/>
      <c r="D200" s="495"/>
      <c r="E200" s="836"/>
      <c r="F200" s="840"/>
      <c r="G200" s="840"/>
      <c r="H200" s="840"/>
      <c r="I200" s="848"/>
      <c r="J200" s="840"/>
      <c r="K200" s="840"/>
      <c r="L200" s="840"/>
      <c r="M200" s="849"/>
      <c r="N200" s="839"/>
      <c r="O200" s="495"/>
      <c r="P200" s="530"/>
      <c r="Q200" s="530"/>
      <c r="AF200" s="529"/>
      <c r="AG200" s="529"/>
    </row>
    <row r="201" spans="1:33" s="527" customFormat="1">
      <c r="A201" s="836"/>
      <c r="B201" s="836"/>
      <c r="C201" s="495"/>
      <c r="D201" s="495"/>
      <c r="E201" s="836"/>
      <c r="F201" s="840"/>
      <c r="G201" s="840"/>
      <c r="H201" s="840"/>
      <c r="I201" s="848"/>
      <c r="J201" s="840"/>
      <c r="K201" s="840"/>
      <c r="L201" s="840"/>
      <c r="M201" s="849"/>
      <c r="N201" s="839"/>
      <c r="O201" s="495"/>
      <c r="P201" s="530"/>
      <c r="Q201" s="530"/>
      <c r="AF201" s="529"/>
      <c r="AG201" s="529"/>
    </row>
    <row r="202" spans="1:33" s="527" customFormat="1">
      <c r="A202" s="836"/>
      <c r="B202" s="836"/>
      <c r="C202" s="495"/>
      <c r="D202" s="495"/>
      <c r="E202" s="836"/>
      <c r="F202" s="840"/>
      <c r="G202" s="840"/>
      <c r="H202" s="840"/>
      <c r="I202" s="848"/>
      <c r="J202" s="840"/>
      <c r="K202" s="840"/>
      <c r="L202" s="840"/>
      <c r="M202" s="849"/>
      <c r="N202" s="839"/>
      <c r="O202" s="495"/>
      <c r="P202" s="530"/>
      <c r="Q202" s="530"/>
      <c r="AF202" s="529"/>
      <c r="AG202" s="529"/>
    </row>
    <row r="203" spans="1:33" s="527" customFormat="1">
      <c r="A203" s="836"/>
      <c r="B203" s="836"/>
      <c r="C203" s="495"/>
      <c r="D203" s="495"/>
      <c r="E203" s="836"/>
      <c r="F203" s="840"/>
      <c r="G203" s="840"/>
      <c r="H203" s="840"/>
      <c r="I203" s="848"/>
      <c r="J203" s="840"/>
      <c r="K203" s="840"/>
      <c r="L203" s="840"/>
      <c r="M203" s="849"/>
      <c r="N203" s="839"/>
      <c r="O203" s="495"/>
      <c r="P203" s="530"/>
      <c r="Q203" s="530"/>
      <c r="AF203" s="529"/>
      <c r="AG203" s="529"/>
    </row>
    <row r="204" spans="1:33" s="527" customFormat="1">
      <c r="A204" s="836"/>
      <c r="B204" s="836"/>
      <c r="C204" s="495"/>
      <c r="D204" s="495"/>
      <c r="E204" s="836"/>
      <c r="F204" s="840"/>
      <c r="G204" s="840"/>
      <c r="H204" s="840"/>
      <c r="I204" s="848"/>
      <c r="J204" s="840"/>
      <c r="K204" s="840"/>
      <c r="L204" s="840"/>
      <c r="M204" s="849"/>
      <c r="N204" s="839"/>
      <c r="O204" s="495"/>
      <c r="P204" s="530"/>
      <c r="Q204" s="530"/>
      <c r="AF204" s="529"/>
      <c r="AG204" s="529"/>
    </row>
    <row r="205" spans="1:33" s="527" customFormat="1">
      <c r="A205" s="836"/>
      <c r="B205" s="836"/>
      <c r="C205" s="495"/>
      <c r="D205" s="495"/>
      <c r="E205" s="836"/>
      <c r="F205" s="840"/>
      <c r="G205" s="840"/>
      <c r="H205" s="840"/>
      <c r="I205" s="848"/>
      <c r="J205" s="840"/>
      <c r="K205" s="840"/>
      <c r="L205" s="840"/>
      <c r="M205" s="849"/>
      <c r="N205" s="839"/>
      <c r="O205" s="495"/>
      <c r="P205" s="530"/>
      <c r="Q205" s="530"/>
      <c r="AF205" s="529"/>
      <c r="AG205" s="529"/>
    </row>
    <row r="206" spans="1:33" s="527" customFormat="1">
      <c r="A206" s="836"/>
      <c r="B206" s="836"/>
      <c r="C206" s="495"/>
      <c r="D206" s="495"/>
      <c r="E206" s="836"/>
      <c r="F206" s="840"/>
      <c r="G206" s="840"/>
      <c r="H206" s="840"/>
      <c r="I206" s="848"/>
      <c r="J206" s="840"/>
      <c r="K206" s="840"/>
      <c r="L206" s="840"/>
      <c r="M206" s="849"/>
      <c r="N206" s="839"/>
      <c r="O206" s="495"/>
      <c r="P206" s="530"/>
      <c r="Q206" s="530"/>
      <c r="AF206" s="529"/>
      <c r="AG206" s="529"/>
    </row>
    <row r="207" spans="1:33" s="527" customFormat="1">
      <c r="A207" s="836"/>
      <c r="B207" s="836"/>
      <c r="C207" s="495"/>
      <c r="D207" s="495"/>
      <c r="E207" s="836"/>
      <c r="F207" s="840"/>
      <c r="G207" s="840"/>
      <c r="H207" s="840"/>
      <c r="I207" s="848"/>
      <c r="J207" s="840"/>
      <c r="K207" s="840"/>
      <c r="L207" s="840"/>
      <c r="M207" s="849"/>
      <c r="N207" s="839"/>
      <c r="O207" s="495"/>
      <c r="P207" s="530"/>
      <c r="Q207" s="530"/>
      <c r="AF207" s="529"/>
      <c r="AG207" s="529"/>
    </row>
    <row r="208" spans="1:33" s="527" customFormat="1">
      <c r="A208" s="836"/>
      <c r="B208" s="836"/>
      <c r="C208" s="495"/>
      <c r="D208" s="495"/>
      <c r="E208" s="836"/>
      <c r="F208" s="840"/>
      <c r="G208" s="840"/>
      <c r="H208" s="840"/>
      <c r="I208" s="848"/>
      <c r="J208" s="840"/>
      <c r="K208" s="840"/>
      <c r="L208" s="840"/>
      <c r="M208" s="849"/>
      <c r="N208" s="839"/>
      <c r="O208" s="495"/>
      <c r="P208" s="530"/>
      <c r="Q208" s="530"/>
      <c r="AF208" s="529"/>
      <c r="AG208" s="529"/>
    </row>
    <row r="209" spans="1:33" s="527" customFormat="1">
      <c r="A209" s="836"/>
      <c r="B209" s="836"/>
      <c r="C209" s="495"/>
      <c r="D209" s="495"/>
      <c r="E209" s="836"/>
      <c r="F209" s="840"/>
      <c r="G209" s="840"/>
      <c r="H209" s="840"/>
      <c r="I209" s="848"/>
      <c r="J209" s="840"/>
      <c r="K209" s="840"/>
      <c r="L209" s="840"/>
      <c r="M209" s="849"/>
      <c r="N209" s="839"/>
      <c r="O209" s="495"/>
      <c r="P209" s="530"/>
      <c r="Q209" s="530"/>
      <c r="AF209" s="529"/>
      <c r="AG209" s="529"/>
    </row>
    <row r="210" spans="1:33" s="527" customFormat="1">
      <c r="A210" s="836"/>
      <c r="B210" s="836"/>
      <c r="C210" s="495"/>
      <c r="D210" s="495"/>
      <c r="E210" s="836"/>
      <c r="F210" s="840"/>
      <c r="G210" s="840"/>
      <c r="H210" s="840"/>
      <c r="I210" s="848"/>
      <c r="J210" s="840"/>
      <c r="K210" s="840"/>
      <c r="L210" s="840"/>
      <c r="M210" s="849"/>
      <c r="N210" s="839"/>
      <c r="O210" s="495"/>
      <c r="P210" s="530"/>
      <c r="Q210" s="530"/>
      <c r="AF210" s="529"/>
      <c r="AG210" s="529"/>
    </row>
    <row r="211" spans="1:33" s="516" customFormat="1">
      <c r="A211" s="850"/>
      <c r="B211" s="850"/>
      <c r="C211" s="851"/>
      <c r="D211" s="851"/>
      <c r="E211" s="850"/>
      <c r="F211" s="852"/>
      <c r="G211" s="852"/>
      <c r="H211" s="852"/>
      <c r="I211" s="853"/>
      <c r="J211" s="852"/>
      <c r="K211" s="840"/>
      <c r="L211" s="852"/>
      <c r="M211" s="854"/>
      <c r="N211" s="855"/>
      <c r="O211" s="851"/>
      <c r="P211" s="533"/>
      <c r="Q211" s="533"/>
      <c r="R211" s="532"/>
      <c r="S211" s="532"/>
      <c r="T211" s="532"/>
      <c r="U211" s="532"/>
      <c r="AF211" s="522"/>
      <c r="AG211" s="522"/>
    </row>
    <row r="212" spans="1:33" s="516" customFormat="1">
      <c r="A212" s="850"/>
      <c r="B212" s="850"/>
      <c r="C212" s="851"/>
      <c r="D212" s="851"/>
      <c r="E212" s="850"/>
      <c r="F212" s="852"/>
      <c r="G212" s="852"/>
      <c r="H212" s="852"/>
      <c r="I212" s="853"/>
      <c r="J212" s="852"/>
      <c r="K212" s="840"/>
      <c r="L212" s="852"/>
      <c r="M212" s="854"/>
      <c r="N212" s="855"/>
      <c r="O212" s="851"/>
      <c r="P212" s="533"/>
      <c r="Q212" s="533"/>
      <c r="R212" s="532"/>
      <c r="S212" s="532"/>
      <c r="T212" s="532"/>
      <c r="U212" s="532"/>
      <c r="AF212" s="522"/>
      <c r="AG212" s="522"/>
    </row>
    <row r="213" spans="1:33" s="516" customFormat="1">
      <c r="A213" s="850"/>
      <c r="B213" s="850"/>
      <c r="C213" s="851"/>
      <c r="D213" s="851"/>
      <c r="E213" s="850"/>
      <c r="F213" s="852"/>
      <c r="G213" s="852"/>
      <c r="H213" s="852"/>
      <c r="I213" s="853"/>
      <c r="J213" s="852"/>
      <c r="K213" s="840"/>
      <c r="L213" s="852"/>
      <c r="M213" s="854"/>
      <c r="N213" s="855"/>
      <c r="O213" s="851"/>
      <c r="P213" s="533"/>
      <c r="Q213" s="533"/>
      <c r="R213" s="532"/>
      <c r="S213" s="532"/>
      <c r="T213" s="532"/>
      <c r="U213" s="532"/>
      <c r="AF213" s="522"/>
      <c r="AG213" s="522"/>
    </row>
    <row r="214" spans="1:33" s="516" customFormat="1">
      <c r="A214" s="850"/>
      <c r="B214" s="850"/>
      <c r="C214" s="851"/>
      <c r="D214" s="851"/>
      <c r="E214" s="850"/>
      <c r="F214" s="852"/>
      <c r="G214" s="852"/>
      <c r="H214" s="852"/>
      <c r="I214" s="853"/>
      <c r="J214" s="852"/>
      <c r="K214" s="840"/>
      <c r="L214" s="852"/>
      <c r="M214" s="854"/>
      <c r="N214" s="855"/>
      <c r="O214" s="851"/>
      <c r="P214" s="533"/>
      <c r="Q214" s="533"/>
      <c r="R214" s="532"/>
      <c r="S214" s="532"/>
      <c r="T214" s="532"/>
      <c r="U214" s="532"/>
      <c r="AF214" s="522"/>
      <c r="AG214" s="522"/>
    </row>
    <row r="215" spans="1:33" s="516" customFormat="1">
      <c r="A215" s="850"/>
      <c r="B215" s="850"/>
      <c r="C215" s="851"/>
      <c r="D215" s="851"/>
      <c r="E215" s="850"/>
      <c r="F215" s="852"/>
      <c r="G215" s="852"/>
      <c r="H215" s="852"/>
      <c r="I215" s="853"/>
      <c r="J215" s="852"/>
      <c r="K215" s="840"/>
      <c r="L215" s="852"/>
      <c r="M215" s="854"/>
      <c r="N215" s="855"/>
      <c r="O215" s="851"/>
      <c r="P215" s="533"/>
      <c r="Q215" s="533"/>
      <c r="R215" s="532"/>
      <c r="S215" s="532"/>
      <c r="T215" s="532"/>
      <c r="U215" s="532"/>
      <c r="AF215" s="522"/>
      <c r="AG215" s="522"/>
    </row>
    <row r="216" spans="1:33" s="516" customFormat="1">
      <c r="A216" s="850"/>
      <c r="B216" s="850"/>
      <c r="C216" s="851"/>
      <c r="D216" s="851"/>
      <c r="E216" s="850"/>
      <c r="F216" s="852"/>
      <c r="G216" s="852"/>
      <c r="H216" s="852"/>
      <c r="I216" s="853"/>
      <c r="J216" s="852"/>
      <c r="K216" s="840"/>
      <c r="L216" s="852"/>
      <c r="M216" s="854"/>
      <c r="N216" s="855"/>
      <c r="O216" s="851"/>
      <c r="P216" s="533"/>
      <c r="Q216" s="533"/>
      <c r="R216" s="532"/>
      <c r="S216" s="532"/>
      <c r="T216" s="532"/>
      <c r="U216" s="532"/>
      <c r="AF216" s="522"/>
      <c r="AG216" s="522"/>
    </row>
    <row r="217" spans="1:33" s="516" customFormat="1">
      <c r="A217" s="850"/>
      <c r="B217" s="850"/>
      <c r="C217" s="851"/>
      <c r="D217" s="851"/>
      <c r="E217" s="850"/>
      <c r="F217" s="852"/>
      <c r="G217" s="852"/>
      <c r="H217" s="852"/>
      <c r="I217" s="853"/>
      <c r="J217" s="852"/>
      <c r="K217" s="840"/>
      <c r="L217" s="852"/>
      <c r="M217" s="854"/>
      <c r="N217" s="855"/>
      <c r="O217" s="851"/>
      <c r="P217" s="533"/>
      <c r="Q217" s="533"/>
      <c r="R217" s="532"/>
      <c r="S217" s="532"/>
      <c r="T217" s="532"/>
      <c r="U217" s="532"/>
      <c r="AF217" s="522"/>
      <c r="AG217" s="522"/>
    </row>
    <row r="218" spans="1:33" s="516" customFormat="1">
      <c r="A218" s="850"/>
      <c r="B218" s="850"/>
      <c r="C218" s="851"/>
      <c r="D218" s="851"/>
      <c r="E218" s="850"/>
      <c r="F218" s="852"/>
      <c r="G218" s="852"/>
      <c r="H218" s="852"/>
      <c r="I218" s="853"/>
      <c r="J218" s="852"/>
      <c r="K218" s="840"/>
      <c r="L218" s="852"/>
      <c r="M218" s="854"/>
      <c r="N218" s="855"/>
      <c r="O218" s="851"/>
      <c r="P218" s="533"/>
      <c r="Q218" s="533"/>
      <c r="R218" s="532"/>
      <c r="S218" s="532"/>
      <c r="T218" s="532"/>
      <c r="U218" s="532"/>
      <c r="AF218" s="522"/>
      <c r="AG218" s="522"/>
    </row>
    <row r="219" spans="1:33" s="516" customFormat="1">
      <c r="A219" s="850"/>
      <c r="B219" s="850"/>
      <c r="C219" s="851"/>
      <c r="D219" s="851"/>
      <c r="E219" s="850"/>
      <c r="F219" s="852"/>
      <c r="G219" s="852"/>
      <c r="H219" s="852"/>
      <c r="I219" s="853"/>
      <c r="J219" s="852"/>
      <c r="K219" s="852"/>
      <c r="L219" s="852"/>
      <c r="M219" s="854"/>
      <c r="N219" s="855"/>
      <c r="O219" s="851"/>
      <c r="P219" s="533"/>
      <c r="Q219" s="533"/>
      <c r="R219" s="532"/>
      <c r="S219" s="532"/>
      <c r="T219" s="532"/>
      <c r="U219" s="532"/>
      <c r="AF219" s="522"/>
      <c r="AG219" s="522"/>
    </row>
    <row r="220" spans="1:33" s="516" customFormat="1">
      <c r="A220" s="850"/>
      <c r="B220" s="850"/>
      <c r="C220" s="851"/>
      <c r="D220" s="851"/>
      <c r="E220" s="850"/>
      <c r="F220" s="852"/>
      <c r="G220" s="852"/>
      <c r="H220" s="852"/>
      <c r="I220" s="853"/>
      <c r="J220" s="852"/>
      <c r="K220" s="852"/>
      <c r="L220" s="852"/>
      <c r="M220" s="854"/>
      <c r="N220" s="855"/>
      <c r="O220" s="851"/>
      <c r="P220" s="533"/>
      <c r="Q220" s="533"/>
      <c r="R220" s="532"/>
      <c r="S220" s="532"/>
      <c r="T220" s="532"/>
      <c r="U220" s="532"/>
      <c r="AF220" s="522"/>
      <c r="AG220" s="522"/>
    </row>
    <row r="221" spans="1:33" s="516" customFormat="1">
      <c r="A221" s="449"/>
      <c r="B221" s="449"/>
      <c r="C221" s="856"/>
      <c r="D221" s="856"/>
      <c r="E221" s="449"/>
      <c r="F221" s="452"/>
      <c r="G221" s="452"/>
      <c r="H221" s="452"/>
      <c r="I221" s="732"/>
      <c r="J221" s="452"/>
      <c r="K221" s="452"/>
      <c r="L221" s="452"/>
      <c r="M221" s="857"/>
      <c r="N221" s="858"/>
      <c r="O221" s="856"/>
      <c r="P221" s="521"/>
      <c r="Q221" s="521"/>
      <c r="AF221" s="522"/>
      <c r="AG221" s="522"/>
    </row>
    <row r="222" spans="1:33" s="516" customFormat="1">
      <c r="A222" s="449"/>
      <c r="B222" s="449"/>
      <c r="C222" s="856"/>
      <c r="D222" s="856"/>
      <c r="E222" s="449"/>
      <c r="F222" s="452"/>
      <c r="G222" s="452"/>
      <c r="H222" s="452"/>
      <c r="I222" s="732"/>
      <c r="J222" s="452"/>
      <c r="K222" s="452"/>
      <c r="L222" s="452"/>
      <c r="M222" s="857"/>
      <c r="N222" s="858"/>
      <c r="O222" s="856"/>
      <c r="P222" s="521"/>
      <c r="Q222" s="521"/>
      <c r="AF222" s="522"/>
      <c r="AG222" s="522"/>
    </row>
    <row r="223" spans="1:33" s="516" customFormat="1">
      <c r="A223" s="449"/>
      <c r="B223" s="449"/>
      <c r="C223" s="856"/>
      <c r="D223" s="856"/>
      <c r="E223" s="449"/>
      <c r="F223" s="452"/>
      <c r="G223" s="452"/>
      <c r="H223" s="452"/>
      <c r="I223" s="732"/>
      <c r="J223" s="452"/>
      <c r="K223" s="452"/>
      <c r="L223" s="452"/>
      <c r="M223" s="857"/>
      <c r="N223" s="858"/>
      <c r="O223" s="856"/>
      <c r="P223" s="521"/>
      <c r="Q223" s="521"/>
      <c r="AF223" s="522"/>
      <c r="AG223" s="522"/>
    </row>
    <row r="224" spans="1:33" s="516" customFormat="1">
      <c r="A224" s="449"/>
      <c r="B224" s="449"/>
      <c r="C224" s="856"/>
      <c r="D224" s="856"/>
      <c r="E224" s="449"/>
      <c r="F224" s="452"/>
      <c r="G224" s="452"/>
      <c r="H224" s="452"/>
      <c r="I224" s="732"/>
      <c r="J224" s="452"/>
      <c r="K224" s="452"/>
      <c r="L224" s="452"/>
      <c r="M224" s="857"/>
      <c r="N224" s="858"/>
      <c r="O224" s="856"/>
      <c r="P224" s="521"/>
      <c r="Q224" s="521"/>
      <c r="AF224" s="522"/>
      <c r="AG224" s="522"/>
    </row>
    <row r="225" spans="1:33" s="516" customFormat="1">
      <c r="A225" s="449"/>
      <c r="B225" s="449"/>
      <c r="C225" s="856"/>
      <c r="D225" s="856"/>
      <c r="E225" s="449"/>
      <c r="F225" s="452"/>
      <c r="G225" s="452"/>
      <c r="H225" s="452"/>
      <c r="I225" s="732"/>
      <c r="J225" s="452"/>
      <c r="K225" s="452"/>
      <c r="L225" s="452"/>
      <c r="M225" s="857"/>
      <c r="N225" s="858"/>
      <c r="O225" s="856"/>
      <c r="P225" s="521"/>
      <c r="Q225" s="521"/>
      <c r="AF225" s="522"/>
      <c r="AG225" s="522"/>
    </row>
    <row r="226" spans="1:33" s="516" customFormat="1">
      <c r="A226" s="449"/>
      <c r="B226" s="449"/>
      <c r="C226" s="856"/>
      <c r="D226" s="856"/>
      <c r="E226" s="449"/>
      <c r="F226" s="452"/>
      <c r="G226" s="452"/>
      <c r="H226" s="452"/>
      <c r="I226" s="732"/>
      <c r="J226" s="452"/>
      <c r="K226" s="452"/>
      <c r="L226" s="452"/>
      <c r="M226" s="857"/>
      <c r="N226" s="858"/>
      <c r="O226" s="856"/>
      <c r="P226" s="521"/>
      <c r="Q226" s="521"/>
      <c r="AF226" s="522"/>
      <c r="AG226" s="522"/>
    </row>
    <row r="227" spans="1:33" s="516" customFormat="1">
      <c r="A227" s="449"/>
      <c r="B227" s="449"/>
      <c r="C227" s="856"/>
      <c r="D227" s="856"/>
      <c r="E227" s="449"/>
      <c r="F227" s="452"/>
      <c r="G227" s="452"/>
      <c r="H227" s="452"/>
      <c r="I227" s="732"/>
      <c r="J227" s="452"/>
      <c r="K227" s="452"/>
      <c r="L227" s="452"/>
      <c r="M227" s="857"/>
      <c r="N227" s="858"/>
      <c r="O227" s="856"/>
      <c r="P227" s="521"/>
      <c r="Q227" s="521"/>
      <c r="AF227" s="522"/>
      <c r="AG227" s="522"/>
    </row>
    <row r="228" spans="1:33" s="516" customFormat="1">
      <c r="A228" s="449"/>
      <c r="B228" s="449"/>
      <c r="C228" s="856"/>
      <c r="D228" s="856"/>
      <c r="E228" s="449"/>
      <c r="F228" s="452"/>
      <c r="G228" s="452"/>
      <c r="H228" s="452"/>
      <c r="I228" s="732"/>
      <c r="J228" s="452"/>
      <c r="K228" s="452"/>
      <c r="L228" s="452"/>
      <c r="M228" s="857"/>
      <c r="N228" s="858"/>
      <c r="O228" s="856"/>
      <c r="P228" s="521"/>
      <c r="Q228" s="521"/>
      <c r="AF228" s="522"/>
      <c r="AG228" s="522"/>
    </row>
    <row r="229" spans="1:33" s="516" customFormat="1">
      <c r="C229" s="521"/>
      <c r="D229" s="521"/>
      <c r="F229" s="522"/>
      <c r="G229" s="522"/>
      <c r="H229" s="522"/>
      <c r="I229" s="523"/>
      <c r="J229" s="522"/>
      <c r="K229" s="522"/>
      <c r="L229" s="522"/>
      <c r="M229" s="524"/>
      <c r="N229" s="525"/>
      <c r="O229" s="521"/>
      <c r="P229" s="521"/>
      <c r="Q229" s="521"/>
      <c r="AF229" s="522"/>
      <c r="AG229" s="522"/>
    </row>
    <row r="230" spans="1:33" s="516" customFormat="1">
      <c r="C230" s="521"/>
      <c r="D230" s="521"/>
      <c r="F230" s="522"/>
      <c r="G230" s="522"/>
      <c r="H230" s="522"/>
      <c r="I230" s="523"/>
      <c r="J230" s="522"/>
      <c r="K230" s="522"/>
      <c r="L230" s="522"/>
      <c r="M230" s="524"/>
      <c r="N230" s="525"/>
      <c r="O230" s="521"/>
      <c r="P230" s="521"/>
      <c r="Q230" s="521"/>
      <c r="AF230" s="522"/>
      <c r="AG230" s="522"/>
    </row>
    <row r="231" spans="1:33" s="516" customFormat="1">
      <c r="C231" s="521"/>
      <c r="D231" s="521"/>
      <c r="F231" s="522"/>
      <c r="G231" s="522"/>
      <c r="H231" s="522"/>
      <c r="I231" s="523"/>
      <c r="J231" s="522"/>
      <c r="K231" s="522"/>
      <c r="L231" s="522"/>
      <c r="M231" s="524"/>
      <c r="N231" s="525"/>
      <c r="O231" s="521"/>
      <c r="P231" s="521"/>
      <c r="Q231" s="521"/>
      <c r="AF231" s="522"/>
      <c r="AG231" s="522"/>
    </row>
    <row r="232" spans="1:33" s="516" customFormat="1">
      <c r="C232" s="521"/>
      <c r="D232" s="521"/>
      <c r="F232" s="522"/>
      <c r="G232" s="522"/>
      <c r="H232" s="522"/>
      <c r="I232" s="523"/>
      <c r="J232" s="522"/>
      <c r="K232" s="522"/>
      <c r="L232" s="522"/>
      <c r="M232" s="524"/>
      <c r="N232" s="525"/>
      <c r="O232" s="521"/>
      <c r="P232" s="521"/>
      <c r="Q232" s="521"/>
      <c r="AF232" s="522"/>
      <c r="AG232" s="522"/>
    </row>
  </sheetData>
  <sortState ref="A119:N196">
    <sortCondition descending="1" ref="N119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31" stopIfTrue="1">
      <formula>AND(COUNTIF($A$115:$A$116, A115)&gt;1,NOT(ISBLANK(A115)))</formula>
    </cfRule>
  </conditionalFormatting>
  <conditionalFormatting sqref="A23:A33 A35:A94">
    <cfRule type="expression" dxfId="7" priority="29" stopIfTrue="1">
      <formula>AND(COUNTIF($A$23:$A$33, A23)+COUNTIF($A$35:$A$94, A23)&gt;1,NOT(ISBLANK(A23)))</formula>
    </cfRule>
  </conditionalFormatting>
  <conditionalFormatting sqref="A23:A99">
    <cfRule type="expression" dxfId="6" priority="30" stopIfTrue="1">
      <formula>AND(COUNTIF($A$23:$A$99, A23)&gt;1,NOT(ISBLANK(A23)))</formula>
    </cfRule>
  </conditionalFormatting>
  <conditionalFormatting sqref="A118">
    <cfRule type="expression" dxfId="5" priority="21" stopIfTrue="1">
      <formula>AND(COUNTIF($A$23:$A$33, A118)+COUNTIF($A$35:$A$94, A118)&gt;1,NOT(ISBLANK(A118)))</formula>
    </cfRule>
  </conditionalFormatting>
  <conditionalFormatting sqref="A118">
    <cfRule type="expression" dxfId="4" priority="22" stopIfTrue="1">
      <formula>AND(COUNTIF($A$23:$A$99, A118)&gt;1,NOT(ISBLANK(A118)))</formula>
    </cfRule>
  </conditionalFormatting>
  <conditionalFormatting sqref="A120:A130 A132:A191">
    <cfRule type="expression" dxfId="3" priority="3" stopIfTrue="1">
      <formula>AND(COUNTIF($A$23:$A$33, A120)+COUNTIF($A$35:$A$94, A120)&gt;1,NOT(ISBLANK(A120)))</formula>
    </cfRule>
  </conditionalFormatting>
  <conditionalFormatting sqref="A120:A196">
    <cfRule type="expression" dxfId="2" priority="4" stopIfTrue="1">
      <formula>AND(COUNTIF($A$23:$A$99, A120)&gt;1,NOT(ISBLANK(A120)))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00 T39:Y39" formulaRange="1"/>
    <ignoredError sqref="O100 AF47:AG47 AF39:AG39 AF33:AG33 AF27" formula="1"/>
    <ignoredError sqref="AD39:AE39" formula="1" formulaRange="1"/>
    <ignoredError sqref="O22:O99" evalError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M30" sqref="M30"/>
    </sheetView>
  </sheetViews>
  <sheetFormatPr defaultRowHeight="15"/>
  <cols>
    <col min="1" max="16384" width="9.140625" style="454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10</xdr:col>
                <xdr:colOff>180975</xdr:colOff>
                <xdr:row>38</xdr:row>
                <xdr:rowOff>95250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RowHeight="15"/>
  <cols>
    <col min="1" max="1" width="9.140625" style="516" customWidth="1"/>
    <col min="2" max="2" width="12.28515625" style="516" customWidth="1"/>
    <col min="3" max="3" width="10.7109375" style="516" customWidth="1"/>
    <col min="4" max="4" width="11.7109375" style="516" customWidth="1"/>
    <col min="5" max="16384" width="9.140625" style="516"/>
  </cols>
  <sheetData>
    <row r="1" spans="1:3" ht="15.75" thickBot="1">
      <c r="A1" s="728" t="s">
        <v>2</v>
      </c>
      <c r="B1" s="728" t="s">
        <v>3</v>
      </c>
      <c r="C1" s="728" t="s">
        <v>4</v>
      </c>
    </row>
    <row r="2" spans="1:3" ht="15.75" thickBot="1">
      <c r="A2" s="729">
        <v>45292</v>
      </c>
      <c r="B2" s="730">
        <v>28</v>
      </c>
      <c r="C2" s="731">
        <f>((B2-27)/27)*100</f>
        <v>3.7037037037037033</v>
      </c>
    </row>
    <row r="3" spans="1:3" ht="15.75" thickBot="1">
      <c r="A3" s="729">
        <v>45323</v>
      </c>
      <c r="B3" s="867">
        <v>0</v>
      </c>
      <c r="C3" s="868">
        <f>((B3-B2)/B2)*100</f>
        <v>-100</v>
      </c>
    </row>
    <row r="4" spans="1:3" ht="15.75" thickBot="1">
      <c r="A4" s="729">
        <v>45352</v>
      </c>
      <c r="B4" s="867">
        <v>0</v>
      </c>
      <c r="C4" s="868" t="e">
        <f t="shared" ref="C4:C13" si="0">((B4-B3)/B3)*100</f>
        <v>#DIV/0!</v>
      </c>
    </row>
    <row r="5" spans="1:3" ht="15.75" thickBot="1">
      <c r="A5" s="729">
        <v>45383</v>
      </c>
      <c r="B5" s="867">
        <v>0</v>
      </c>
      <c r="C5" s="868" t="e">
        <f t="shared" si="0"/>
        <v>#DIV/0!</v>
      </c>
    </row>
    <row r="6" spans="1:3" ht="15.75" thickBot="1">
      <c r="A6" s="729">
        <v>45413</v>
      </c>
      <c r="B6" s="867">
        <v>0</v>
      </c>
      <c r="C6" s="868" t="e">
        <f t="shared" si="0"/>
        <v>#DIV/0!</v>
      </c>
    </row>
    <row r="7" spans="1:3" ht="15.75" thickBot="1">
      <c r="A7" s="729">
        <v>45444</v>
      </c>
      <c r="B7" s="867">
        <v>0</v>
      </c>
      <c r="C7" s="868" t="e">
        <f t="shared" si="0"/>
        <v>#DIV/0!</v>
      </c>
    </row>
    <row r="8" spans="1:3" ht="15.75" thickBot="1">
      <c r="A8" s="729">
        <v>45474</v>
      </c>
      <c r="B8" s="867">
        <v>0</v>
      </c>
      <c r="C8" s="868" t="e">
        <f t="shared" si="0"/>
        <v>#DIV/0!</v>
      </c>
    </row>
    <row r="9" spans="1:3" ht="15.75" thickBot="1">
      <c r="A9" s="729">
        <v>45505</v>
      </c>
      <c r="B9" s="867">
        <v>0</v>
      </c>
      <c r="C9" s="868" t="e">
        <f t="shared" si="0"/>
        <v>#DIV/0!</v>
      </c>
    </row>
    <row r="10" spans="1:3" ht="15.75" thickBot="1">
      <c r="A10" s="729">
        <v>45536</v>
      </c>
      <c r="B10" s="867">
        <v>0</v>
      </c>
      <c r="C10" s="868" t="e">
        <f t="shared" si="0"/>
        <v>#DIV/0!</v>
      </c>
    </row>
    <row r="11" spans="1:3" ht="15.75" thickBot="1">
      <c r="A11" s="729">
        <v>45566</v>
      </c>
      <c r="B11" s="867">
        <v>0</v>
      </c>
      <c r="C11" s="868" t="e">
        <f t="shared" si="0"/>
        <v>#DIV/0!</v>
      </c>
    </row>
    <row r="12" spans="1:3" ht="15.75" thickBot="1">
      <c r="A12" s="729">
        <v>45597</v>
      </c>
      <c r="B12" s="867">
        <v>0</v>
      </c>
      <c r="C12" s="868" t="e">
        <f t="shared" si="0"/>
        <v>#DIV/0!</v>
      </c>
    </row>
    <row r="13" spans="1:3" ht="15.75" thickBot="1">
      <c r="A13" s="729">
        <v>45627</v>
      </c>
      <c r="B13" s="867">
        <v>0</v>
      </c>
      <c r="C13" s="868" t="e">
        <f t="shared" si="0"/>
        <v>#DIV/0!</v>
      </c>
    </row>
    <row r="14" spans="1:3" ht="15.75" thickBot="1">
      <c r="A14" s="869" t="s">
        <v>5</v>
      </c>
      <c r="B14" s="869">
        <f>SUM(B2:B13)</f>
        <v>28</v>
      </c>
      <c r="C14" s="869"/>
    </row>
    <row r="17" spans="1:5">
      <c r="A17" s="517" t="s">
        <v>404</v>
      </c>
      <c r="B17" s="518">
        <v>28</v>
      </c>
      <c r="C17" s="449"/>
      <c r="D17" s="449" t="s">
        <v>406</v>
      </c>
      <c r="E17" s="449">
        <v>1</v>
      </c>
    </row>
    <row r="18" spans="1:5">
      <c r="A18" s="519" t="s">
        <v>23</v>
      </c>
      <c r="B18" s="519">
        <f>SUM(B17:B17)</f>
        <v>28</v>
      </c>
      <c r="C18" s="449"/>
      <c r="D18" s="449" t="s">
        <v>416</v>
      </c>
      <c r="E18" s="449">
        <v>0</v>
      </c>
    </row>
    <row r="19" spans="1:5">
      <c r="A19" s="449"/>
      <c r="B19" s="449"/>
      <c r="C19" s="449"/>
      <c r="D19" s="449" t="s">
        <v>405</v>
      </c>
      <c r="E19" s="449">
        <v>27</v>
      </c>
    </row>
    <row r="20" spans="1:5">
      <c r="A20" s="449"/>
      <c r="B20" s="449"/>
      <c r="C20" s="449"/>
      <c r="D20" s="449" t="s">
        <v>407</v>
      </c>
      <c r="E20" s="449">
        <f>SUM(E17:E19)</f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C13" evalErro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94" t="s">
        <v>0</v>
      </c>
    </row>
    <row r="2" spans="1:2">
      <c r="A2" s="1" t="s">
        <v>1</v>
      </c>
    </row>
    <row r="3" spans="1:2">
      <c r="A3" s="92"/>
    </row>
    <row r="4" spans="1:2">
      <c r="A4" s="415" t="s">
        <v>394</v>
      </c>
      <c r="B4" s="416" t="s">
        <v>395</v>
      </c>
    </row>
    <row r="5" spans="1:2" ht="15.75" thickBot="1">
      <c r="A5" s="417" t="s">
        <v>396</v>
      </c>
      <c r="B5" s="418">
        <v>135</v>
      </c>
    </row>
    <row r="6" spans="1:2" ht="45">
      <c r="A6" s="417" t="s">
        <v>397</v>
      </c>
      <c r="B6" s="418">
        <v>58</v>
      </c>
    </row>
    <row r="7" spans="1:2" ht="45">
      <c r="A7" s="419" t="s">
        <v>398</v>
      </c>
      <c r="B7" s="418">
        <v>281</v>
      </c>
    </row>
    <row r="8" spans="1:2" ht="15.75" thickBot="1">
      <c r="A8" s="417" t="s">
        <v>399</v>
      </c>
      <c r="B8" s="418">
        <v>106</v>
      </c>
    </row>
    <row r="9" spans="1:2" ht="15.75" thickBot="1">
      <c r="A9" s="417" t="s">
        <v>400</v>
      </c>
      <c r="B9" s="418">
        <v>4</v>
      </c>
    </row>
    <row r="10" spans="1:2" ht="15.75" thickBot="1">
      <c r="A10" s="417" t="s">
        <v>401</v>
      </c>
      <c r="B10" s="418">
        <v>257</v>
      </c>
    </row>
    <row r="11" spans="1:2" ht="15.75" thickBot="1">
      <c r="A11" s="417" t="s">
        <v>402</v>
      </c>
      <c r="B11" s="418">
        <v>72</v>
      </c>
    </row>
    <row r="12" spans="1:2" ht="30">
      <c r="A12" s="420" t="s">
        <v>403</v>
      </c>
      <c r="B12" s="418">
        <v>42</v>
      </c>
    </row>
    <row r="13" spans="1:2">
      <c r="A13" s="421" t="s">
        <v>15</v>
      </c>
      <c r="B13" s="422">
        <f>SUM(B5:B12)</f>
        <v>955</v>
      </c>
    </row>
    <row r="16" spans="1:2">
      <c r="A16" s="92"/>
    </row>
    <row r="17" spans="1:1">
      <c r="A17" s="92"/>
    </row>
    <row r="18" spans="1:1">
      <c r="A18" s="92"/>
    </row>
    <row r="19" spans="1:1">
      <c r="A19" s="92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opLeftCell="A7" zoomScaleNormal="100" workbookViewId="0">
      <selection activeCell="M6" sqref="M6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449"/>
      <c r="S1" s="449"/>
      <c r="T1" s="449"/>
      <c r="U1" s="449"/>
      <c r="V1" s="449"/>
      <c r="W1" s="449"/>
    </row>
    <row r="2" spans="1:32">
      <c r="A2" s="1" t="s">
        <v>1</v>
      </c>
      <c r="B2" s="1"/>
      <c r="C2" s="1"/>
      <c r="R2" s="449"/>
      <c r="S2" s="449"/>
      <c r="T2" s="449"/>
      <c r="U2" s="449"/>
      <c r="V2" s="449"/>
      <c r="W2" s="449"/>
    </row>
    <row r="3" spans="1:32" ht="15.75" thickBot="1">
      <c r="R3" s="449"/>
      <c r="S3" s="449"/>
      <c r="T3" s="449"/>
      <c r="U3" s="449"/>
      <c r="V3" s="449"/>
      <c r="W3" s="449"/>
    </row>
    <row r="4" spans="1:32" ht="50.25" customHeight="1" thickBot="1">
      <c r="A4" s="745" t="s">
        <v>16</v>
      </c>
      <c r="B4" s="694">
        <v>45627</v>
      </c>
      <c r="C4" s="561">
        <v>45597</v>
      </c>
      <c r="D4" s="563">
        <v>45566</v>
      </c>
      <c r="E4" s="746">
        <v>45536</v>
      </c>
      <c r="F4" s="746">
        <v>45505</v>
      </c>
      <c r="G4" s="746">
        <v>45474</v>
      </c>
      <c r="H4" s="746">
        <v>45444</v>
      </c>
      <c r="I4" s="747">
        <v>45413</v>
      </c>
      <c r="J4" s="560">
        <v>45383</v>
      </c>
      <c r="K4" s="560">
        <v>45352</v>
      </c>
      <c r="L4" s="560">
        <v>45323</v>
      </c>
      <c r="M4" s="563">
        <v>45292</v>
      </c>
      <c r="N4" s="746" t="s">
        <v>5</v>
      </c>
      <c r="O4" s="748" t="s">
        <v>6</v>
      </c>
      <c r="P4" s="748" t="s">
        <v>8</v>
      </c>
      <c r="Q4" s="749" t="s">
        <v>464</v>
      </c>
      <c r="R4" s="449"/>
      <c r="S4" s="449"/>
      <c r="T4" s="449"/>
      <c r="U4" s="449"/>
      <c r="V4" s="449"/>
      <c r="W4" s="449"/>
    </row>
    <row r="5" spans="1:32" ht="15.75" thickBot="1">
      <c r="A5" s="750" t="s">
        <v>17</v>
      </c>
      <c r="B5" s="693"/>
      <c r="C5" s="26"/>
      <c r="D5" s="26"/>
      <c r="E5" s="26"/>
      <c r="F5" s="26"/>
      <c r="G5" s="56"/>
      <c r="H5" s="56"/>
      <c r="I5" s="462"/>
      <c r="J5" s="167"/>
      <c r="K5" s="61"/>
      <c r="L5" s="167"/>
      <c r="M5" s="57">
        <v>11</v>
      </c>
      <c r="N5" s="58">
        <f t="shared" ref="N5:N10" si="0">SUM(B5:M5)</f>
        <v>11</v>
      </c>
      <c r="O5" s="59">
        <f t="shared" ref="O5:O11" si="1">AVERAGE(B5:M5)</f>
        <v>11</v>
      </c>
      <c r="P5" s="60">
        <f t="shared" ref="P5:P11" si="2">N5/N$11*100</f>
        <v>0.19688562734920351</v>
      </c>
      <c r="Q5" s="751">
        <f>(M5*100)/$M$11</f>
        <v>0.19688562734920351</v>
      </c>
      <c r="R5" s="449"/>
      <c r="S5" s="449"/>
      <c r="T5" s="449"/>
      <c r="U5" s="449"/>
      <c r="V5" s="449"/>
      <c r="W5" s="449"/>
    </row>
    <row r="6" spans="1:32" ht="15.75" thickBot="1">
      <c r="A6" s="752" t="s">
        <v>18</v>
      </c>
      <c r="B6" s="692"/>
      <c r="C6" s="38"/>
      <c r="D6" s="38"/>
      <c r="E6" s="38"/>
      <c r="F6" s="38"/>
      <c r="G6" s="61"/>
      <c r="H6" s="61"/>
      <c r="I6" s="463"/>
      <c r="J6" s="169"/>
      <c r="K6" s="61"/>
      <c r="L6" s="169"/>
      <c r="M6" s="62">
        <v>1913</v>
      </c>
      <c r="N6" s="58">
        <f t="shared" si="0"/>
        <v>1913</v>
      </c>
      <c r="O6" s="59">
        <f t="shared" si="1"/>
        <v>1913</v>
      </c>
      <c r="P6" s="60">
        <f t="shared" si="2"/>
        <v>34.24020046536603</v>
      </c>
      <c r="Q6" s="751">
        <f t="shared" ref="Q6:Q11" si="3">(M6*100)/$M$11</f>
        <v>34.24020046536603</v>
      </c>
      <c r="R6" s="449"/>
      <c r="S6" s="449"/>
      <c r="T6" s="449"/>
      <c r="U6" s="449"/>
      <c r="V6" s="449"/>
      <c r="W6" s="449"/>
    </row>
    <row r="7" spans="1:32" ht="15.75" thickBot="1">
      <c r="A7" s="752" t="s">
        <v>19</v>
      </c>
      <c r="B7" s="692"/>
      <c r="C7" s="38"/>
      <c r="D7" s="38"/>
      <c r="E7" s="38"/>
      <c r="F7" s="38"/>
      <c r="G7" s="61"/>
      <c r="H7" s="61"/>
      <c r="I7" s="463"/>
      <c r="J7" s="169"/>
      <c r="K7" s="61"/>
      <c r="L7" s="169"/>
      <c r="M7" s="62">
        <v>1219</v>
      </c>
      <c r="N7" s="58">
        <f t="shared" si="0"/>
        <v>1219</v>
      </c>
      <c r="O7" s="59">
        <f t="shared" si="1"/>
        <v>1219</v>
      </c>
      <c r="P7" s="60">
        <f t="shared" si="2"/>
        <v>21.818507248970825</v>
      </c>
      <c r="Q7" s="751">
        <f t="shared" si="3"/>
        <v>21.818507248970825</v>
      </c>
      <c r="R7" s="449"/>
      <c r="S7" s="449"/>
      <c r="T7" s="449"/>
      <c r="U7" s="449"/>
      <c r="V7" s="449"/>
      <c r="W7" s="449"/>
    </row>
    <row r="8" spans="1:32" ht="15.75" thickBot="1">
      <c r="A8" s="752" t="s">
        <v>20</v>
      </c>
      <c r="B8" s="692"/>
      <c r="C8" s="38"/>
      <c r="D8" s="38"/>
      <c r="E8" s="38"/>
      <c r="F8" s="38"/>
      <c r="G8" s="61"/>
      <c r="H8" s="61"/>
      <c r="I8" s="463"/>
      <c r="J8" s="169"/>
      <c r="K8" s="61"/>
      <c r="L8" s="169"/>
      <c r="M8" s="62">
        <v>158</v>
      </c>
      <c r="N8" s="58">
        <f t="shared" si="0"/>
        <v>158</v>
      </c>
      <c r="O8" s="59">
        <f t="shared" si="1"/>
        <v>158</v>
      </c>
      <c r="P8" s="60">
        <f t="shared" si="2"/>
        <v>2.8279935564703775</v>
      </c>
      <c r="Q8" s="751">
        <f t="shared" si="3"/>
        <v>2.8279935564703775</v>
      </c>
      <c r="R8" s="538"/>
      <c r="S8" s="449"/>
      <c r="T8" s="449"/>
      <c r="U8" s="449"/>
      <c r="V8" s="449"/>
      <c r="W8" s="449"/>
    </row>
    <row r="9" spans="1:32" ht="15.75" thickBot="1">
      <c r="A9" s="752" t="s">
        <v>21</v>
      </c>
      <c r="B9" s="692"/>
      <c r="C9" s="38"/>
      <c r="D9" s="38"/>
      <c r="E9" s="38"/>
      <c r="F9" s="38"/>
      <c r="G9" s="61"/>
      <c r="H9" s="61"/>
      <c r="I9" s="463"/>
      <c r="J9" s="169"/>
      <c r="K9" s="61"/>
      <c r="L9" s="169"/>
      <c r="M9" s="62">
        <v>2038</v>
      </c>
      <c r="N9" s="58">
        <f t="shared" si="0"/>
        <v>2038</v>
      </c>
      <c r="O9" s="59">
        <f t="shared" si="1"/>
        <v>2038</v>
      </c>
      <c r="P9" s="60">
        <f t="shared" si="2"/>
        <v>36.477537139788794</v>
      </c>
      <c r="Q9" s="751">
        <f t="shared" si="3"/>
        <v>36.477537139788794</v>
      </c>
      <c r="R9" s="538"/>
      <c r="S9" s="449"/>
      <c r="T9" s="449"/>
      <c r="U9" s="449"/>
      <c r="V9" s="449"/>
      <c r="W9" s="449"/>
    </row>
    <row r="10" spans="1:32" ht="15.75" thickBot="1">
      <c r="A10" s="753" t="s">
        <v>22</v>
      </c>
      <c r="B10" s="692"/>
      <c r="C10" s="158"/>
      <c r="D10" s="158"/>
      <c r="E10" s="158"/>
      <c r="F10" s="158"/>
      <c r="G10" s="64"/>
      <c r="H10" s="64"/>
      <c r="I10" s="464"/>
      <c r="J10" s="169"/>
      <c r="K10" s="61"/>
      <c r="L10" s="170"/>
      <c r="M10" s="65">
        <v>248</v>
      </c>
      <c r="N10" s="58">
        <f t="shared" si="0"/>
        <v>248</v>
      </c>
      <c r="O10" s="59">
        <f t="shared" si="1"/>
        <v>248</v>
      </c>
      <c r="P10" s="60">
        <f t="shared" si="2"/>
        <v>4.4388759620547704</v>
      </c>
      <c r="Q10" s="751">
        <f t="shared" si="3"/>
        <v>4.4388759620547704</v>
      </c>
      <c r="R10" s="538"/>
      <c r="S10" s="539"/>
      <c r="T10" s="449"/>
      <c r="U10" s="449"/>
      <c r="V10" s="449"/>
      <c r="W10" s="449"/>
    </row>
    <row r="11" spans="1:32" ht="16.5" thickBot="1">
      <c r="A11" s="754" t="s">
        <v>23</v>
      </c>
      <c r="B11" s="755">
        <f t="shared" ref="B11:N11" si="4">SUM(B5:B10)</f>
        <v>0</v>
      </c>
      <c r="C11" s="755">
        <f t="shared" si="4"/>
        <v>0</v>
      </c>
      <c r="D11" s="755">
        <f t="shared" si="4"/>
        <v>0</v>
      </c>
      <c r="E11" s="755">
        <f t="shared" si="4"/>
        <v>0</v>
      </c>
      <c r="F11" s="755">
        <f t="shared" si="4"/>
        <v>0</v>
      </c>
      <c r="G11" s="755">
        <f t="shared" si="4"/>
        <v>0</v>
      </c>
      <c r="H11" s="755">
        <f t="shared" si="4"/>
        <v>0</v>
      </c>
      <c r="I11" s="755">
        <f t="shared" si="4"/>
        <v>0</v>
      </c>
      <c r="J11" s="755">
        <f t="shared" si="4"/>
        <v>0</v>
      </c>
      <c r="K11" s="755">
        <f t="shared" si="4"/>
        <v>0</v>
      </c>
      <c r="L11" s="755">
        <f t="shared" si="4"/>
        <v>0</v>
      </c>
      <c r="M11" s="756">
        <f t="shared" si="4"/>
        <v>5587</v>
      </c>
      <c r="N11" s="755">
        <f t="shared" si="4"/>
        <v>5587</v>
      </c>
      <c r="O11" s="757">
        <f t="shared" si="1"/>
        <v>465.58333333333331</v>
      </c>
      <c r="P11" s="758">
        <f t="shared" si="2"/>
        <v>100</v>
      </c>
      <c r="Q11" s="759">
        <f t="shared" si="3"/>
        <v>100</v>
      </c>
      <c r="R11" s="538"/>
      <c r="S11" s="540"/>
      <c r="T11" s="449"/>
      <c r="U11" s="449"/>
      <c r="V11" s="449"/>
      <c r="W11" s="449"/>
      <c r="AD11" s="67"/>
      <c r="AE11" s="2"/>
      <c r="AF11" s="67"/>
    </row>
    <row r="12" spans="1:32">
      <c r="M12" s="68"/>
      <c r="N12" s="66"/>
      <c r="U12" s="67"/>
      <c r="V12" s="2"/>
      <c r="W12" s="67"/>
    </row>
    <row r="13" spans="1:32">
      <c r="A13" s="954"/>
      <c r="B13" s="954"/>
      <c r="C13" s="954"/>
      <c r="D13" s="954"/>
      <c r="E13" s="63"/>
      <c r="I13" s="66"/>
      <c r="J13" s="66"/>
      <c r="U13" s="67"/>
      <c r="V13" s="2"/>
      <c r="W13" s="67"/>
    </row>
    <row r="14" spans="1:32">
      <c r="A14" s="954"/>
      <c r="B14" s="954"/>
      <c r="C14" s="954"/>
      <c r="D14" s="954"/>
      <c r="I14" s="66"/>
      <c r="U14" s="67"/>
      <c r="V14" s="2"/>
      <c r="W14" s="67"/>
    </row>
    <row r="15" spans="1:32">
      <c r="A15" s="954"/>
      <c r="B15" s="954"/>
      <c r="C15" s="954"/>
      <c r="D15" s="954"/>
      <c r="U15" s="69"/>
      <c r="V15" s="2"/>
      <c r="W15" s="70"/>
    </row>
    <row r="20" spans="1:5">
      <c r="A20" s="1"/>
      <c r="B20" s="1"/>
      <c r="C20" s="1"/>
      <c r="D20" s="6"/>
    </row>
    <row r="21" spans="1:5">
      <c r="A21" s="67"/>
      <c r="B21" s="67"/>
      <c r="C21" s="67"/>
      <c r="D21" s="71"/>
    </row>
    <row r="22" spans="1:5">
      <c r="A22" s="67"/>
      <c r="B22" s="67"/>
      <c r="C22" s="67"/>
      <c r="D22" s="71"/>
    </row>
    <row r="23" spans="1:5">
      <c r="A23" s="67"/>
      <c r="B23" s="67"/>
      <c r="C23" s="67"/>
      <c r="D23" s="71"/>
    </row>
    <row r="24" spans="1:5">
      <c r="A24" s="67"/>
      <c r="B24" s="67"/>
      <c r="C24" s="67"/>
      <c r="D24" s="71"/>
    </row>
    <row r="25" spans="1:5">
      <c r="A25" s="69"/>
      <c r="B25" s="69"/>
      <c r="C25" s="69"/>
      <c r="D25" s="71"/>
    </row>
    <row r="26" spans="1:5">
      <c r="E26" s="66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"/>
  <sheetViews>
    <sheetView zoomScaleNormal="100" workbookViewId="0"/>
  </sheetViews>
  <sheetFormatPr defaultRowHeight="15"/>
  <cols>
    <col min="1" max="1" width="68" customWidth="1"/>
    <col min="2" max="2" width="7.5703125" style="73" bestFit="1" customWidth="1"/>
    <col min="3" max="3" width="7.7109375" style="73" bestFit="1" customWidth="1"/>
    <col min="4" max="4" width="7.140625" style="73" bestFit="1" customWidth="1"/>
    <col min="5" max="5" width="7" style="73" bestFit="1" customWidth="1"/>
    <col min="6" max="6" width="7.7109375" style="73" bestFit="1" customWidth="1"/>
    <col min="7" max="7" width="6.42578125" style="73" bestFit="1" customWidth="1"/>
    <col min="8" max="8" width="7.140625" style="73" bestFit="1" customWidth="1"/>
    <col min="9" max="9" width="7.42578125" style="73" bestFit="1" customWidth="1"/>
    <col min="10" max="10" width="7.28515625" style="73" bestFit="1" customWidth="1"/>
    <col min="11" max="11" width="7.7109375" style="73" bestFit="1" customWidth="1"/>
    <col min="12" max="12" width="7.28515625" style="73" bestFit="1" customWidth="1"/>
    <col min="13" max="14" width="7" style="73" bestFit="1" customWidth="1"/>
    <col min="15" max="15" width="8.85546875" style="73" customWidth="1"/>
    <col min="16" max="16" width="8.7109375" style="74" bestFit="1" customWidth="1"/>
    <col min="17" max="17" width="9.140625" customWidth="1"/>
  </cols>
  <sheetData>
    <row r="1" spans="1:16">
      <c r="A1" s="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6">
      <c r="A2" s="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6" ht="15.75" thickBot="1"/>
    <row r="4" spans="1:16" ht="15.75" thickBot="1">
      <c r="A4" s="644" t="s">
        <v>24</v>
      </c>
      <c r="B4" s="76">
        <v>45627</v>
      </c>
      <c r="C4" s="77">
        <v>45597</v>
      </c>
      <c r="D4" s="78">
        <v>45566</v>
      </c>
      <c r="E4" s="77">
        <v>45536</v>
      </c>
      <c r="F4" s="77">
        <v>45505</v>
      </c>
      <c r="G4" s="77">
        <v>45474</v>
      </c>
      <c r="H4" s="77">
        <v>45444</v>
      </c>
      <c r="I4" s="79">
        <v>45413</v>
      </c>
      <c r="J4" s="77">
        <v>45383</v>
      </c>
      <c r="K4" s="76">
        <v>45352</v>
      </c>
      <c r="L4" s="17">
        <v>45323</v>
      </c>
      <c r="M4" s="80">
        <v>45292</v>
      </c>
      <c r="N4" s="17" t="s">
        <v>5</v>
      </c>
      <c r="O4" s="81" t="s">
        <v>6</v>
      </c>
      <c r="P4" s="425" t="s">
        <v>25</v>
      </c>
    </row>
    <row r="5" spans="1:16" s="634" customFormat="1">
      <c r="A5" s="645" t="s">
        <v>26</v>
      </c>
      <c r="B5" s="668"/>
      <c r="C5" s="669"/>
      <c r="D5" s="670"/>
      <c r="E5" s="670"/>
      <c r="F5" s="670"/>
      <c r="G5" s="670"/>
      <c r="H5" s="670"/>
      <c r="I5" s="670"/>
      <c r="J5" s="670"/>
      <c r="K5" s="537"/>
      <c r="L5" s="669"/>
      <c r="M5" s="537">
        <v>0</v>
      </c>
      <c r="N5" s="671">
        <f t="shared" ref="N5:N40" si="0">SUM(B5:M5)</f>
        <v>0</v>
      </c>
      <c r="O5" s="672">
        <f t="shared" ref="O5:O40" si="1">AVERAGE(B5:M5)</f>
        <v>0</v>
      </c>
      <c r="P5" s="673">
        <f t="shared" ref="P5:P36" si="2">(N5/$N$229)*100</f>
        <v>0</v>
      </c>
    </row>
    <row r="6" spans="1:16" s="634" customFormat="1">
      <c r="A6" s="646" t="s">
        <v>27</v>
      </c>
      <c r="B6" s="633"/>
      <c r="C6" s="537"/>
      <c r="D6" s="589"/>
      <c r="E6" s="589"/>
      <c r="F6" s="589"/>
      <c r="G6" s="589"/>
      <c r="H6" s="670"/>
      <c r="I6" s="670"/>
      <c r="J6" s="670"/>
      <c r="K6" s="537"/>
      <c r="L6" s="537"/>
      <c r="M6" s="537">
        <v>0</v>
      </c>
      <c r="N6" s="590">
        <f t="shared" si="0"/>
        <v>0</v>
      </c>
      <c r="O6" s="591">
        <f t="shared" si="1"/>
        <v>0</v>
      </c>
      <c r="P6" s="592">
        <f t="shared" si="2"/>
        <v>0</v>
      </c>
    </row>
    <row r="7" spans="1:16" s="634" customFormat="1">
      <c r="A7" s="646" t="s">
        <v>28</v>
      </c>
      <c r="B7" s="633"/>
      <c r="C7" s="537"/>
      <c r="D7" s="589"/>
      <c r="E7" s="589"/>
      <c r="F7" s="589"/>
      <c r="G7" s="589"/>
      <c r="H7" s="589"/>
      <c r="I7" s="589"/>
      <c r="J7" s="589"/>
      <c r="K7" s="537"/>
      <c r="L7" s="537"/>
      <c r="M7" s="537">
        <v>4</v>
      </c>
      <c r="N7" s="590">
        <f t="shared" si="0"/>
        <v>4</v>
      </c>
      <c r="O7" s="591">
        <f t="shared" si="1"/>
        <v>4</v>
      </c>
      <c r="P7" s="592">
        <f t="shared" si="2"/>
        <v>7.4321813452248239E-2</v>
      </c>
    </row>
    <row r="8" spans="1:16" s="634" customFormat="1">
      <c r="A8" s="646" t="s">
        <v>412</v>
      </c>
      <c r="B8" s="633"/>
      <c r="C8" s="537"/>
      <c r="D8" s="589"/>
      <c r="E8" s="589"/>
      <c r="F8" s="589"/>
      <c r="G8" s="589"/>
      <c r="H8" s="589"/>
      <c r="I8" s="589"/>
      <c r="J8" s="589"/>
      <c r="K8" s="537"/>
      <c r="L8" s="537"/>
      <c r="M8" s="537">
        <v>6</v>
      </c>
      <c r="N8" s="590">
        <f t="shared" si="0"/>
        <v>6</v>
      </c>
      <c r="O8" s="591">
        <f t="shared" si="1"/>
        <v>6</v>
      </c>
      <c r="P8" s="592">
        <f t="shared" si="2"/>
        <v>0.11148272017837235</v>
      </c>
    </row>
    <row r="9" spans="1:16" s="634" customFormat="1">
      <c r="A9" s="646" t="s">
        <v>29</v>
      </c>
      <c r="B9" s="633"/>
      <c r="C9" s="537"/>
      <c r="D9" s="589"/>
      <c r="E9" s="589"/>
      <c r="F9" s="589"/>
      <c r="G9" s="589"/>
      <c r="H9" s="589"/>
      <c r="I9" s="589"/>
      <c r="J9" s="589"/>
      <c r="K9" s="537"/>
      <c r="L9" s="537"/>
      <c r="M9" s="537">
        <v>0</v>
      </c>
      <c r="N9" s="590">
        <f t="shared" si="0"/>
        <v>0</v>
      </c>
      <c r="O9" s="591">
        <f t="shared" si="1"/>
        <v>0</v>
      </c>
      <c r="P9" s="592">
        <f t="shared" si="2"/>
        <v>0</v>
      </c>
    </row>
    <row r="10" spans="1:16" s="634" customFormat="1">
      <c r="A10" s="647" t="s">
        <v>30</v>
      </c>
      <c r="B10" s="633"/>
      <c r="C10" s="537"/>
      <c r="D10" s="589"/>
      <c r="E10" s="589"/>
      <c r="F10" s="589"/>
      <c r="G10" s="589"/>
      <c r="H10" s="589"/>
      <c r="I10" s="589"/>
      <c r="J10" s="589"/>
      <c r="K10" s="537"/>
      <c r="L10" s="537"/>
      <c r="M10" s="537">
        <v>2</v>
      </c>
      <c r="N10" s="590">
        <f t="shared" si="0"/>
        <v>2</v>
      </c>
      <c r="O10" s="591">
        <f t="shared" si="1"/>
        <v>2</v>
      </c>
      <c r="P10" s="592">
        <f t="shared" si="2"/>
        <v>3.716090672612412E-2</v>
      </c>
    </row>
    <row r="11" spans="1:16" s="634" customFormat="1">
      <c r="A11" s="646" t="s">
        <v>31</v>
      </c>
      <c r="B11" s="633"/>
      <c r="C11" s="537"/>
      <c r="D11" s="589"/>
      <c r="E11" s="589"/>
      <c r="F11" s="589"/>
      <c r="G11" s="589"/>
      <c r="H11" s="589"/>
      <c r="I11" s="589"/>
      <c r="J11" s="589"/>
      <c r="K11" s="537"/>
      <c r="L11" s="537"/>
      <c r="M11" s="537">
        <v>0</v>
      </c>
      <c r="N11" s="590">
        <f t="shared" si="0"/>
        <v>0</v>
      </c>
      <c r="O11" s="591">
        <f t="shared" si="1"/>
        <v>0</v>
      </c>
      <c r="P11" s="592">
        <f t="shared" si="2"/>
        <v>0</v>
      </c>
    </row>
    <row r="12" spans="1:16" s="634" customFormat="1">
      <c r="A12" s="646" t="s">
        <v>445</v>
      </c>
      <c r="B12" s="633"/>
      <c r="C12" s="537"/>
      <c r="D12" s="589"/>
      <c r="E12" s="589"/>
      <c r="F12" s="589"/>
      <c r="G12" s="589"/>
      <c r="H12" s="589"/>
      <c r="I12" s="589"/>
      <c r="J12" s="589"/>
      <c r="K12" s="537"/>
      <c r="L12" s="537"/>
      <c r="M12" s="537">
        <v>2</v>
      </c>
      <c r="N12" s="590">
        <f t="shared" si="0"/>
        <v>2</v>
      </c>
      <c r="O12" s="591">
        <f t="shared" si="1"/>
        <v>2</v>
      </c>
      <c r="P12" s="592">
        <f t="shared" si="2"/>
        <v>3.716090672612412E-2</v>
      </c>
    </row>
    <row r="13" spans="1:16" s="634" customFormat="1">
      <c r="A13" s="646" t="s">
        <v>32</v>
      </c>
      <c r="B13" s="633"/>
      <c r="C13" s="537"/>
      <c r="D13" s="589"/>
      <c r="E13" s="589"/>
      <c r="F13" s="589"/>
      <c r="G13" s="589"/>
      <c r="H13" s="589"/>
      <c r="I13" s="589"/>
      <c r="J13" s="589"/>
      <c r="K13" s="537"/>
      <c r="L13" s="537"/>
      <c r="M13" s="537">
        <v>0</v>
      </c>
      <c r="N13" s="590">
        <f t="shared" si="0"/>
        <v>0</v>
      </c>
      <c r="O13" s="591">
        <f t="shared" si="1"/>
        <v>0</v>
      </c>
      <c r="P13" s="592">
        <f t="shared" si="2"/>
        <v>0</v>
      </c>
    </row>
    <row r="14" spans="1:16" s="634" customFormat="1">
      <c r="A14" s="646" t="s">
        <v>33</v>
      </c>
      <c r="B14" s="633"/>
      <c r="C14" s="537"/>
      <c r="D14" s="589"/>
      <c r="E14" s="589"/>
      <c r="F14" s="589"/>
      <c r="G14" s="589"/>
      <c r="H14" s="589"/>
      <c r="I14" s="589"/>
      <c r="J14" s="589"/>
      <c r="K14" s="537"/>
      <c r="L14" s="537"/>
      <c r="M14" s="537">
        <v>1</v>
      </c>
      <c r="N14" s="590">
        <f t="shared" si="0"/>
        <v>1</v>
      </c>
      <c r="O14" s="591">
        <f t="shared" si="1"/>
        <v>1</v>
      </c>
      <c r="P14" s="592">
        <f t="shared" si="2"/>
        <v>1.858045336306206E-2</v>
      </c>
    </row>
    <row r="15" spans="1:16" s="593" customFormat="1">
      <c r="A15" s="647" t="s">
        <v>34</v>
      </c>
      <c r="B15" s="587"/>
      <c r="C15" s="537"/>
      <c r="D15" s="588"/>
      <c r="E15" s="588"/>
      <c r="F15" s="588"/>
      <c r="G15" s="589"/>
      <c r="H15" s="589"/>
      <c r="I15" s="589"/>
      <c r="J15" s="588"/>
      <c r="K15" s="537"/>
      <c r="L15" s="537"/>
      <c r="M15" s="537">
        <v>7</v>
      </c>
      <c r="N15" s="590">
        <f t="shared" si="0"/>
        <v>7</v>
      </c>
      <c r="O15" s="591">
        <f t="shared" si="1"/>
        <v>7</v>
      </c>
      <c r="P15" s="592">
        <f t="shared" si="2"/>
        <v>0.1300631735414344</v>
      </c>
    </row>
    <row r="16" spans="1:16" s="593" customFormat="1">
      <c r="A16" s="648" t="s">
        <v>35</v>
      </c>
      <c r="B16" s="587"/>
      <c r="C16" s="537"/>
      <c r="D16" s="588"/>
      <c r="E16" s="588"/>
      <c r="F16" s="588"/>
      <c r="G16" s="589"/>
      <c r="H16" s="589"/>
      <c r="I16" s="589"/>
      <c r="J16" s="588"/>
      <c r="K16" s="537"/>
      <c r="L16" s="537"/>
      <c r="M16" s="537">
        <v>31</v>
      </c>
      <c r="N16" s="590">
        <f t="shared" si="0"/>
        <v>31</v>
      </c>
      <c r="O16" s="591">
        <f t="shared" si="1"/>
        <v>31</v>
      </c>
      <c r="P16" s="592">
        <f t="shared" si="2"/>
        <v>0.57599405425492378</v>
      </c>
    </row>
    <row r="17" spans="1:16" s="593" customFormat="1">
      <c r="A17" s="648" t="s">
        <v>36</v>
      </c>
      <c r="B17" s="587"/>
      <c r="C17" s="537"/>
      <c r="D17" s="588"/>
      <c r="E17" s="588"/>
      <c r="F17" s="588"/>
      <c r="G17" s="589"/>
      <c r="H17" s="589"/>
      <c r="I17" s="589"/>
      <c r="J17" s="588"/>
      <c r="K17" s="537"/>
      <c r="L17" s="537"/>
      <c r="M17" s="537">
        <v>1</v>
      </c>
      <c r="N17" s="590">
        <f t="shared" si="0"/>
        <v>1</v>
      </c>
      <c r="O17" s="591">
        <f t="shared" si="1"/>
        <v>1</v>
      </c>
      <c r="P17" s="592">
        <f t="shared" si="2"/>
        <v>1.858045336306206E-2</v>
      </c>
    </row>
    <row r="18" spans="1:16" s="593" customFormat="1">
      <c r="A18" s="648" t="s">
        <v>37</v>
      </c>
      <c r="B18" s="587"/>
      <c r="C18" s="537"/>
      <c r="D18" s="588"/>
      <c r="E18" s="588"/>
      <c r="F18" s="588"/>
      <c r="G18" s="589"/>
      <c r="H18" s="589"/>
      <c r="I18" s="589"/>
      <c r="J18" s="588"/>
      <c r="K18" s="537"/>
      <c r="L18" s="537"/>
      <c r="M18" s="537">
        <v>5</v>
      </c>
      <c r="N18" s="590">
        <f t="shared" si="0"/>
        <v>5</v>
      </c>
      <c r="O18" s="591">
        <f t="shared" si="1"/>
        <v>5</v>
      </c>
      <c r="P18" s="592">
        <f t="shared" si="2"/>
        <v>9.2902266815310289E-2</v>
      </c>
    </row>
    <row r="19" spans="1:16" s="593" customFormat="1">
      <c r="A19" s="648" t="s">
        <v>38</v>
      </c>
      <c r="B19" s="587"/>
      <c r="C19" s="537"/>
      <c r="D19" s="588"/>
      <c r="E19" s="588"/>
      <c r="F19" s="588"/>
      <c r="G19" s="589"/>
      <c r="H19" s="589"/>
      <c r="I19" s="589"/>
      <c r="J19" s="588"/>
      <c r="K19" s="537"/>
      <c r="L19" s="537"/>
      <c r="M19" s="537">
        <v>2</v>
      </c>
      <c r="N19" s="590">
        <f t="shared" si="0"/>
        <v>2</v>
      </c>
      <c r="O19" s="591">
        <f t="shared" si="1"/>
        <v>2</v>
      </c>
      <c r="P19" s="592">
        <f t="shared" si="2"/>
        <v>3.716090672612412E-2</v>
      </c>
    </row>
    <row r="20" spans="1:16" s="593" customFormat="1">
      <c r="A20" s="648" t="s">
        <v>39</v>
      </c>
      <c r="B20" s="587"/>
      <c r="C20" s="537"/>
      <c r="D20" s="588"/>
      <c r="E20" s="588"/>
      <c r="F20" s="588"/>
      <c r="G20" s="589"/>
      <c r="H20" s="589"/>
      <c r="I20" s="589"/>
      <c r="J20" s="588"/>
      <c r="K20" s="537"/>
      <c r="L20" s="537"/>
      <c r="M20" s="537">
        <v>0</v>
      </c>
      <c r="N20" s="590">
        <f t="shared" si="0"/>
        <v>0</v>
      </c>
      <c r="O20" s="591">
        <f t="shared" si="1"/>
        <v>0</v>
      </c>
      <c r="P20" s="592">
        <f t="shared" si="2"/>
        <v>0</v>
      </c>
    </row>
    <row r="21" spans="1:16" s="593" customFormat="1">
      <c r="A21" s="648" t="s">
        <v>40</v>
      </c>
      <c r="B21" s="587"/>
      <c r="C21" s="537"/>
      <c r="D21" s="588"/>
      <c r="E21" s="588"/>
      <c r="F21" s="588"/>
      <c r="G21" s="589"/>
      <c r="H21" s="589"/>
      <c r="I21" s="589"/>
      <c r="J21" s="588"/>
      <c r="K21" s="537"/>
      <c r="L21" s="537"/>
      <c r="M21" s="537">
        <v>0</v>
      </c>
      <c r="N21" s="590">
        <f t="shared" si="0"/>
        <v>0</v>
      </c>
      <c r="O21" s="591">
        <f t="shared" si="1"/>
        <v>0</v>
      </c>
      <c r="P21" s="592">
        <f t="shared" si="2"/>
        <v>0</v>
      </c>
    </row>
    <row r="22" spans="1:16" s="593" customFormat="1">
      <c r="A22" s="648" t="s">
        <v>41</v>
      </c>
      <c r="B22" s="587"/>
      <c r="C22" s="537"/>
      <c r="D22" s="588"/>
      <c r="E22" s="588"/>
      <c r="F22" s="588"/>
      <c r="G22" s="589"/>
      <c r="H22" s="589"/>
      <c r="I22" s="589"/>
      <c r="J22" s="588"/>
      <c r="K22" s="537"/>
      <c r="L22" s="537"/>
      <c r="M22" s="537">
        <v>0</v>
      </c>
      <c r="N22" s="590">
        <f t="shared" si="0"/>
        <v>0</v>
      </c>
      <c r="O22" s="591">
        <f t="shared" si="1"/>
        <v>0</v>
      </c>
      <c r="P22" s="592">
        <f t="shared" si="2"/>
        <v>0</v>
      </c>
    </row>
    <row r="23" spans="1:16" s="593" customFormat="1">
      <c r="A23" s="648" t="s">
        <v>417</v>
      </c>
      <c r="B23" s="587"/>
      <c r="C23" s="537"/>
      <c r="D23" s="588"/>
      <c r="E23" s="588"/>
      <c r="F23" s="588"/>
      <c r="G23" s="589"/>
      <c r="H23" s="589"/>
      <c r="I23" s="589"/>
      <c r="J23" s="588"/>
      <c r="K23" s="537"/>
      <c r="L23" s="537"/>
      <c r="M23" s="537">
        <v>0</v>
      </c>
      <c r="N23" s="590">
        <f t="shared" si="0"/>
        <v>0</v>
      </c>
      <c r="O23" s="591">
        <f t="shared" si="1"/>
        <v>0</v>
      </c>
      <c r="P23" s="592">
        <f t="shared" si="2"/>
        <v>0</v>
      </c>
    </row>
    <row r="24" spans="1:16" s="593" customFormat="1">
      <c r="A24" s="648" t="s">
        <v>42</v>
      </c>
      <c r="B24" s="587"/>
      <c r="C24" s="537"/>
      <c r="D24" s="588"/>
      <c r="E24" s="588"/>
      <c r="F24" s="588"/>
      <c r="G24" s="589"/>
      <c r="H24" s="589"/>
      <c r="I24" s="589"/>
      <c r="J24" s="588"/>
      <c r="K24" s="537"/>
      <c r="L24" s="537"/>
      <c r="M24" s="537">
        <v>8</v>
      </c>
      <c r="N24" s="590">
        <f t="shared" si="0"/>
        <v>8</v>
      </c>
      <c r="O24" s="591">
        <f t="shared" si="1"/>
        <v>8</v>
      </c>
      <c r="P24" s="592">
        <f t="shared" si="2"/>
        <v>0.14864362690449648</v>
      </c>
    </row>
    <row r="25" spans="1:16" s="593" customFormat="1">
      <c r="A25" s="648" t="s">
        <v>43</v>
      </c>
      <c r="B25" s="587"/>
      <c r="C25" s="537"/>
      <c r="D25" s="588"/>
      <c r="E25" s="588"/>
      <c r="F25" s="588"/>
      <c r="G25" s="589"/>
      <c r="H25" s="589"/>
      <c r="I25" s="589"/>
      <c r="J25" s="588"/>
      <c r="K25" s="537"/>
      <c r="L25" s="537"/>
      <c r="M25" s="537">
        <v>349</v>
      </c>
      <c r="N25" s="590">
        <f t="shared" si="0"/>
        <v>349</v>
      </c>
      <c r="O25" s="591">
        <f t="shared" si="1"/>
        <v>349</v>
      </c>
      <c r="P25" s="592">
        <f t="shared" si="2"/>
        <v>6.4845782237086596</v>
      </c>
    </row>
    <row r="26" spans="1:16" s="593" customFormat="1">
      <c r="A26" s="648" t="s">
        <v>44</v>
      </c>
      <c r="B26" s="587"/>
      <c r="C26" s="537"/>
      <c r="D26" s="588"/>
      <c r="E26" s="588"/>
      <c r="F26" s="588"/>
      <c r="G26" s="589"/>
      <c r="H26" s="589"/>
      <c r="I26" s="589"/>
      <c r="J26" s="588"/>
      <c r="K26" s="537"/>
      <c r="L26" s="537"/>
      <c r="M26" s="537">
        <v>1</v>
      </c>
      <c r="N26" s="590">
        <f t="shared" si="0"/>
        <v>1</v>
      </c>
      <c r="O26" s="591">
        <f t="shared" si="1"/>
        <v>1</v>
      </c>
      <c r="P26" s="592">
        <f t="shared" si="2"/>
        <v>1.858045336306206E-2</v>
      </c>
    </row>
    <row r="27" spans="1:16" s="593" customFormat="1">
      <c r="A27" s="648" t="s">
        <v>45</v>
      </c>
      <c r="B27" s="587"/>
      <c r="C27" s="537"/>
      <c r="D27" s="588"/>
      <c r="E27" s="588"/>
      <c r="F27" s="588"/>
      <c r="G27" s="589"/>
      <c r="H27" s="589"/>
      <c r="I27" s="589"/>
      <c r="J27" s="588"/>
      <c r="K27" s="537"/>
      <c r="L27" s="537"/>
      <c r="M27" s="537">
        <v>0</v>
      </c>
      <c r="N27" s="590">
        <f t="shared" si="0"/>
        <v>0</v>
      </c>
      <c r="O27" s="591">
        <f t="shared" si="1"/>
        <v>0</v>
      </c>
      <c r="P27" s="592">
        <f t="shared" si="2"/>
        <v>0</v>
      </c>
    </row>
    <row r="28" spans="1:16" s="593" customFormat="1">
      <c r="A28" s="648" t="s">
        <v>46</v>
      </c>
      <c r="B28" s="587"/>
      <c r="C28" s="537"/>
      <c r="D28" s="588"/>
      <c r="E28" s="588"/>
      <c r="F28" s="588"/>
      <c r="G28" s="589"/>
      <c r="H28" s="589"/>
      <c r="I28" s="589"/>
      <c r="J28" s="588"/>
      <c r="K28" s="537"/>
      <c r="L28" s="537"/>
      <c r="M28" s="537">
        <v>11</v>
      </c>
      <c r="N28" s="590">
        <f t="shared" si="0"/>
        <v>11</v>
      </c>
      <c r="O28" s="591">
        <f t="shared" si="1"/>
        <v>11</v>
      </c>
      <c r="P28" s="592">
        <f t="shared" si="2"/>
        <v>0.20438498699368265</v>
      </c>
    </row>
    <row r="29" spans="1:16" s="593" customFormat="1">
      <c r="A29" s="647" t="s">
        <v>47</v>
      </c>
      <c r="B29" s="587"/>
      <c r="C29" s="537"/>
      <c r="D29" s="588"/>
      <c r="E29" s="588"/>
      <c r="F29" s="588"/>
      <c r="G29" s="589"/>
      <c r="H29" s="589"/>
      <c r="I29" s="589"/>
      <c r="J29" s="588"/>
      <c r="K29" s="537"/>
      <c r="L29" s="537"/>
      <c r="M29" s="537">
        <v>13</v>
      </c>
      <c r="N29" s="590">
        <f t="shared" si="0"/>
        <v>13</v>
      </c>
      <c r="O29" s="591">
        <f t="shared" si="1"/>
        <v>13</v>
      </c>
      <c r="P29" s="592">
        <f t="shared" si="2"/>
        <v>0.24154589371980675</v>
      </c>
    </row>
    <row r="30" spans="1:16" s="593" customFormat="1">
      <c r="A30" s="647" t="s">
        <v>418</v>
      </c>
      <c r="B30" s="587"/>
      <c r="C30" s="537"/>
      <c r="D30" s="588"/>
      <c r="E30" s="588"/>
      <c r="F30" s="588"/>
      <c r="G30" s="589"/>
      <c r="H30" s="589"/>
      <c r="I30" s="589"/>
      <c r="J30" s="588"/>
      <c r="K30" s="537"/>
      <c r="L30" s="537"/>
      <c r="M30" s="537">
        <v>1</v>
      </c>
      <c r="N30" s="590">
        <f t="shared" si="0"/>
        <v>1</v>
      </c>
      <c r="O30" s="591">
        <f t="shared" si="1"/>
        <v>1</v>
      </c>
      <c r="P30" s="592">
        <f t="shared" si="2"/>
        <v>1.858045336306206E-2</v>
      </c>
    </row>
    <row r="31" spans="1:16" s="593" customFormat="1">
      <c r="A31" s="647" t="s">
        <v>448</v>
      </c>
      <c r="B31" s="587"/>
      <c r="C31" s="537"/>
      <c r="D31" s="588"/>
      <c r="E31" s="588"/>
      <c r="F31" s="588"/>
      <c r="G31" s="589"/>
      <c r="H31" s="589"/>
      <c r="I31" s="589"/>
      <c r="J31" s="588"/>
      <c r="K31" s="537"/>
      <c r="L31" s="537"/>
      <c r="M31" s="537">
        <v>1</v>
      </c>
      <c r="N31" s="590">
        <f t="shared" si="0"/>
        <v>1</v>
      </c>
      <c r="O31" s="591">
        <f t="shared" si="1"/>
        <v>1</v>
      </c>
      <c r="P31" s="592">
        <f t="shared" si="2"/>
        <v>1.858045336306206E-2</v>
      </c>
    </row>
    <row r="32" spans="1:16" s="593" customFormat="1">
      <c r="A32" s="647" t="s">
        <v>48</v>
      </c>
      <c r="B32" s="587"/>
      <c r="C32" s="537"/>
      <c r="D32" s="588"/>
      <c r="E32" s="588"/>
      <c r="F32" s="588"/>
      <c r="G32" s="589"/>
      <c r="H32" s="589"/>
      <c r="I32" s="589"/>
      <c r="J32" s="588"/>
      <c r="K32" s="537"/>
      <c r="L32" s="537"/>
      <c r="M32" s="537">
        <v>6</v>
      </c>
      <c r="N32" s="590">
        <f t="shared" si="0"/>
        <v>6</v>
      </c>
      <c r="O32" s="591">
        <f t="shared" si="1"/>
        <v>6</v>
      </c>
      <c r="P32" s="592">
        <f t="shared" si="2"/>
        <v>0.11148272017837235</v>
      </c>
    </row>
    <row r="33" spans="1:16" s="593" customFormat="1">
      <c r="A33" s="648" t="s">
        <v>49</v>
      </c>
      <c r="B33" s="587"/>
      <c r="C33" s="537"/>
      <c r="D33" s="588"/>
      <c r="E33" s="588"/>
      <c r="F33" s="588"/>
      <c r="G33" s="589"/>
      <c r="H33" s="589"/>
      <c r="I33" s="589"/>
      <c r="J33" s="588"/>
      <c r="K33" s="537"/>
      <c r="L33" s="537"/>
      <c r="M33" s="537">
        <v>2</v>
      </c>
      <c r="N33" s="590">
        <f t="shared" si="0"/>
        <v>2</v>
      </c>
      <c r="O33" s="591">
        <f t="shared" si="1"/>
        <v>2</v>
      </c>
      <c r="P33" s="592">
        <f t="shared" si="2"/>
        <v>3.716090672612412E-2</v>
      </c>
    </row>
    <row r="34" spans="1:16" s="593" customFormat="1">
      <c r="A34" s="648" t="s">
        <v>50</v>
      </c>
      <c r="B34" s="587"/>
      <c r="C34" s="537"/>
      <c r="D34" s="588"/>
      <c r="E34" s="588"/>
      <c r="F34" s="588"/>
      <c r="G34" s="589"/>
      <c r="H34" s="589"/>
      <c r="I34" s="589"/>
      <c r="J34" s="588"/>
      <c r="K34" s="537"/>
      <c r="L34" s="537"/>
      <c r="M34" s="537">
        <v>0</v>
      </c>
      <c r="N34" s="590">
        <f t="shared" si="0"/>
        <v>0</v>
      </c>
      <c r="O34" s="591">
        <f t="shared" si="1"/>
        <v>0</v>
      </c>
      <c r="P34" s="592">
        <f t="shared" si="2"/>
        <v>0</v>
      </c>
    </row>
    <row r="35" spans="1:16" s="593" customFormat="1">
      <c r="A35" s="648" t="s">
        <v>465</v>
      </c>
      <c r="B35" s="587"/>
      <c r="C35" s="537"/>
      <c r="D35" s="588"/>
      <c r="E35" s="588"/>
      <c r="F35" s="588"/>
      <c r="G35" s="589"/>
      <c r="H35" s="589"/>
      <c r="I35" s="589"/>
      <c r="J35" s="588"/>
      <c r="K35" s="537"/>
      <c r="L35" s="537"/>
      <c r="M35" s="537">
        <v>6</v>
      </c>
      <c r="N35" s="590">
        <f t="shared" ref="N35" si="3">SUM(B35:M35)</f>
        <v>6</v>
      </c>
      <c r="O35" s="591">
        <f t="shared" ref="O35" si="4">AVERAGE(B35:M35)</f>
        <v>6</v>
      </c>
      <c r="P35" s="592">
        <f t="shared" si="2"/>
        <v>0.11148272017837235</v>
      </c>
    </row>
    <row r="36" spans="1:16" s="593" customFormat="1">
      <c r="A36" s="647" t="s">
        <v>51</v>
      </c>
      <c r="B36" s="587"/>
      <c r="C36" s="537"/>
      <c r="D36" s="588"/>
      <c r="E36" s="588"/>
      <c r="F36" s="588"/>
      <c r="G36" s="589"/>
      <c r="H36" s="589"/>
      <c r="I36" s="589"/>
      <c r="J36" s="588"/>
      <c r="K36" s="537"/>
      <c r="L36" s="537"/>
      <c r="M36" s="537">
        <v>0</v>
      </c>
      <c r="N36" s="590">
        <f t="shared" si="0"/>
        <v>0</v>
      </c>
      <c r="O36" s="591">
        <f t="shared" si="1"/>
        <v>0</v>
      </c>
      <c r="P36" s="592">
        <f t="shared" si="2"/>
        <v>0</v>
      </c>
    </row>
    <row r="37" spans="1:16" s="593" customFormat="1">
      <c r="A37" s="648" t="s">
        <v>52</v>
      </c>
      <c r="B37" s="587"/>
      <c r="C37" s="537"/>
      <c r="D37" s="588"/>
      <c r="E37" s="588"/>
      <c r="F37" s="588"/>
      <c r="G37" s="589"/>
      <c r="H37" s="589"/>
      <c r="I37" s="589"/>
      <c r="J37" s="588"/>
      <c r="K37" s="537"/>
      <c r="L37" s="537"/>
      <c r="M37" s="537">
        <v>3</v>
      </c>
      <c r="N37" s="590">
        <f t="shared" si="0"/>
        <v>3</v>
      </c>
      <c r="O37" s="591">
        <f t="shared" si="1"/>
        <v>3</v>
      </c>
      <c r="P37" s="592">
        <f t="shared" ref="P37:P68" si="5">(N37/$N$229)*100</f>
        <v>5.5741360089186176E-2</v>
      </c>
    </row>
    <row r="38" spans="1:16" s="593" customFormat="1">
      <c r="A38" s="648" t="s">
        <v>53</v>
      </c>
      <c r="B38" s="587"/>
      <c r="C38" s="537"/>
      <c r="D38" s="588"/>
      <c r="E38" s="588"/>
      <c r="F38" s="588"/>
      <c r="G38" s="589"/>
      <c r="H38" s="589"/>
      <c r="I38" s="589"/>
      <c r="J38" s="588"/>
      <c r="K38" s="537"/>
      <c r="L38" s="537"/>
      <c r="M38" s="537">
        <v>49</v>
      </c>
      <c r="N38" s="590">
        <f t="shared" si="0"/>
        <v>49</v>
      </c>
      <c r="O38" s="591">
        <f t="shared" si="1"/>
        <v>49</v>
      </c>
      <c r="P38" s="592">
        <f t="shared" si="5"/>
        <v>0.91044221479004084</v>
      </c>
    </row>
    <row r="39" spans="1:16" s="593" customFormat="1">
      <c r="A39" s="648" t="s">
        <v>449</v>
      </c>
      <c r="B39" s="587"/>
      <c r="C39" s="537"/>
      <c r="D39" s="588"/>
      <c r="E39" s="588"/>
      <c r="F39" s="588"/>
      <c r="G39" s="589"/>
      <c r="H39" s="589"/>
      <c r="I39" s="589"/>
      <c r="J39" s="588"/>
      <c r="K39" s="537"/>
      <c r="L39" s="537"/>
      <c r="M39" s="537">
        <v>0</v>
      </c>
      <c r="N39" s="590">
        <f t="shared" si="0"/>
        <v>0</v>
      </c>
      <c r="O39" s="591">
        <f t="shared" si="1"/>
        <v>0</v>
      </c>
      <c r="P39" s="592">
        <f t="shared" si="5"/>
        <v>0</v>
      </c>
    </row>
    <row r="40" spans="1:16" s="593" customFormat="1">
      <c r="A40" s="648" t="s">
        <v>54</v>
      </c>
      <c r="B40" s="587"/>
      <c r="C40" s="537"/>
      <c r="D40" s="588"/>
      <c r="E40" s="588"/>
      <c r="F40" s="588"/>
      <c r="G40" s="589"/>
      <c r="H40" s="589"/>
      <c r="I40" s="589"/>
      <c r="J40" s="588"/>
      <c r="K40" s="537"/>
      <c r="L40" s="537"/>
      <c r="M40" s="537">
        <v>0</v>
      </c>
      <c r="N40" s="590">
        <f t="shared" si="0"/>
        <v>0</v>
      </c>
      <c r="O40" s="591">
        <f t="shared" si="1"/>
        <v>0</v>
      </c>
      <c r="P40" s="592">
        <f t="shared" si="5"/>
        <v>0</v>
      </c>
    </row>
    <row r="41" spans="1:16" s="593" customFormat="1" ht="17.25" customHeight="1">
      <c r="A41" s="648" t="s">
        <v>55</v>
      </c>
      <c r="B41" s="587"/>
      <c r="C41" s="537"/>
      <c r="D41" s="588"/>
      <c r="E41" s="588"/>
      <c r="F41" s="588"/>
      <c r="G41" s="589"/>
      <c r="H41" s="589"/>
      <c r="I41" s="589"/>
      <c r="J41" s="588"/>
      <c r="K41" s="537"/>
      <c r="L41" s="537"/>
      <c r="M41" s="537">
        <v>0</v>
      </c>
      <c r="N41" s="590">
        <f t="shared" ref="N41" si="6">SUM(B41:M41)</f>
        <v>0</v>
      </c>
      <c r="O41" s="591">
        <f t="shared" ref="O41" si="7">AVERAGE(B41:M41)</f>
        <v>0</v>
      </c>
      <c r="P41" s="592">
        <f t="shared" si="5"/>
        <v>0</v>
      </c>
    </row>
    <row r="42" spans="1:16" s="593" customFormat="1">
      <c r="A42" s="648" t="s">
        <v>437</v>
      </c>
      <c r="B42" s="587"/>
      <c r="C42" s="537"/>
      <c r="D42" s="588"/>
      <c r="E42" s="588"/>
      <c r="F42" s="588"/>
      <c r="G42" s="589"/>
      <c r="H42" s="589"/>
      <c r="I42" s="589"/>
      <c r="J42" s="588"/>
      <c r="K42" s="537"/>
      <c r="L42" s="537"/>
      <c r="M42" s="537">
        <v>329</v>
      </c>
      <c r="N42" s="590">
        <f t="shared" ref="N42:N76" si="8">SUM(B42:M42)</f>
        <v>329</v>
      </c>
      <c r="O42" s="591">
        <f t="shared" ref="O42:O76" si="9">AVERAGE(B42:M42)</f>
        <v>329</v>
      </c>
      <c r="P42" s="592">
        <f t="shared" si="5"/>
        <v>6.1129691564474173</v>
      </c>
    </row>
    <row r="43" spans="1:16" s="593" customFormat="1">
      <c r="A43" s="648" t="s">
        <v>466</v>
      </c>
      <c r="B43" s="587"/>
      <c r="C43" s="537"/>
      <c r="D43" s="588"/>
      <c r="E43" s="588"/>
      <c r="F43" s="588"/>
      <c r="G43" s="589"/>
      <c r="H43" s="589"/>
      <c r="I43" s="589"/>
      <c r="J43" s="588"/>
      <c r="K43" s="537"/>
      <c r="L43" s="537"/>
      <c r="M43" s="537">
        <v>1</v>
      </c>
      <c r="N43" s="590">
        <f t="shared" ref="N43" si="10">SUM(B43:M43)</f>
        <v>1</v>
      </c>
      <c r="O43" s="591">
        <f t="shared" ref="O43" si="11">AVERAGE(B43:M43)</f>
        <v>1</v>
      </c>
      <c r="P43" s="592">
        <f t="shared" si="5"/>
        <v>1.858045336306206E-2</v>
      </c>
    </row>
    <row r="44" spans="1:16" s="593" customFormat="1">
      <c r="A44" s="648" t="s">
        <v>56</v>
      </c>
      <c r="B44" s="587"/>
      <c r="C44" s="537"/>
      <c r="D44" s="588"/>
      <c r="E44" s="588"/>
      <c r="F44" s="588"/>
      <c r="G44" s="589"/>
      <c r="H44" s="589"/>
      <c r="I44" s="589"/>
      <c r="J44" s="588"/>
      <c r="K44" s="537"/>
      <c r="L44" s="537"/>
      <c r="M44" s="537">
        <v>0</v>
      </c>
      <c r="N44" s="590">
        <f t="shared" si="8"/>
        <v>0</v>
      </c>
      <c r="O44" s="591">
        <f t="shared" si="9"/>
        <v>0</v>
      </c>
      <c r="P44" s="592">
        <f t="shared" si="5"/>
        <v>0</v>
      </c>
    </row>
    <row r="45" spans="1:16" s="593" customFormat="1">
      <c r="A45" s="648" t="s">
        <v>57</v>
      </c>
      <c r="B45" s="587"/>
      <c r="C45" s="537"/>
      <c r="D45" s="588"/>
      <c r="E45" s="588"/>
      <c r="F45" s="588"/>
      <c r="G45" s="589"/>
      <c r="H45" s="589"/>
      <c r="I45" s="589"/>
      <c r="J45" s="588"/>
      <c r="K45" s="537"/>
      <c r="L45" s="537"/>
      <c r="M45" s="537">
        <v>552</v>
      </c>
      <c r="N45" s="590">
        <f t="shared" si="8"/>
        <v>552</v>
      </c>
      <c r="O45" s="591">
        <f t="shared" si="9"/>
        <v>552</v>
      </c>
      <c r="P45" s="592">
        <f t="shared" si="5"/>
        <v>10.256410256410255</v>
      </c>
    </row>
    <row r="46" spans="1:16" s="593" customFormat="1">
      <c r="A46" s="648" t="s">
        <v>58</v>
      </c>
      <c r="B46" s="587"/>
      <c r="C46" s="537"/>
      <c r="D46" s="588"/>
      <c r="E46" s="588"/>
      <c r="F46" s="588"/>
      <c r="G46" s="589"/>
      <c r="H46" s="589"/>
      <c r="I46" s="589"/>
      <c r="J46" s="588"/>
      <c r="K46" s="537"/>
      <c r="L46" s="537"/>
      <c r="M46" s="537">
        <v>2</v>
      </c>
      <c r="N46" s="590">
        <f t="shared" si="8"/>
        <v>2</v>
      </c>
      <c r="O46" s="591">
        <f t="shared" si="9"/>
        <v>2</v>
      </c>
      <c r="P46" s="592">
        <f t="shared" si="5"/>
        <v>3.716090672612412E-2</v>
      </c>
    </row>
    <row r="47" spans="1:16" s="593" customFormat="1">
      <c r="A47" s="648" t="s">
        <v>59</v>
      </c>
      <c r="B47" s="587"/>
      <c r="C47" s="537"/>
      <c r="D47" s="588"/>
      <c r="E47" s="588"/>
      <c r="F47" s="588"/>
      <c r="G47" s="589"/>
      <c r="H47" s="589"/>
      <c r="I47" s="589"/>
      <c r="J47" s="588"/>
      <c r="K47" s="537"/>
      <c r="L47" s="537"/>
      <c r="M47" s="537">
        <v>140</v>
      </c>
      <c r="N47" s="590">
        <f t="shared" si="8"/>
        <v>140</v>
      </c>
      <c r="O47" s="591">
        <f t="shared" si="9"/>
        <v>140</v>
      </c>
      <c r="P47" s="592">
        <f t="shared" si="5"/>
        <v>2.6012634708286884</v>
      </c>
    </row>
    <row r="48" spans="1:16" s="593" customFormat="1">
      <c r="A48" s="648" t="s">
        <v>60</v>
      </c>
      <c r="B48" s="587"/>
      <c r="C48" s="537"/>
      <c r="D48" s="588"/>
      <c r="E48" s="588"/>
      <c r="F48" s="588"/>
      <c r="G48" s="589"/>
      <c r="H48" s="589"/>
      <c r="I48" s="589"/>
      <c r="J48" s="588"/>
      <c r="K48" s="537"/>
      <c r="L48" s="537"/>
      <c r="M48" s="537">
        <v>153</v>
      </c>
      <c r="N48" s="590">
        <f t="shared" si="8"/>
        <v>153</v>
      </c>
      <c r="O48" s="591">
        <f t="shared" si="9"/>
        <v>153</v>
      </c>
      <c r="P48" s="592">
        <f t="shared" si="5"/>
        <v>2.8428093645484949</v>
      </c>
    </row>
    <row r="49" spans="1:16" s="593" customFormat="1">
      <c r="A49" s="648" t="s">
        <v>61</v>
      </c>
      <c r="B49" s="587"/>
      <c r="C49" s="537"/>
      <c r="D49" s="588"/>
      <c r="E49" s="588"/>
      <c r="F49" s="588"/>
      <c r="G49" s="589"/>
      <c r="H49" s="589"/>
      <c r="I49" s="589"/>
      <c r="J49" s="588"/>
      <c r="K49" s="537"/>
      <c r="L49" s="537"/>
      <c r="M49" s="537">
        <v>2</v>
      </c>
      <c r="N49" s="590">
        <f t="shared" si="8"/>
        <v>2</v>
      </c>
      <c r="O49" s="591">
        <f t="shared" si="9"/>
        <v>2</v>
      </c>
      <c r="P49" s="592">
        <f t="shared" si="5"/>
        <v>3.716090672612412E-2</v>
      </c>
    </row>
    <row r="50" spans="1:16" s="593" customFormat="1">
      <c r="A50" s="648" t="s">
        <v>62</v>
      </c>
      <c r="B50" s="587"/>
      <c r="C50" s="537"/>
      <c r="D50" s="588"/>
      <c r="E50" s="588"/>
      <c r="F50" s="588"/>
      <c r="G50" s="589"/>
      <c r="H50" s="589"/>
      <c r="I50" s="589"/>
      <c r="J50" s="588"/>
      <c r="K50" s="537"/>
      <c r="L50" s="537"/>
      <c r="M50" s="537">
        <v>7</v>
      </c>
      <c r="N50" s="590">
        <f t="shared" si="8"/>
        <v>7</v>
      </c>
      <c r="O50" s="591">
        <f t="shared" si="9"/>
        <v>7</v>
      </c>
      <c r="P50" s="592">
        <f t="shared" si="5"/>
        <v>0.1300631735414344</v>
      </c>
    </row>
    <row r="51" spans="1:16" s="593" customFormat="1">
      <c r="A51" s="647" t="s">
        <v>63</v>
      </c>
      <c r="B51" s="587"/>
      <c r="C51" s="537"/>
      <c r="D51" s="588"/>
      <c r="E51" s="588"/>
      <c r="F51" s="588"/>
      <c r="G51" s="589"/>
      <c r="H51" s="589"/>
      <c r="I51" s="589"/>
      <c r="J51" s="588"/>
      <c r="K51" s="537"/>
      <c r="L51" s="537"/>
      <c r="M51" s="537">
        <v>1</v>
      </c>
      <c r="N51" s="590">
        <f t="shared" si="8"/>
        <v>1</v>
      </c>
      <c r="O51" s="591">
        <f t="shared" si="9"/>
        <v>1</v>
      </c>
      <c r="P51" s="592">
        <f t="shared" si="5"/>
        <v>1.858045336306206E-2</v>
      </c>
    </row>
    <row r="52" spans="1:16" s="593" customFormat="1">
      <c r="A52" s="648" t="s">
        <v>64</v>
      </c>
      <c r="B52" s="587"/>
      <c r="C52" s="537"/>
      <c r="D52" s="588"/>
      <c r="E52" s="588"/>
      <c r="F52" s="588"/>
      <c r="G52" s="589"/>
      <c r="H52" s="589"/>
      <c r="I52" s="589"/>
      <c r="J52" s="588"/>
      <c r="K52" s="537"/>
      <c r="L52" s="537"/>
      <c r="M52" s="537">
        <v>27</v>
      </c>
      <c r="N52" s="590">
        <f t="shared" si="8"/>
        <v>27</v>
      </c>
      <c r="O52" s="591">
        <f t="shared" si="9"/>
        <v>27</v>
      </c>
      <c r="P52" s="592">
        <f t="shared" si="5"/>
        <v>0.50167224080267558</v>
      </c>
    </row>
    <row r="53" spans="1:16" s="593" customFormat="1">
      <c r="A53" s="648" t="s">
        <v>65</v>
      </c>
      <c r="B53" s="587"/>
      <c r="C53" s="537"/>
      <c r="D53" s="588"/>
      <c r="E53" s="588"/>
      <c r="F53" s="588"/>
      <c r="G53" s="589"/>
      <c r="H53" s="589"/>
      <c r="I53" s="589"/>
      <c r="J53" s="588"/>
      <c r="K53" s="537"/>
      <c r="L53" s="537"/>
      <c r="M53" s="537">
        <v>19</v>
      </c>
      <c r="N53" s="590">
        <f t="shared" si="8"/>
        <v>19</v>
      </c>
      <c r="O53" s="591">
        <f t="shared" si="9"/>
        <v>19</v>
      </c>
      <c r="P53" s="592">
        <f t="shared" si="5"/>
        <v>0.35302861389817908</v>
      </c>
    </row>
    <row r="54" spans="1:16" s="593" customFormat="1">
      <c r="A54" s="648" t="s">
        <v>66</v>
      </c>
      <c r="B54" s="587"/>
      <c r="C54" s="537"/>
      <c r="D54" s="588"/>
      <c r="E54" s="588"/>
      <c r="F54" s="588"/>
      <c r="G54" s="589"/>
      <c r="H54" s="589"/>
      <c r="I54" s="589"/>
      <c r="J54" s="588"/>
      <c r="K54" s="537"/>
      <c r="L54" s="537"/>
      <c r="M54" s="537">
        <v>8</v>
      </c>
      <c r="N54" s="590">
        <f t="shared" si="8"/>
        <v>8</v>
      </c>
      <c r="O54" s="591">
        <f t="shared" si="9"/>
        <v>8</v>
      </c>
      <c r="P54" s="592">
        <f t="shared" si="5"/>
        <v>0.14864362690449648</v>
      </c>
    </row>
    <row r="55" spans="1:16" s="593" customFormat="1">
      <c r="A55" s="648" t="s">
        <v>67</v>
      </c>
      <c r="B55" s="587"/>
      <c r="C55" s="537"/>
      <c r="D55" s="588"/>
      <c r="E55" s="588"/>
      <c r="F55" s="588"/>
      <c r="G55" s="589"/>
      <c r="H55" s="589"/>
      <c r="I55" s="589"/>
      <c r="J55" s="588"/>
      <c r="K55" s="537"/>
      <c r="L55" s="537"/>
      <c r="M55" s="537">
        <v>3</v>
      </c>
      <c r="N55" s="590">
        <f t="shared" si="8"/>
        <v>3</v>
      </c>
      <c r="O55" s="591">
        <f t="shared" si="9"/>
        <v>3</v>
      </c>
      <c r="P55" s="592">
        <f t="shared" si="5"/>
        <v>5.5741360089186176E-2</v>
      </c>
    </row>
    <row r="56" spans="1:16" s="593" customFormat="1">
      <c r="A56" s="648" t="s">
        <v>68</v>
      </c>
      <c r="B56" s="587"/>
      <c r="C56" s="537"/>
      <c r="D56" s="588"/>
      <c r="E56" s="588"/>
      <c r="F56" s="588"/>
      <c r="G56" s="589"/>
      <c r="H56" s="589"/>
      <c r="I56" s="589"/>
      <c r="J56" s="588"/>
      <c r="K56" s="537"/>
      <c r="L56" s="537"/>
      <c r="M56" s="537">
        <v>103</v>
      </c>
      <c r="N56" s="590">
        <f t="shared" si="8"/>
        <v>103</v>
      </c>
      <c r="O56" s="591">
        <f t="shared" si="9"/>
        <v>103</v>
      </c>
      <c r="P56" s="592">
        <f t="shared" si="5"/>
        <v>1.913786696395392</v>
      </c>
    </row>
    <row r="57" spans="1:16" s="593" customFormat="1">
      <c r="A57" s="648" t="s">
        <v>69</v>
      </c>
      <c r="B57" s="587"/>
      <c r="C57" s="537"/>
      <c r="D57" s="588"/>
      <c r="E57" s="588"/>
      <c r="F57" s="588"/>
      <c r="G57" s="589"/>
      <c r="H57" s="589"/>
      <c r="I57" s="589"/>
      <c r="J57" s="588"/>
      <c r="K57" s="537"/>
      <c r="L57" s="537"/>
      <c r="M57" s="537">
        <v>48</v>
      </c>
      <c r="N57" s="590">
        <f t="shared" si="8"/>
        <v>48</v>
      </c>
      <c r="O57" s="591">
        <f t="shared" si="9"/>
        <v>48</v>
      </c>
      <c r="P57" s="592">
        <f t="shared" si="5"/>
        <v>0.89186176142697882</v>
      </c>
    </row>
    <row r="58" spans="1:16" s="593" customFormat="1">
      <c r="A58" s="648" t="s">
        <v>70</v>
      </c>
      <c r="B58" s="587"/>
      <c r="C58" s="537"/>
      <c r="D58" s="588"/>
      <c r="E58" s="588"/>
      <c r="F58" s="588"/>
      <c r="G58" s="589"/>
      <c r="H58" s="589"/>
      <c r="I58" s="589"/>
      <c r="J58" s="588"/>
      <c r="K58" s="537"/>
      <c r="L58" s="537"/>
      <c r="M58" s="537">
        <v>0</v>
      </c>
      <c r="N58" s="590">
        <f t="shared" si="8"/>
        <v>0</v>
      </c>
      <c r="O58" s="591">
        <f t="shared" si="9"/>
        <v>0</v>
      </c>
      <c r="P58" s="592">
        <f t="shared" si="5"/>
        <v>0</v>
      </c>
    </row>
    <row r="59" spans="1:16" s="593" customFormat="1">
      <c r="A59" s="648" t="s">
        <v>71</v>
      </c>
      <c r="B59" s="587"/>
      <c r="C59" s="537"/>
      <c r="D59" s="588"/>
      <c r="E59" s="588"/>
      <c r="F59" s="588"/>
      <c r="G59" s="589"/>
      <c r="H59" s="589"/>
      <c r="I59" s="589"/>
      <c r="J59" s="588"/>
      <c r="K59" s="537"/>
      <c r="L59" s="537"/>
      <c r="M59" s="537">
        <v>19</v>
      </c>
      <c r="N59" s="590">
        <f t="shared" si="8"/>
        <v>19</v>
      </c>
      <c r="O59" s="591">
        <f t="shared" si="9"/>
        <v>19</v>
      </c>
      <c r="P59" s="592">
        <f t="shared" si="5"/>
        <v>0.35302861389817908</v>
      </c>
    </row>
    <row r="60" spans="1:16" s="593" customFormat="1">
      <c r="A60" s="648" t="s">
        <v>419</v>
      </c>
      <c r="B60" s="587"/>
      <c r="C60" s="537"/>
      <c r="D60" s="588"/>
      <c r="E60" s="588"/>
      <c r="F60" s="588"/>
      <c r="G60" s="589"/>
      <c r="H60" s="589"/>
      <c r="I60" s="589"/>
      <c r="J60" s="588"/>
      <c r="K60" s="537"/>
      <c r="L60" s="537"/>
      <c r="M60" s="537">
        <v>0</v>
      </c>
      <c r="N60" s="590">
        <f t="shared" si="8"/>
        <v>0</v>
      </c>
      <c r="O60" s="591">
        <f t="shared" si="9"/>
        <v>0</v>
      </c>
      <c r="P60" s="592">
        <f t="shared" si="5"/>
        <v>0</v>
      </c>
    </row>
    <row r="61" spans="1:16" s="593" customFormat="1">
      <c r="A61" s="648" t="s">
        <v>450</v>
      </c>
      <c r="B61" s="587"/>
      <c r="C61" s="537"/>
      <c r="D61" s="588"/>
      <c r="E61" s="588"/>
      <c r="F61" s="588"/>
      <c r="G61" s="589"/>
      <c r="H61" s="589"/>
      <c r="I61" s="589"/>
      <c r="J61" s="588"/>
      <c r="K61" s="537"/>
      <c r="L61" s="537"/>
      <c r="M61" s="537">
        <v>1</v>
      </c>
      <c r="N61" s="590">
        <f t="shared" si="8"/>
        <v>1</v>
      </c>
      <c r="O61" s="591">
        <f t="shared" si="9"/>
        <v>1</v>
      </c>
      <c r="P61" s="592">
        <f t="shared" si="5"/>
        <v>1.858045336306206E-2</v>
      </c>
    </row>
    <row r="62" spans="1:16" s="593" customFormat="1">
      <c r="A62" s="648" t="s">
        <v>72</v>
      </c>
      <c r="B62" s="587"/>
      <c r="C62" s="537"/>
      <c r="D62" s="588"/>
      <c r="E62" s="588"/>
      <c r="F62" s="588"/>
      <c r="G62" s="589"/>
      <c r="H62" s="589"/>
      <c r="I62" s="589"/>
      <c r="J62" s="588"/>
      <c r="K62" s="537"/>
      <c r="L62" s="537"/>
      <c r="M62" s="537">
        <v>21</v>
      </c>
      <c r="N62" s="590">
        <f t="shared" si="8"/>
        <v>21</v>
      </c>
      <c r="O62" s="591">
        <f t="shared" si="9"/>
        <v>21</v>
      </c>
      <c r="P62" s="592">
        <f t="shared" si="5"/>
        <v>0.39018952062430323</v>
      </c>
    </row>
    <row r="63" spans="1:16" s="593" customFormat="1">
      <c r="A63" s="648" t="s">
        <v>73</v>
      </c>
      <c r="B63" s="587"/>
      <c r="C63" s="537"/>
      <c r="D63" s="588"/>
      <c r="E63" s="588"/>
      <c r="F63" s="588"/>
      <c r="G63" s="589"/>
      <c r="H63" s="589"/>
      <c r="I63" s="589"/>
      <c r="J63" s="588"/>
      <c r="K63" s="537"/>
      <c r="L63" s="537"/>
      <c r="M63" s="537">
        <v>13</v>
      </c>
      <c r="N63" s="590">
        <f t="shared" si="8"/>
        <v>13</v>
      </c>
      <c r="O63" s="591">
        <f t="shared" si="9"/>
        <v>13</v>
      </c>
      <c r="P63" s="592">
        <f t="shared" si="5"/>
        <v>0.24154589371980675</v>
      </c>
    </row>
    <row r="64" spans="1:16" s="593" customFormat="1">
      <c r="A64" s="648" t="s">
        <v>74</v>
      </c>
      <c r="B64" s="587"/>
      <c r="C64" s="537"/>
      <c r="D64" s="588"/>
      <c r="E64" s="588"/>
      <c r="F64" s="588"/>
      <c r="G64" s="589"/>
      <c r="H64" s="589"/>
      <c r="I64" s="589"/>
      <c r="J64" s="588"/>
      <c r="K64" s="537"/>
      <c r="L64" s="537"/>
      <c r="M64" s="537">
        <v>23</v>
      </c>
      <c r="N64" s="590">
        <f t="shared" si="8"/>
        <v>23</v>
      </c>
      <c r="O64" s="591">
        <f t="shared" si="9"/>
        <v>23</v>
      </c>
      <c r="P64" s="592">
        <f t="shared" si="5"/>
        <v>0.42735042735042739</v>
      </c>
    </row>
    <row r="65" spans="1:16" s="593" customFormat="1">
      <c r="A65" s="648" t="s">
        <v>75</v>
      </c>
      <c r="B65" s="587"/>
      <c r="C65" s="537"/>
      <c r="D65" s="588"/>
      <c r="E65" s="588"/>
      <c r="F65" s="588"/>
      <c r="G65" s="589"/>
      <c r="H65" s="589"/>
      <c r="I65" s="589"/>
      <c r="J65" s="588"/>
      <c r="K65" s="537"/>
      <c r="L65" s="537"/>
      <c r="M65" s="537">
        <v>1</v>
      </c>
      <c r="N65" s="590">
        <f t="shared" si="8"/>
        <v>1</v>
      </c>
      <c r="O65" s="591">
        <f t="shared" si="9"/>
        <v>1</v>
      </c>
      <c r="P65" s="592">
        <f t="shared" si="5"/>
        <v>1.858045336306206E-2</v>
      </c>
    </row>
    <row r="66" spans="1:16" s="593" customFormat="1">
      <c r="A66" s="648" t="s">
        <v>76</v>
      </c>
      <c r="B66" s="587"/>
      <c r="C66" s="537"/>
      <c r="D66" s="588"/>
      <c r="E66" s="588"/>
      <c r="F66" s="588"/>
      <c r="G66" s="589"/>
      <c r="H66" s="589"/>
      <c r="I66" s="589"/>
      <c r="J66" s="588"/>
      <c r="K66" s="537"/>
      <c r="L66" s="537"/>
      <c r="M66" s="537">
        <v>6</v>
      </c>
      <c r="N66" s="590">
        <f t="shared" si="8"/>
        <v>6</v>
      </c>
      <c r="O66" s="591">
        <f t="shared" si="9"/>
        <v>6</v>
      </c>
      <c r="P66" s="592">
        <f t="shared" si="5"/>
        <v>0.11148272017837235</v>
      </c>
    </row>
    <row r="67" spans="1:16" s="593" customFormat="1">
      <c r="A67" s="648" t="s">
        <v>77</v>
      </c>
      <c r="B67" s="587"/>
      <c r="C67" s="537"/>
      <c r="D67" s="588"/>
      <c r="E67" s="588"/>
      <c r="F67" s="588"/>
      <c r="G67" s="589"/>
      <c r="H67" s="589"/>
      <c r="I67" s="589"/>
      <c r="J67" s="588"/>
      <c r="K67" s="537"/>
      <c r="L67" s="537"/>
      <c r="M67" s="537">
        <v>0</v>
      </c>
      <c r="N67" s="590">
        <f t="shared" si="8"/>
        <v>0</v>
      </c>
      <c r="O67" s="591">
        <f t="shared" si="9"/>
        <v>0</v>
      </c>
      <c r="P67" s="592">
        <f t="shared" si="5"/>
        <v>0</v>
      </c>
    </row>
    <row r="68" spans="1:16" s="593" customFormat="1">
      <c r="A68" s="648" t="s">
        <v>78</v>
      </c>
      <c r="B68" s="587"/>
      <c r="C68" s="537"/>
      <c r="D68" s="588"/>
      <c r="E68" s="588"/>
      <c r="F68" s="588"/>
      <c r="G68" s="589"/>
      <c r="H68" s="589"/>
      <c r="I68" s="589"/>
      <c r="J68" s="588"/>
      <c r="K68" s="537"/>
      <c r="L68" s="537"/>
      <c r="M68" s="537">
        <v>4</v>
      </c>
      <c r="N68" s="590">
        <f t="shared" si="8"/>
        <v>4</v>
      </c>
      <c r="O68" s="591">
        <f t="shared" si="9"/>
        <v>4</v>
      </c>
      <c r="P68" s="592">
        <f t="shared" si="5"/>
        <v>7.4321813452248239E-2</v>
      </c>
    </row>
    <row r="69" spans="1:16" s="593" customFormat="1">
      <c r="A69" s="648" t="s">
        <v>79</v>
      </c>
      <c r="B69" s="587"/>
      <c r="C69" s="537"/>
      <c r="D69" s="588"/>
      <c r="E69" s="588"/>
      <c r="F69" s="588"/>
      <c r="G69" s="589"/>
      <c r="H69" s="589"/>
      <c r="I69" s="589"/>
      <c r="J69" s="588"/>
      <c r="K69" s="537"/>
      <c r="L69" s="537"/>
      <c r="M69" s="537">
        <v>0</v>
      </c>
      <c r="N69" s="590">
        <f t="shared" si="8"/>
        <v>0</v>
      </c>
      <c r="O69" s="591">
        <f t="shared" si="9"/>
        <v>0</v>
      </c>
      <c r="P69" s="592">
        <f t="shared" ref="P69:P83" si="12">(N69/$N$229)*100</f>
        <v>0</v>
      </c>
    </row>
    <row r="70" spans="1:16" s="593" customFormat="1">
      <c r="A70" s="648" t="s">
        <v>80</v>
      </c>
      <c r="B70" s="587"/>
      <c r="C70" s="537"/>
      <c r="D70" s="588"/>
      <c r="E70" s="588"/>
      <c r="F70" s="588"/>
      <c r="G70" s="589"/>
      <c r="H70" s="589"/>
      <c r="I70" s="589"/>
      <c r="J70" s="588"/>
      <c r="K70" s="537"/>
      <c r="L70" s="537"/>
      <c r="M70" s="537">
        <v>26</v>
      </c>
      <c r="N70" s="590">
        <f t="shared" si="8"/>
        <v>26</v>
      </c>
      <c r="O70" s="591">
        <f t="shared" si="9"/>
        <v>26</v>
      </c>
      <c r="P70" s="592">
        <f t="shared" si="12"/>
        <v>0.48309178743961351</v>
      </c>
    </row>
    <row r="71" spans="1:16" s="593" customFormat="1">
      <c r="A71" s="648" t="s">
        <v>81</v>
      </c>
      <c r="B71" s="587"/>
      <c r="C71" s="537"/>
      <c r="D71" s="588"/>
      <c r="E71" s="588"/>
      <c r="F71" s="588"/>
      <c r="G71" s="589"/>
      <c r="H71" s="589"/>
      <c r="I71" s="589"/>
      <c r="J71" s="588"/>
      <c r="K71" s="537"/>
      <c r="L71" s="537"/>
      <c r="M71" s="537">
        <v>8</v>
      </c>
      <c r="N71" s="590">
        <f t="shared" si="8"/>
        <v>8</v>
      </c>
      <c r="O71" s="591">
        <f t="shared" si="9"/>
        <v>8</v>
      </c>
      <c r="P71" s="592">
        <f t="shared" si="12"/>
        <v>0.14864362690449648</v>
      </c>
    </row>
    <row r="72" spans="1:16" s="593" customFormat="1">
      <c r="A72" s="648" t="s">
        <v>446</v>
      </c>
      <c r="B72" s="587"/>
      <c r="C72" s="537"/>
      <c r="D72" s="588"/>
      <c r="E72" s="588"/>
      <c r="F72" s="588"/>
      <c r="G72" s="589"/>
      <c r="H72" s="589"/>
      <c r="I72" s="589"/>
      <c r="J72" s="588"/>
      <c r="K72" s="537"/>
      <c r="L72" s="537"/>
      <c r="M72" s="537">
        <v>0</v>
      </c>
      <c r="N72" s="590">
        <f t="shared" si="8"/>
        <v>0</v>
      </c>
      <c r="O72" s="591">
        <f t="shared" si="9"/>
        <v>0</v>
      </c>
      <c r="P72" s="592">
        <f t="shared" si="12"/>
        <v>0</v>
      </c>
    </row>
    <row r="73" spans="1:16" s="593" customFormat="1">
      <c r="A73" s="648" t="s">
        <v>82</v>
      </c>
      <c r="B73" s="587"/>
      <c r="C73" s="537"/>
      <c r="D73" s="588"/>
      <c r="E73" s="588"/>
      <c r="F73" s="588"/>
      <c r="G73" s="589"/>
      <c r="H73" s="589"/>
      <c r="I73" s="589"/>
      <c r="J73" s="588"/>
      <c r="K73" s="537"/>
      <c r="L73" s="537"/>
      <c r="M73" s="537">
        <v>59</v>
      </c>
      <c r="N73" s="590">
        <f t="shared" si="8"/>
        <v>59</v>
      </c>
      <c r="O73" s="591">
        <f t="shared" si="9"/>
        <v>59</v>
      </c>
      <c r="P73" s="592">
        <f t="shared" si="12"/>
        <v>1.0962467484206615</v>
      </c>
    </row>
    <row r="74" spans="1:16" s="593" customFormat="1">
      <c r="A74" s="648" t="s">
        <v>83</v>
      </c>
      <c r="B74" s="587"/>
      <c r="C74" s="537"/>
      <c r="D74" s="588"/>
      <c r="E74" s="588"/>
      <c r="F74" s="588"/>
      <c r="G74" s="589"/>
      <c r="H74" s="589"/>
      <c r="I74" s="589"/>
      <c r="J74" s="588"/>
      <c r="K74" s="537"/>
      <c r="L74" s="537"/>
      <c r="M74" s="537">
        <v>0</v>
      </c>
      <c r="N74" s="590">
        <f t="shared" si="8"/>
        <v>0</v>
      </c>
      <c r="O74" s="591">
        <f t="shared" si="9"/>
        <v>0</v>
      </c>
      <c r="P74" s="592">
        <f t="shared" si="12"/>
        <v>0</v>
      </c>
    </row>
    <row r="75" spans="1:16" s="593" customFormat="1">
      <c r="A75" s="648" t="s">
        <v>84</v>
      </c>
      <c r="B75" s="587"/>
      <c r="C75" s="537"/>
      <c r="D75" s="588"/>
      <c r="E75" s="588"/>
      <c r="F75" s="588"/>
      <c r="G75" s="589"/>
      <c r="H75" s="589"/>
      <c r="I75" s="589"/>
      <c r="J75" s="588"/>
      <c r="K75" s="537"/>
      <c r="L75" s="537"/>
      <c r="M75" s="537">
        <v>0</v>
      </c>
      <c r="N75" s="590">
        <f t="shared" si="8"/>
        <v>0</v>
      </c>
      <c r="O75" s="591">
        <f t="shared" si="9"/>
        <v>0</v>
      </c>
      <c r="P75" s="592">
        <f t="shared" si="12"/>
        <v>0</v>
      </c>
    </row>
    <row r="76" spans="1:16" s="593" customFormat="1">
      <c r="A76" s="648" t="s">
        <v>85</v>
      </c>
      <c r="B76" s="587"/>
      <c r="C76" s="537"/>
      <c r="D76" s="588"/>
      <c r="E76" s="588"/>
      <c r="F76" s="588"/>
      <c r="G76" s="589"/>
      <c r="H76" s="589"/>
      <c r="I76" s="589"/>
      <c r="J76" s="588"/>
      <c r="K76" s="537"/>
      <c r="L76" s="537"/>
      <c r="M76" s="537">
        <v>2</v>
      </c>
      <c r="N76" s="590">
        <f t="shared" si="8"/>
        <v>2</v>
      </c>
      <c r="O76" s="591">
        <f t="shared" si="9"/>
        <v>2</v>
      </c>
      <c r="P76" s="592">
        <f t="shared" si="12"/>
        <v>3.716090672612412E-2</v>
      </c>
    </row>
    <row r="77" spans="1:16" s="593" customFormat="1">
      <c r="A77" s="648" t="s">
        <v>86</v>
      </c>
      <c r="B77" s="587"/>
      <c r="C77" s="537"/>
      <c r="D77" s="588"/>
      <c r="E77" s="588"/>
      <c r="F77" s="588"/>
      <c r="G77" s="589"/>
      <c r="H77" s="589"/>
      <c r="I77" s="589"/>
      <c r="J77" s="588"/>
      <c r="K77" s="537"/>
      <c r="L77" s="537"/>
      <c r="M77" s="537">
        <v>12</v>
      </c>
      <c r="N77" s="590">
        <f t="shared" ref="N77:N117" si="13">SUM(B77:M77)</f>
        <v>12</v>
      </c>
      <c r="O77" s="591">
        <f t="shared" ref="O77:O117" si="14">AVERAGE(B77:M77)</f>
        <v>12</v>
      </c>
      <c r="P77" s="592">
        <f t="shared" si="12"/>
        <v>0.2229654403567447</v>
      </c>
    </row>
    <row r="78" spans="1:16" s="593" customFormat="1">
      <c r="A78" s="648" t="s">
        <v>87</v>
      </c>
      <c r="B78" s="587"/>
      <c r="C78" s="537"/>
      <c r="D78" s="588"/>
      <c r="E78" s="588"/>
      <c r="F78" s="588"/>
      <c r="G78" s="589"/>
      <c r="H78" s="589"/>
      <c r="I78" s="589"/>
      <c r="J78" s="588"/>
      <c r="K78" s="537"/>
      <c r="L78" s="537"/>
      <c r="M78" s="537">
        <v>27</v>
      </c>
      <c r="N78" s="590">
        <f t="shared" si="13"/>
        <v>27</v>
      </c>
      <c r="O78" s="591">
        <f t="shared" si="14"/>
        <v>27</v>
      </c>
      <c r="P78" s="592">
        <f t="shared" si="12"/>
        <v>0.50167224080267558</v>
      </c>
    </row>
    <row r="79" spans="1:16" s="593" customFormat="1">
      <c r="A79" s="648" t="s">
        <v>88</v>
      </c>
      <c r="B79" s="587"/>
      <c r="C79" s="537"/>
      <c r="D79" s="588"/>
      <c r="E79" s="588"/>
      <c r="F79" s="588"/>
      <c r="G79" s="589"/>
      <c r="H79" s="589"/>
      <c r="I79" s="589"/>
      <c r="J79" s="588"/>
      <c r="K79" s="537"/>
      <c r="L79" s="537"/>
      <c r="M79" s="537">
        <v>9</v>
      </c>
      <c r="N79" s="590">
        <f t="shared" si="13"/>
        <v>9</v>
      </c>
      <c r="O79" s="591">
        <f t="shared" si="14"/>
        <v>9</v>
      </c>
      <c r="P79" s="592">
        <f t="shared" si="12"/>
        <v>0.16722408026755853</v>
      </c>
    </row>
    <row r="80" spans="1:16" s="593" customFormat="1">
      <c r="A80" s="648" t="s">
        <v>458</v>
      </c>
      <c r="B80" s="587"/>
      <c r="C80" s="537"/>
      <c r="D80" s="588"/>
      <c r="E80" s="588"/>
      <c r="F80" s="588"/>
      <c r="G80" s="589"/>
      <c r="H80" s="589"/>
      <c r="I80" s="589"/>
      <c r="J80" s="588"/>
      <c r="K80" s="537"/>
      <c r="L80" s="537"/>
      <c r="M80" s="537">
        <v>3</v>
      </c>
      <c r="N80" s="590">
        <f t="shared" si="13"/>
        <v>3</v>
      </c>
      <c r="O80" s="591">
        <f t="shared" si="14"/>
        <v>3</v>
      </c>
      <c r="P80" s="592">
        <f t="shared" si="12"/>
        <v>5.5741360089186176E-2</v>
      </c>
    </row>
    <row r="81" spans="1:16" s="593" customFormat="1">
      <c r="A81" s="648" t="s">
        <v>459</v>
      </c>
      <c r="B81" s="587"/>
      <c r="C81" s="537"/>
      <c r="D81" s="588"/>
      <c r="E81" s="588"/>
      <c r="F81" s="588"/>
      <c r="G81" s="589"/>
      <c r="H81" s="589"/>
      <c r="I81" s="589"/>
      <c r="J81" s="588"/>
      <c r="K81" s="537"/>
      <c r="L81" s="537"/>
      <c r="M81" s="537">
        <v>1</v>
      </c>
      <c r="N81" s="590">
        <f t="shared" si="13"/>
        <v>1</v>
      </c>
      <c r="O81" s="591">
        <f t="shared" si="14"/>
        <v>1</v>
      </c>
      <c r="P81" s="592">
        <f t="shared" si="12"/>
        <v>1.858045336306206E-2</v>
      </c>
    </row>
    <row r="82" spans="1:16" s="593" customFormat="1">
      <c r="A82" s="648" t="s">
        <v>460</v>
      </c>
      <c r="B82" s="587"/>
      <c r="C82" s="537"/>
      <c r="D82" s="588"/>
      <c r="E82" s="588"/>
      <c r="F82" s="588"/>
      <c r="G82" s="589"/>
      <c r="H82" s="589"/>
      <c r="I82" s="589"/>
      <c r="J82" s="588"/>
      <c r="K82" s="537"/>
      <c r="L82" s="537"/>
      <c r="M82" s="537">
        <v>0</v>
      </c>
      <c r="N82" s="590">
        <f t="shared" si="13"/>
        <v>0</v>
      </c>
      <c r="O82" s="591">
        <f t="shared" si="14"/>
        <v>0</v>
      </c>
      <c r="P82" s="592">
        <f t="shared" si="12"/>
        <v>0</v>
      </c>
    </row>
    <row r="83" spans="1:16" s="593" customFormat="1">
      <c r="A83" s="648" t="s">
        <v>413</v>
      </c>
      <c r="B83" s="587"/>
      <c r="C83" s="537"/>
      <c r="D83" s="588"/>
      <c r="E83" s="588"/>
      <c r="F83" s="588"/>
      <c r="G83" s="589"/>
      <c r="H83" s="589"/>
      <c r="I83" s="589"/>
      <c r="J83" s="588"/>
      <c r="K83" s="537"/>
      <c r="L83" s="537"/>
      <c r="M83" s="537">
        <v>1</v>
      </c>
      <c r="N83" s="590">
        <f t="shared" si="13"/>
        <v>1</v>
      </c>
      <c r="O83" s="591">
        <f t="shared" si="14"/>
        <v>1</v>
      </c>
      <c r="P83" s="592">
        <f t="shared" si="12"/>
        <v>1.858045336306206E-2</v>
      </c>
    </row>
    <row r="84" spans="1:16" s="593" customFormat="1">
      <c r="A84" s="648" t="s">
        <v>467</v>
      </c>
      <c r="B84" s="587"/>
      <c r="C84" s="537"/>
      <c r="D84" s="588"/>
      <c r="E84" s="588"/>
      <c r="F84" s="588"/>
      <c r="G84" s="589"/>
      <c r="H84" s="589"/>
      <c r="I84" s="589"/>
      <c r="J84" s="588"/>
      <c r="K84" s="537"/>
      <c r="L84" s="537"/>
      <c r="M84" s="537">
        <v>1</v>
      </c>
      <c r="N84" s="590">
        <f t="shared" ref="N84:N85" si="15">SUM(B84:M84)</f>
        <v>1</v>
      </c>
      <c r="O84" s="591">
        <f t="shared" ref="O84:O85" si="16">AVERAGE(B84:M84)</f>
        <v>1</v>
      </c>
      <c r="P84" s="592">
        <f t="shared" ref="P84:P85" si="17">(N84/$N$229)*100</f>
        <v>1.858045336306206E-2</v>
      </c>
    </row>
    <row r="85" spans="1:16" s="593" customFormat="1">
      <c r="A85" s="648" t="s">
        <v>468</v>
      </c>
      <c r="B85" s="587"/>
      <c r="C85" s="537"/>
      <c r="D85" s="588"/>
      <c r="E85" s="588"/>
      <c r="F85" s="588"/>
      <c r="G85" s="589"/>
      <c r="H85" s="589"/>
      <c r="I85" s="589"/>
      <c r="J85" s="588"/>
      <c r="K85" s="537"/>
      <c r="L85" s="537"/>
      <c r="M85" s="537">
        <v>2</v>
      </c>
      <c r="N85" s="590">
        <f t="shared" si="15"/>
        <v>2</v>
      </c>
      <c r="O85" s="591">
        <f t="shared" si="16"/>
        <v>2</v>
      </c>
      <c r="P85" s="592">
        <f t="shared" si="17"/>
        <v>3.716090672612412E-2</v>
      </c>
    </row>
    <row r="86" spans="1:16" s="593" customFormat="1">
      <c r="A86" s="648" t="s">
        <v>420</v>
      </c>
      <c r="B86" s="587"/>
      <c r="C86" s="537"/>
      <c r="D86" s="588"/>
      <c r="E86" s="588"/>
      <c r="F86" s="588"/>
      <c r="G86" s="589"/>
      <c r="H86" s="589"/>
      <c r="I86" s="589"/>
      <c r="J86" s="588"/>
      <c r="K86" s="537"/>
      <c r="L86" s="537"/>
      <c r="M86" s="537">
        <v>0</v>
      </c>
      <c r="N86" s="590">
        <f t="shared" si="13"/>
        <v>0</v>
      </c>
      <c r="O86" s="591">
        <f t="shared" si="14"/>
        <v>0</v>
      </c>
      <c r="P86" s="592">
        <f t="shared" ref="P86:P122" si="18">(N86/$N$229)*100</f>
        <v>0</v>
      </c>
    </row>
    <row r="87" spans="1:16" s="593" customFormat="1">
      <c r="A87" s="647" t="s">
        <v>89</v>
      </c>
      <c r="B87" s="587"/>
      <c r="C87" s="537"/>
      <c r="D87" s="588"/>
      <c r="E87" s="588"/>
      <c r="F87" s="588"/>
      <c r="G87" s="589"/>
      <c r="H87" s="589"/>
      <c r="I87" s="589"/>
      <c r="J87" s="588"/>
      <c r="K87" s="537"/>
      <c r="L87" s="537"/>
      <c r="M87" s="537">
        <v>20</v>
      </c>
      <c r="N87" s="590">
        <f t="shared" si="13"/>
        <v>20</v>
      </c>
      <c r="O87" s="591">
        <f t="shared" si="14"/>
        <v>20</v>
      </c>
      <c r="P87" s="592">
        <f t="shared" si="18"/>
        <v>0.37160906726124115</v>
      </c>
    </row>
    <row r="88" spans="1:16" s="593" customFormat="1">
      <c r="A88" s="648" t="s">
        <v>90</v>
      </c>
      <c r="B88" s="587"/>
      <c r="C88" s="537"/>
      <c r="D88" s="588"/>
      <c r="E88" s="588"/>
      <c r="F88" s="588"/>
      <c r="G88" s="589"/>
      <c r="H88" s="589"/>
      <c r="I88" s="589"/>
      <c r="J88" s="588"/>
      <c r="K88" s="537"/>
      <c r="L88" s="537"/>
      <c r="M88" s="537">
        <v>27</v>
      </c>
      <c r="N88" s="590">
        <f t="shared" si="13"/>
        <v>27</v>
      </c>
      <c r="O88" s="591">
        <f t="shared" si="14"/>
        <v>27</v>
      </c>
      <c r="P88" s="592">
        <f t="shared" si="18"/>
        <v>0.50167224080267558</v>
      </c>
    </row>
    <row r="89" spans="1:16" s="593" customFormat="1">
      <c r="A89" s="648" t="s">
        <v>91</v>
      </c>
      <c r="B89" s="587"/>
      <c r="C89" s="537"/>
      <c r="D89" s="588"/>
      <c r="E89" s="588"/>
      <c r="F89" s="588"/>
      <c r="G89" s="589"/>
      <c r="H89" s="589"/>
      <c r="I89" s="589"/>
      <c r="J89" s="588"/>
      <c r="K89" s="537"/>
      <c r="L89" s="537"/>
      <c r="M89" s="537">
        <v>14</v>
      </c>
      <c r="N89" s="590">
        <f t="shared" si="13"/>
        <v>14</v>
      </c>
      <c r="O89" s="591">
        <f t="shared" si="14"/>
        <v>14</v>
      </c>
      <c r="P89" s="592">
        <f t="shared" si="18"/>
        <v>0.2601263470828688</v>
      </c>
    </row>
    <row r="90" spans="1:16" s="593" customFormat="1">
      <c r="A90" s="647" t="s">
        <v>93</v>
      </c>
      <c r="B90" s="587"/>
      <c r="C90" s="537"/>
      <c r="D90" s="588"/>
      <c r="E90" s="588"/>
      <c r="F90" s="588"/>
      <c r="G90" s="589"/>
      <c r="H90" s="589"/>
      <c r="I90" s="589"/>
      <c r="J90" s="588"/>
      <c r="K90" s="537"/>
      <c r="L90" s="537"/>
      <c r="M90" s="537">
        <v>6</v>
      </c>
      <c r="N90" s="590">
        <f t="shared" si="13"/>
        <v>6</v>
      </c>
      <c r="O90" s="591">
        <f t="shared" si="14"/>
        <v>6</v>
      </c>
      <c r="P90" s="592">
        <f t="shared" si="18"/>
        <v>0.11148272017837235</v>
      </c>
    </row>
    <row r="91" spans="1:16" s="593" customFormat="1">
      <c r="A91" s="647" t="s">
        <v>92</v>
      </c>
      <c r="B91" s="587"/>
      <c r="C91" s="537"/>
      <c r="D91" s="588"/>
      <c r="E91" s="588"/>
      <c r="F91" s="588"/>
      <c r="G91" s="589"/>
      <c r="H91" s="589"/>
      <c r="I91" s="589"/>
      <c r="J91" s="588"/>
      <c r="K91" s="537"/>
      <c r="L91" s="537"/>
      <c r="M91" s="537">
        <v>5</v>
      </c>
      <c r="N91" s="590">
        <f t="shared" si="13"/>
        <v>5</v>
      </c>
      <c r="O91" s="591">
        <f t="shared" si="14"/>
        <v>5</v>
      </c>
      <c r="P91" s="592">
        <f t="shared" si="18"/>
        <v>9.2902266815310289E-2</v>
      </c>
    </row>
    <row r="92" spans="1:16" s="593" customFormat="1">
      <c r="A92" s="648" t="s">
        <v>94</v>
      </c>
      <c r="B92" s="587"/>
      <c r="C92" s="537"/>
      <c r="D92" s="588"/>
      <c r="E92" s="588"/>
      <c r="F92" s="588"/>
      <c r="G92" s="589"/>
      <c r="H92" s="589"/>
      <c r="I92" s="589"/>
      <c r="J92" s="588"/>
      <c r="K92" s="537"/>
      <c r="L92" s="537"/>
      <c r="M92" s="537">
        <v>105</v>
      </c>
      <c r="N92" s="590">
        <f t="shared" si="13"/>
        <v>105</v>
      </c>
      <c r="O92" s="591">
        <f t="shared" si="14"/>
        <v>105</v>
      </c>
      <c r="P92" s="592">
        <f t="shared" si="18"/>
        <v>1.950947603121516</v>
      </c>
    </row>
    <row r="93" spans="1:16" s="593" customFormat="1">
      <c r="A93" s="648" t="s">
        <v>426</v>
      </c>
      <c r="B93" s="587"/>
      <c r="C93" s="537"/>
      <c r="D93" s="588"/>
      <c r="E93" s="588"/>
      <c r="F93" s="588"/>
      <c r="G93" s="589"/>
      <c r="H93" s="589"/>
      <c r="I93" s="589"/>
      <c r="J93" s="588"/>
      <c r="K93" s="537"/>
      <c r="L93" s="537"/>
      <c r="M93" s="537">
        <v>8</v>
      </c>
      <c r="N93" s="590">
        <f t="shared" si="13"/>
        <v>8</v>
      </c>
      <c r="O93" s="591">
        <f t="shared" si="14"/>
        <v>8</v>
      </c>
      <c r="P93" s="592">
        <f t="shared" si="18"/>
        <v>0.14864362690449648</v>
      </c>
    </row>
    <row r="94" spans="1:16" s="593" customFormat="1">
      <c r="A94" s="648" t="s">
        <v>461</v>
      </c>
      <c r="B94" s="587"/>
      <c r="C94" s="537"/>
      <c r="D94" s="588"/>
      <c r="E94" s="588"/>
      <c r="F94" s="588"/>
      <c r="G94" s="589"/>
      <c r="H94" s="589"/>
      <c r="I94" s="589"/>
      <c r="J94" s="588"/>
      <c r="K94" s="537"/>
      <c r="L94" s="537"/>
      <c r="M94" s="537">
        <v>0</v>
      </c>
      <c r="N94" s="590">
        <f t="shared" si="13"/>
        <v>0</v>
      </c>
      <c r="O94" s="591">
        <f t="shared" si="14"/>
        <v>0</v>
      </c>
      <c r="P94" s="592">
        <f t="shared" si="18"/>
        <v>0</v>
      </c>
    </row>
    <row r="95" spans="1:16" s="593" customFormat="1">
      <c r="A95" s="648" t="s">
        <v>95</v>
      </c>
      <c r="B95" s="587"/>
      <c r="C95" s="537"/>
      <c r="D95" s="588"/>
      <c r="E95" s="588"/>
      <c r="F95" s="588"/>
      <c r="G95" s="589"/>
      <c r="H95" s="589"/>
      <c r="I95" s="589"/>
      <c r="J95" s="588"/>
      <c r="K95" s="537"/>
      <c r="L95" s="537"/>
      <c r="M95" s="537">
        <v>0</v>
      </c>
      <c r="N95" s="590">
        <f t="shared" si="13"/>
        <v>0</v>
      </c>
      <c r="O95" s="591">
        <f t="shared" si="14"/>
        <v>0</v>
      </c>
      <c r="P95" s="592">
        <f t="shared" si="18"/>
        <v>0</v>
      </c>
    </row>
    <row r="96" spans="1:16" s="593" customFormat="1">
      <c r="A96" s="648" t="s">
        <v>11</v>
      </c>
      <c r="B96" s="587"/>
      <c r="C96" s="674"/>
      <c r="D96" s="588"/>
      <c r="E96" s="588"/>
      <c r="F96" s="588"/>
      <c r="G96" s="589"/>
      <c r="H96" s="589"/>
      <c r="I96" s="589"/>
      <c r="J96" s="588"/>
      <c r="K96" s="537"/>
      <c r="L96" s="537"/>
      <c r="M96" s="537">
        <v>70</v>
      </c>
      <c r="N96" s="590">
        <f t="shared" si="13"/>
        <v>70</v>
      </c>
      <c r="O96" s="591">
        <f t="shared" si="14"/>
        <v>70</v>
      </c>
      <c r="P96" s="592">
        <f t="shared" si="18"/>
        <v>1.3006317354143442</v>
      </c>
    </row>
    <row r="97" spans="1:16" s="593" customFormat="1">
      <c r="A97" s="648" t="s">
        <v>96</v>
      </c>
      <c r="B97" s="587"/>
      <c r="C97" s="674"/>
      <c r="D97" s="588"/>
      <c r="E97" s="588"/>
      <c r="F97" s="588"/>
      <c r="G97" s="589"/>
      <c r="H97" s="589"/>
      <c r="I97" s="589"/>
      <c r="J97" s="588"/>
      <c r="K97" s="537"/>
      <c r="L97" s="537"/>
      <c r="M97" s="537">
        <v>1</v>
      </c>
      <c r="N97" s="590">
        <f t="shared" si="13"/>
        <v>1</v>
      </c>
      <c r="O97" s="591">
        <f t="shared" si="14"/>
        <v>1</v>
      </c>
      <c r="P97" s="592">
        <f t="shared" si="18"/>
        <v>1.858045336306206E-2</v>
      </c>
    </row>
    <row r="98" spans="1:16" s="593" customFormat="1">
      <c r="A98" s="648" t="s">
        <v>97</v>
      </c>
      <c r="B98" s="587"/>
      <c r="C98" s="537"/>
      <c r="D98" s="588"/>
      <c r="E98" s="588"/>
      <c r="F98" s="588"/>
      <c r="G98" s="589"/>
      <c r="H98" s="589"/>
      <c r="I98" s="589"/>
      <c r="J98" s="588"/>
      <c r="K98" s="537"/>
      <c r="L98" s="537"/>
      <c r="M98" s="537">
        <v>1</v>
      </c>
      <c r="N98" s="590">
        <f t="shared" si="13"/>
        <v>1</v>
      </c>
      <c r="O98" s="591">
        <f t="shared" si="14"/>
        <v>1</v>
      </c>
      <c r="P98" s="592">
        <f t="shared" si="18"/>
        <v>1.858045336306206E-2</v>
      </c>
    </row>
    <row r="99" spans="1:16" s="593" customFormat="1">
      <c r="A99" s="648" t="s">
        <v>98</v>
      </c>
      <c r="B99" s="587"/>
      <c r="C99" s="537"/>
      <c r="D99" s="588"/>
      <c r="E99" s="588"/>
      <c r="F99" s="588"/>
      <c r="G99" s="589"/>
      <c r="H99" s="589"/>
      <c r="I99" s="589"/>
      <c r="J99" s="588"/>
      <c r="K99" s="537"/>
      <c r="L99" s="537"/>
      <c r="M99" s="537">
        <v>166</v>
      </c>
      <c r="N99" s="590">
        <f t="shared" si="13"/>
        <v>166</v>
      </c>
      <c r="O99" s="591">
        <f t="shared" si="14"/>
        <v>166</v>
      </c>
      <c r="P99" s="592">
        <f t="shared" si="18"/>
        <v>3.0843552582683018</v>
      </c>
    </row>
    <row r="100" spans="1:16" s="593" customFormat="1">
      <c r="A100" s="648" t="s">
        <v>99</v>
      </c>
      <c r="B100" s="587"/>
      <c r="C100" s="537"/>
      <c r="D100" s="588"/>
      <c r="E100" s="588"/>
      <c r="F100" s="588"/>
      <c r="G100" s="589"/>
      <c r="H100" s="589"/>
      <c r="I100" s="589"/>
      <c r="J100" s="588"/>
      <c r="K100" s="537"/>
      <c r="L100" s="537"/>
      <c r="M100" s="537">
        <v>57</v>
      </c>
      <c r="N100" s="590">
        <f t="shared" si="13"/>
        <v>57</v>
      </c>
      <c r="O100" s="591">
        <f t="shared" si="14"/>
        <v>57</v>
      </c>
      <c r="P100" s="592">
        <f t="shared" si="18"/>
        <v>1.0590858416945375</v>
      </c>
    </row>
    <row r="101" spans="1:16" s="593" customFormat="1">
      <c r="A101" s="648" t="s">
        <v>100</v>
      </c>
      <c r="B101" s="587"/>
      <c r="C101" s="537"/>
      <c r="D101" s="588"/>
      <c r="E101" s="588"/>
      <c r="F101" s="588"/>
      <c r="G101" s="589"/>
      <c r="H101" s="589"/>
      <c r="I101" s="589"/>
      <c r="J101" s="588"/>
      <c r="K101" s="537"/>
      <c r="L101" s="537"/>
      <c r="M101" s="537">
        <v>0</v>
      </c>
      <c r="N101" s="590">
        <f t="shared" si="13"/>
        <v>0</v>
      </c>
      <c r="O101" s="591">
        <f t="shared" si="14"/>
        <v>0</v>
      </c>
      <c r="P101" s="592">
        <f t="shared" si="18"/>
        <v>0</v>
      </c>
    </row>
    <row r="102" spans="1:16" s="593" customFormat="1">
      <c r="A102" s="648" t="s">
        <v>101</v>
      </c>
      <c r="B102" s="587"/>
      <c r="C102" s="537"/>
      <c r="D102" s="588"/>
      <c r="E102" s="588"/>
      <c r="F102" s="588"/>
      <c r="G102" s="589"/>
      <c r="H102" s="589"/>
      <c r="I102" s="589"/>
      <c r="J102" s="588"/>
      <c r="K102" s="537"/>
      <c r="L102" s="537"/>
      <c r="M102" s="537">
        <v>9</v>
      </c>
      <c r="N102" s="590">
        <f t="shared" si="13"/>
        <v>9</v>
      </c>
      <c r="O102" s="591">
        <f t="shared" si="14"/>
        <v>9</v>
      </c>
      <c r="P102" s="592">
        <f t="shared" si="18"/>
        <v>0.16722408026755853</v>
      </c>
    </row>
    <row r="103" spans="1:16" s="593" customFormat="1">
      <c r="A103" s="648" t="s">
        <v>430</v>
      </c>
      <c r="B103" s="587"/>
      <c r="C103" s="537"/>
      <c r="D103" s="588"/>
      <c r="E103" s="588"/>
      <c r="F103" s="588"/>
      <c r="G103" s="589"/>
      <c r="H103" s="589"/>
      <c r="I103" s="589"/>
      <c r="J103" s="588"/>
      <c r="K103" s="537"/>
      <c r="L103" s="537"/>
      <c r="M103" s="537">
        <v>22</v>
      </c>
      <c r="N103" s="590">
        <f t="shared" si="13"/>
        <v>22</v>
      </c>
      <c r="O103" s="591">
        <f t="shared" si="14"/>
        <v>22</v>
      </c>
      <c r="P103" s="592">
        <f t="shared" si="18"/>
        <v>0.40876997398736531</v>
      </c>
    </row>
    <row r="104" spans="1:16" s="593" customFormat="1">
      <c r="A104" s="648" t="s">
        <v>102</v>
      </c>
      <c r="B104" s="587"/>
      <c r="C104" s="537"/>
      <c r="D104" s="588"/>
      <c r="E104" s="588"/>
      <c r="F104" s="588"/>
      <c r="G104" s="589"/>
      <c r="H104" s="589"/>
      <c r="I104" s="589"/>
      <c r="J104" s="588"/>
      <c r="K104" s="537"/>
      <c r="L104" s="537"/>
      <c r="M104" s="537">
        <v>16</v>
      </c>
      <c r="N104" s="590">
        <f t="shared" si="13"/>
        <v>16</v>
      </c>
      <c r="O104" s="591">
        <f t="shared" si="14"/>
        <v>16</v>
      </c>
      <c r="P104" s="592">
        <f t="shared" si="18"/>
        <v>0.29728725380899296</v>
      </c>
    </row>
    <row r="105" spans="1:16" s="593" customFormat="1">
      <c r="A105" s="648" t="s">
        <v>103</v>
      </c>
      <c r="B105" s="587"/>
      <c r="C105" s="537"/>
      <c r="D105" s="588"/>
      <c r="E105" s="588"/>
      <c r="F105" s="588"/>
      <c r="G105" s="589"/>
      <c r="H105" s="589"/>
      <c r="I105" s="589"/>
      <c r="J105" s="588"/>
      <c r="K105" s="537"/>
      <c r="L105" s="537"/>
      <c r="M105" s="537">
        <v>0</v>
      </c>
      <c r="N105" s="590">
        <f t="shared" si="13"/>
        <v>0</v>
      </c>
      <c r="O105" s="591">
        <f t="shared" si="14"/>
        <v>0</v>
      </c>
      <c r="P105" s="592">
        <f t="shared" si="18"/>
        <v>0</v>
      </c>
    </row>
    <row r="106" spans="1:16" s="593" customFormat="1">
      <c r="A106" s="648" t="s">
        <v>451</v>
      </c>
      <c r="B106" s="587"/>
      <c r="C106" s="537"/>
      <c r="D106" s="588"/>
      <c r="E106" s="588"/>
      <c r="F106" s="588"/>
      <c r="G106" s="589"/>
      <c r="H106" s="589"/>
      <c r="I106" s="589"/>
      <c r="J106" s="588"/>
      <c r="K106" s="537"/>
      <c r="L106" s="537"/>
      <c r="M106" s="537">
        <v>0</v>
      </c>
      <c r="N106" s="590">
        <f t="shared" si="13"/>
        <v>0</v>
      </c>
      <c r="O106" s="591">
        <f t="shared" si="14"/>
        <v>0</v>
      </c>
      <c r="P106" s="592">
        <f t="shared" si="18"/>
        <v>0</v>
      </c>
    </row>
    <row r="107" spans="1:16" s="593" customFormat="1">
      <c r="A107" s="648" t="s">
        <v>414</v>
      </c>
      <c r="B107" s="587"/>
      <c r="C107" s="537"/>
      <c r="D107" s="588"/>
      <c r="E107" s="588"/>
      <c r="F107" s="588"/>
      <c r="G107" s="589"/>
      <c r="H107" s="589"/>
      <c r="I107" s="589"/>
      <c r="J107" s="588"/>
      <c r="K107" s="537"/>
      <c r="L107" s="537"/>
      <c r="M107" s="537">
        <v>0</v>
      </c>
      <c r="N107" s="590">
        <f t="shared" si="13"/>
        <v>0</v>
      </c>
      <c r="O107" s="591">
        <f t="shared" si="14"/>
        <v>0</v>
      </c>
      <c r="P107" s="592">
        <f t="shared" si="18"/>
        <v>0</v>
      </c>
    </row>
    <row r="108" spans="1:16" s="593" customFormat="1">
      <c r="A108" s="648" t="s">
        <v>104</v>
      </c>
      <c r="B108" s="587"/>
      <c r="C108" s="537"/>
      <c r="D108" s="588"/>
      <c r="E108" s="588"/>
      <c r="F108" s="588"/>
      <c r="G108" s="589"/>
      <c r="H108" s="589"/>
      <c r="I108" s="589"/>
      <c r="J108" s="588"/>
      <c r="K108" s="537"/>
      <c r="L108" s="537"/>
      <c r="M108" s="537">
        <v>13</v>
      </c>
      <c r="N108" s="590">
        <f t="shared" si="13"/>
        <v>13</v>
      </c>
      <c r="O108" s="591">
        <f t="shared" si="14"/>
        <v>13</v>
      </c>
      <c r="P108" s="592">
        <f t="shared" si="18"/>
        <v>0.24154589371980675</v>
      </c>
    </row>
    <row r="109" spans="1:16" s="593" customFormat="1">
      <c r="A109" s="648" t="s">
        <v>105</v>
      </c>
      <c r="B109" s="587"/>
      <c r="C109" s="537"/>
      <c r="D109" s="588"/>
      <c r="E109" s="588"/>
      <c r="F109" s="588"/>
      <c r="G109" s="589"/>
      <c r="H109" s="589"/>
      <c r="I109" s="589"/>
      <c r="J109" s="588"/>
      <c r="K109" s="537"/>
      <c r="L109" s="537"/>
      <c r="M109" s="537">
        <v>0</v>
      </c>
      <c r="N109" s="590">
        <f t="shared" si="13"/>
        <v>0</v>
      </c>
      <c r="O109" s="591">
        <f t="shared" si="14"/>
        <v>0</v>
      </c>
      <c r="P109" s="592">
        <f t="shared" si="18"/>
        <v>0</v>
      </c>
    </row>
    <row r="110" spans="1:16" s="593" customFormat="1">
      <c r="A110" s="648" t="s">
        <v>106</v>
      </c>
      <c r="B110" s="587"/>
      <c r="C110" s="537"/>
      <c r="D110" s="588"/>
      <c r="E110" s="588"/>
      <c r="F110" s="588"/>
      <c r="G110" s="589"/>
      <c r="H110" s="589"/>
      <c r="I110" s="589"/>
      <c r="J110" s="588"/>
      <c r="K110" s="537"/>
      <c r="L110" s="537"/>
      <c r="M110" s="537">
        <v>88</v>
      </c>
      <c r="N110" s="590">
        <f t="shared" si="13"/>
        <v>88</v>
      </c>
      <c r="O110" s="591">
        <f t="shared" si="14"/>
        <v>88</v>
      </c>
      <c r="P110" s="592">
        <f t="shared" si="18"/>
        <v>1.6350798959494612</v>
      </c>
    </row>
    <row r="111" spans="1:16" s="593" customFormat="1">
      <c r="A111" s="648" t="s">
        <v>469</v>
      </c>
      <c r="B111" s="587"/>
      <c r="C111" s="537"/>
      <c r="D111" s="588"/>
      <c r="E111" s="588"/>
      <c r="F111" s="588"/>
      <c r="G111" s="589"/>
      <c r="H111" s="589"/>
      <c r="I111" s="589"/>
      <c r="J111" s="588"/>
      <c r="K111" s="537"/>
      <c r="L111" s="537"/>
      <c r="M111" s="537">
        <v>1</v>
      </c>
      <c r="N111" s="590">
        <f t="shared" ref="N111" si="19">SUM(B111:M111)</f>
        <v>1</v>
      </c>
      <c r="O111" s="591">
        <f t="shared" ref="O111" si="20">AVERAGE(B111:M111)</f>
        <v>1</v>
      </c>
      <c r="P111" s="592">
        <f t="shared" si="18"/>
        <v>1.858045336306206E-2</v>
      </c>
    </row>
    <row r="112" spans="1:16" s="593" customFormat="1">
      <c r="A112" s="648" t="s">
        <v>107</v>
      </c>
      <c r="B112" s="587"/>
      <c r="C112" s="537"/>
      <c r="D112" s="588"/>
      <c r="E112" s="588"/>
      <c r="F112" s="588"/>
      <c r="G112" s="589"/>
      <c r="H112" s="589"/>
      <c r="I112" s="589"/>
      <c r="J112" s="588"/>
      <c r="K112" s="537"/>
      <c r="L112" s="537"/>
      <c r="M112" s="537">
        <v>1</v>
      </c>
      <c r="N112" s="590">
        <f t="shared" si="13"/>
        <v>1</v>
      </c>
      <c r="O112" s="591">
        <f t="shared" si="14"/>
        <v>1</v>
      </c>
      <c r="P112" s="592">
        <f t="shared" si="18"/>
        <v>1.858045336306206E-2</v>
      </c>
    </row>
    <row r="113" spans="1:16" s="593" customFormat="1">
      <c r="A113" s="675" t="s">
        <v>452</v>
      </c>
      <c r="B113" s="587"/>
      <c r="C113" s="537"/>
      <c r="D113" s="588"/>
      <c r="E113" s="588"/>
      <c r="F113" s="588"/>
      <c r="G113" s="589"/>
      <c r="H113" s="589"/>
      <c r="I113" s="589"/>
      <c r="J113" s="588"/>
      <c r="K113" s="537"/>
      <c r="L113" s="537"/>
      <c r="M113" s="537">
        <v>4</v>
      </c>
      <c r="N113" s="590">
        <f t="shared" si="13"/>
        <v>4</v>
      </c>
      <c r="O113" s="591">
        <f t="shared" si="14"/>
        <v>4</v>
      </c>
      <c r="P113" s="592">
        <f t="shared" si="18"/>
        <v>7.4321813452248239E-2</v>
      </c>
    </row>
    <row r="114" spans="1:16" s="593" customFormat="1">
      <c r="A114" s="647" t="s">
        <v>108</v>
      </c>
      <c r="B114" s="587"/>
      <c r="C114" s="537"/>
      <c r="D114" s="588"/>
      <c r="E114" s="588"/>
      <c r="F114" s="588"/>
      <c r="G114" s="589"/>
      <c r="H114" s="589"/>
      <c r="I114" s="589"/>
      <c r="J114" s="588"/>
      <c r="K114" s="537"/>
      <c r="L114" s="537"/>
      <c r="M114" s="537">
        <v>19</v>
      </c>
      <c r="N114" s="590">
        <f t="shared" si="13"/>
        <v>19</v>
      </c>
      <c r="O114" s="591">
        <f t="shared" si="14"/>
        <v>19</v>
      </c>
      <c r="P114" s="592">
        <f t="shared" si="18"/>
        <v>0.35302861389817908</v>
      </c>
    </row>
    <row r="115" spans="1:16" s="593" customFormat="1">
      <c r="A115" s="648" t="s">
        <v>109</v>
      </c>
      <c r="B115" s="587"/>
      <c r="C115" s="537"/>
      <c r="D115" s="588"/>
      <c r="E115" s="588"/>
      <c r="F115" s="588"/>
      <c r="G115" s="589"/>
      <c r="H115" s="589"/>
      <c r="I115" s="589"/>
      <c r="J115" s="588"/>
      <c r="K115" s="537"/>
      <c r="L115" s="537"/>
      <c r="M115" s="537">
        <v>9</v>
      </c>
      <c r="N115" s="590">
        <f t="shared" si="13"/>
        <v>9</v>
      </c>
      <c r="O115" s="591">
        <f t="shared" si="14"/>
        <v>9</v>
      </c>
      <c r="P115" s="592">
        <f t="shared" si="18"/>
        <v>0.16722408026755853</v>
      </c>
    </row>
    <row r="116" spans="1:16" s="593" customFormat="1">
      <c r="A116" s="648" t="s">
        <v>110</v>
      </c>
      <c r="B116" s="587"/>
      <c r="C116" s="537"/>
      <c r="D116" s="588"/>
      <c r="E116" s="588"/>
      <c r="F116" s="588"/>
      <c r="G116" s="589"/>
      <c r="H116" s="589"/>
      <c r="I116" s="589"/>
      <c r="J116" s="588"/>
      <c r="K116" s="537"/>
      <c r="L116" s="537"/>
      <c r="M116" s="537">
        <v>0</v>
      </c>
      <c r="N116" s="590">
        <f t="shared" si="13"/>
        <v>0</v>
      </c>
      <c r="O116" s="591">
        <f t="shared" si="14"/>
        <v>0</v>
      </c>
      <c r="P116" s="592">
        <f t="shared" si="18"/>
        <v>0</v>
      </c>
    </row>
    <row r="117" spans="1:16" s="593" customFormat="1">
      <c r="A117" s="648" t="s">
        <v>111</v>
      </c>
      <c r="B117" s="587"/>
      <c r="C117" s="537"/>
      <c r="D117" s="588"/>
      <c r="E117" s="588"/>
      <c r="F117" s="588"/>
      <c r="G117" s="589"/>
      <c r="H117" s="589"/>
      <c r="I117" s="589"/>
      <c r="J117" s="588"/>
      <c r="K117" s="537"/>
      <c r="L117" s="537"/>
      <c r="M117" s="537">
        <v>0</v>
      </c>
      <c r="N117" s="590">
        <f t="shared" si="13"/>
        <v>0</v>
      </c>
      <c r="O117" s="591">
        <f t="shared" si="14"/>
        <v>0</v>
      </c>
      <c r="P117" s="592">
        <f t="shared" si="18"/>
        <v>0</v>
      </c>
    </row>
    <row r="118" spans="1:16" s="593" customFormat="1">
      <c r="A118" s="648" t="s">
        <v>112</v>
      </c>
      <c r="B118" s="587"/>
      <c r="C118" s="537"/>
      <c r="D118" s="588"/>
      <c r="E118" s="588"/>
      <c r="F118" s="588"/>
      <c r="G118" s="589"/>
      <c r="H118" s="589"/>
      <c r="I118" s="589"/>
      <c r="J118" s="588"/>
      <c r="K118" s="537"/>
      <c r="L118" s="537"/>
      <c r="M118" s="537">
        <v>0</v>
      </c>
      <c r="N118" s="590">
        <f t="shared" ref="N118:N152" si="21">SUM(B118:M118)</f>
        <v>0</v>
      </c>
      <c r="O118" s="591">
        <f t="shared" ref="O118:O152" si="22">AVERAGE(B118:M118)</f>
        <v>0</v>
      </c>
      <c r="P118" s="592">
        <f t="shared" si="18"/>
        <v>0</v>
      </c>
    </row>
    <row r="119" spans="1:16" s="593" customFormat="1">
      <c r="A119" s="648" t="s">
        <v>113</v>
      </c>
      <c r="B119" s="587"/>
      <c r="C119" s="537"/>
      <c r="D119" s="588"/>
      <c r="E119" s="588"/>
      <c r="F119" s="588"/>
      <c r="G119" s="589"/>
      <c r="H119" s="589"/>
      <c r="I119" s="589"/>
      <c r="J119" s="588"/>
      <c r="K119" s="537"/>
      <c r="L119" s="537"/>
      <c r="M119" s="537">
        <v>2</v>
      </c>
      <c r="N119" s="590">
        <f t="shared" si="21"/>
        <v>2</v>
      </c>
      <c r="O119" s="591">
        <f t="shared" si="22"/>
        <v>2</v>
      </c>
      <c r="P119" s="592">
        <f t="shared" si="18"/>
        <v>3.716090672612412E-2</v>
      </c>
    </row>
    <row r="120" spans="1:16" s="593" customFormat="1">
      <c r="A120" s="647" t="s">
        <v>114</v>
      </c>
      <c r="B120" s="587"/>
      <c r="C120" s="537"/>
      <c r="D120" s="588"/>
      <c r="E120" s="588"/>
      <c r="F120" s="588"/>
      <c r="G120" s="589"/>
      <c r="H120" s="589"/>
      <c r="I120" s="589"/>
      <c r="J120" s="588"/>
      <c r="K120" s="537"/>
      <c r="L120" s="537"/>
      <c r="M120" s="537">
        <v>64</v>
      </c>
      <c r="N120" s="590">
        <f t="shared" si="21"/>
        <v>64</v>
      </c>
      <c r="O120" s="591">
        <f t="shared" si="22"/>
        <v>64</v>
      </c>
      <c r="P120" s="592">
        <f t="shared" si="18"/>
        <v>1.1891490152359718</v>
      </c>
    </row>
    <row r="121" spans="1:16" s="593" customFormat="1">
      <c r="A121" s="647" t="s">
        <v>115</v>
      </c>
      <c r="B121" s="587"/>
      <c r="C121" s="537"/>
      <c r="D121" s="588"/>
      <c r="E121" s="588"/>
      <c r="F121" s="588"/>
      <c r="G121" s="589"/>
      <c r="H121" s="589"/>
      <c r="I121" s="589"/>
      <c r="J121" s="588"/>
      <c r="K121" s="537"/>
      <c r="L121" s="537"/>
      <c r="M121" s="537">
        <v>0</v>
      </c>
      <c r="N121" s="590">
        <f t="shared" si="21"/>
        <v>0</v>
      </c>
      <c r="O121" s="591">
        <f t="shared" si="22"/>
        <v>0</v>
      </c>
      <c r="P121" s="592">
        <f t="shared" si="18"/>
        <v>0</v>
      </c>
    </row>
    <row r="122" spans="1:16" s="593" customFormat="1">
      <c r="A122" s="647" t="s">
        <v>116</v>
      </c>
      <c r="B122" s="587"/>
      <c r="C122" s="537"/>
      <c r="D122" s="588"/>
      <c r="E122" s="588"/>
      <c r="F122" s="588"/>
      <c r="G122" s="589"/>
      <c r="H122" s="589"/>
      <c r="I122" s="589"/>
      <c r="J122" s="588"/>
      <c r="K122" s="537"/>
      <c r="L122" s="537"/>
      <c r="M122" s="537">
        <v>1</v>
      </c>
      <c r="N122" s="590">
        <f t="shared" si="21"/>
        <v>1</v>
      </c>
      <c r="O122" s="591">
        <f t="shared" si="22"/>
        <v>1</v>
      </c>
      <c r="P122" s="592">
        <f t="shared" si="18"/>
        <v>1.858045336306206E-2</v>
      </c>
    </row>
    <row r="123" spans="1:16" s="593" customFormat="1">
      <c r="A123" s="647" t="s">
        <v>470</v>
      </c>
      <c r="B123" s="587"/>
      <c r="C123" s="537"/>
      <c r="D123" s="588"/>
      <c r="E123" s="588"/>
      <c r="F123" s="588"/>
      <c r="G123" s="589"/>
      <c r="H123" s="589"/>
      <c r="I123" s="589"/>
      <c r="J123" s="588"/>
      <c r="K123" s="537"/>
      <c r="L123" s="537"/>
      <c r="M123" s="537">
        <v>2</v>
      </c>
      <c r="N123" s="590">
        <f t="shared" ref="N123:N124" si="23">SUM(B123:M123)</f>
        <v>2</v>
      </c>
      <c r="O123" s="591">
        <f t="shared" ref="O123:O124" si="24">AVERAGE(B123:M123)</f>
        <v>2</v>
      </c>
      <c r="P123" s="592">
        <f t="shared" ref="P123:P124" si="25">(N123/$N$229)*100</f>
        <v>3.716090672612412E-2</v>
      </c>
    </row>
    <row r="124" spans="1:16" s="593" customFormat="1">
      <c r="A124" s="647" t="s">
        <v>471</v>
      </c>
      <c r="B124" s="587"/>
      <c r="C124" s="537"/>
      <c r="D124" s="588"/>
      <c r="E124" s="588"/>
      <c r="F124" s="588"/>
      <c r="G124" s="589"/>
      <c r="H124" s="589"/>
      <c r="I124" s="589"/>
      <c r="J124" s="588"/>
      <c r="K124" s="537"/>
      <c r="L124" s="537"/>
      <c r="M124" s="537">
        <v>1</v>
      </c>
      <c r="N124" s="590">
        <f t="shared" si="23"/>
        <v>1</v>
      </c>
      <c r="O124" s="591">
        <f t="shared" si="24"/>
        <v>1</v>
      </c>
      <c r="P124" s="592">
        <f t="shared" si="25"/>
        <v>1.858045336306206E-2</v>
      </c>
    </row>
    <row r="125" spans="1:16" s="593" customFormat="1">
      <c r="A125" s="648" t="s">
        <v>117</v>
      </c>
      <c r="B125" s="587"/>
      <c r="C125" s="537"/>
      <c r="D125" s="588"/>
      <c r="E125" s="588"/>
      <c r="F125" s="588"/>
      <c r="G125" s="589"/>
      <c r="H125" s="589"/>
      <c r="I125" s="589"/>
      <c r="J125" s="588"/>
      <c r="K125" s="537"/>
      <c r="L125" s="537"/>
      <c r="M125" s="537">
        <v>0</v>
      </c>
      <c r="N125" s="590">
        <f t="shared" si="21"/>
        <v>0</v>
      </c>
      <c r="O125" s="591">
        <f t="shared" si="22"/>
        <v>0</v>
      </c>
      <c r="P125" s="592">
        <f t="shared" ref="P125:P156" si="26">(N125/$N$229)*100</f>
        <v>0</v>
      </c>
    </row>
    <row r="126" spans="1:16" s="593" customFormat="1">
      <c r="A126" s="648" t="s">
        <v>118</v>
      </c>
      <c r="B126" s="587"/>
      <c r="C126" s="537"/>
      <c r="D126" s="588"/>
      <c r="E126" s="588"/>
      <c r="F126" s="588"/>
      <c r="G126" s="589"/>
      <c r="H126" s="589"/>
      <c r="I126" s="589"/>
      <c r="J126" s="588"/>
      <c r="K126" s="537"/>
      <c r="L126" s="537"/>
      <c r="M126" s="537">
        <v>81</v>
      </c>
      <c r="N126" s="590">
        <f t="shared" si="21"/>
        <v>81</v>
      </c>
      <c r="O126" s="591">
        <f t="shared" si="22"/>
        <v>81</v>
      </c>
      <c r="P126" s="592">
        <f t="shared" si="26"/>
        <v>1.5050167224080269</v>
      </c>
    </row>
    <row r="127" spans="1:16" s="676" customFormat="1">
      <c r="A127" s="648" t="s">
        <v>421</v>
      </c>
      <c r="B127" s="587"/>
      <c r="C127" s="537"/>
      <c r="D127" s="588"/>
      <c r="E127" s="588"/>
      <c r="F127" s="588"/>
      <c r="G127" s="589"/>
      <c r="H127" s="589"/>
      <c r="I127" s="589"/>
      <c r="J127" s="588"/>
      <c r="K127" s="537"/>
      <c r="L127" s="537"/>
      <c r="M127" s="537">
        <v>0</v>
      </c>
      <c r="N127" s="590">
        <f t="shared" si="21"/>
        <v>0</v>
      </c>
      <c r="O127" s="591">
        <f t="shared" si="22"/>
        <v>0</v>
      </c>
      <c r="P127" s="592">
        <f t="shared" si="26"/>
        <v>0</v>
      </c>
    </row>
    <row r="128" spans="1:16" s="593" customFormat="1">
      <c r="A128" s="649" t="s">
        <v>119</v>
      </c>
      <c r="B128" s="677"/>
      <c r="C128" s="678"/>
      <c r="D128" s="679"/>
      <c r="E128" s="679"/>
      <c r="F128" s="679"/>
      <c r="G128" s="679"/>
      <c r="H128" s="679"/>
      <c r="I128" s="679"/>
      <c r="J128" s="679"/>
      <c r="K128" s="678"/>
      <c r="L128" s="678"/>
      <c r="M128" s="678">
        <v>15</v>
      </c>
      <c r="N128" s="680">
        <f t="shared" si="21"/>
        <v>15</v>
      </c>
      <c r="O128" s="681">
        <f t="shared" si="22"/>
        <v>15</v>
      </c>
      <c r="P128" s="682">
        <f t="shared" si="26"/>
        <v>0.27870680044593088</v>
      </c>
    </row>
    <row r="129" spans="1:16" s="593" customFormat="1">
      <c r="A129" s="647" t="s">
        <v>120</v>
      </c>
      <c r="B129" s="587"/>
      <c r="C129" s="537"/>
      <c r="D129" s="588"/>
      <c r="E129" s="588"/>
      <c r="F129" s="588"/>
      <c r="G129" s="589"/>
      <c r="H129" s="589"/>
      <c r="I129" s="589"/>
      <c r="J129" s="588"/>
      <c r="K129" s="537"/>
      <c r="L129" s="537"/>
      <c r="M129" s="537">
        <v>7</v>
      </c>
      <c r="N129" s="590">
        <f t="shared" si="21"/>
        <v>7</v>
      </c>
      <c r="O129" s="591">
        <f t="shared" si="22"/>
        <v>7</v>
      </c>
      <c r="P129" s="592">
        <f t="shared" si="26"/>
        <v>0.1300631735414344</v>
      </c>
    </row>
    <row r="130" spans="1:16" s="593" customFormat="1">
      <c r="A130" s="648" t="s">
        <v>121</v>
      </c>
      <c r="B130" s="587"/>
      <c r="C130" s="537"/>
      <c r="D130" s="588"/>
      <c r="E130" s="588"/>
      <c r="F130" s="588"/>
      <c r="G130" s="589"/>
      <c r="H130" s="589"/>
      <c r="I130" s="589"/>
      <c r="J130" s="588"/>
      <c r="K130" s="537"/>
      <c r="L130" s="537"/>
      <c r="M130" s="537">
        <v>0</v>
      </c>
      <c r="N130" s="590">
        <f t="shared" si="21"/>
        <v>0</v>
      </c>
      <c r="O130" s="591">
        <f t="shared" si="22"/>
        <v>0</v>
      </c>
      <c r="P130" s="592">
        <f t="shared" si="26"/>
        <v>0</v>
      </c>
    </row>
    <row r="131" spans="1:16" s="593" customFormat="1">
      <c r="A131" s="648" t="s">
        <v>122</v>
      </c>
      <c r="B131" s="587"/>
      <c r="C131" s="537"/>
      <c r="D131" s="588"/>
      <c r="E131" s="588"/>
      <c r="F131" s="588"/>
      <c r="G131" s="589"/>
      <c r="H131" s="589"/>
      <c r="I131" s="589"/>
      <c r="J131" s="588"/>
      <c r="K131" s="537"/>
      <c r="L131" s="537"/>
      <c r="M131" s="537">
        <v>35</v>
      </c>
      <c r="N131" s="590">
        <f t="shared" si="21"/>
        <v>35</v>
      </c>
      <c r="O131" s="591">
        <f t="shared" si="22"/>
        <v>35</v>
      </c>
      <c r="P131" s="592">
        <f t="shared" si="26"/>
        <v>0.65031586770717209</v>
      </c>
    </row>
    <row r="132" spans="1:16" s="593" customFormat="1">
      <c r="A132" s="648" t="s">
        <v>453</v>
      </c>
      <c r="B132" s="587"/>
      <c r="C132" s="537"/>
      <c r="D132" s="588"/>
      <c r="E132" s="588"/>
      <c r="F132" s="588"/>
      <c r="G132" s="589"/>
      <c r="H132" s="589"/>
      <c r="I132" s="589"/>
      <c r="J132" s="588"/>
      <c r="K132" s="537"/>
      <c r="L132" s="537"/>
      <c r="M132" s="537">
        <v>2</v>
      </c>
      <c r="N132" s="590">
        <f t="shared" si="21"/>
        <v>2</v>
      </c>
      <c r="O132" s="591">
        <f t="shared" si="22"/>
        <v>2</v>
      </c>
      <c r="P132" s="592">
        <f t="shared" si="26"/>
        <v>3.716090672612412E-2</v>
      </c>
    </row>
    <row r="133" spans="1:16" s="593" customFormat="1">
      <c r="A133" s="648" t="s">
        <v>123</v>
      </c>
      <c r="B133" s="587"/>
      <c r="C133" s="537"/>
      <c r="D133" s="588"/>
      <c r="E133" s="588"/>
      <c r="F133" s="588"/>
      <c r="G133" s="589"/>
      <c r="H133" s="589"/>
      <c r="I133" s="589"/>
      <c r="J133" s="588"/>
      <c r="K133" s="537"/>
      <c r="L133" s="537"/>
      <c r="M133" s="537">
        <v>0</v>
      </c>
      <c r="N133" s="590">
        <f t="shared" si="21"/>
        <v>0</v>
      </c>
      <c r="O133" s="591">
        <f t="shared" si="22"/>
        <v>0</v>
      </c>
      <c r="P133" s="592">
        <f t="shared" si="26"/>
        <v>0</v>
      </c>
    </row>
    <row r="134" spans="1:16" s="593" customFormat="1">
      <c r="A134" s="648" t="s">
        <v>124</v>
      </c>
      <c r="B134" s="587"/>
      <c r="C134" s="537"/>
      <c r="D134" s="588"/>
      <c r="E134" s="588"/>
      <c r="F134" s="588"/>
      <c r="G134" s="589"/>
      <c r="H134" s="589"/>
      <c r="I134" s="589"/>
      <c r="J134" s="588"/>
      <c r="K134" s="537"/>
      <c r="L134" s="537"/>
      <c r="M134" s="537">
        <v>24</v>
      </c>
      <c r="N134" s="590">
        <f t="shared" si="21"/>
        <v>24</v>
      </c>
      <c r="O134" s="591">
        <f t="shared" si="22"/>
        <v>24</v>
      </c>
      <c r="P134" s="592">
        <f t="shared" si="26"/>
        <v>0.44593088071348941</v>
      </c>
    </row>
    <row r="135" spans="1:16" s="593" customFormat="1">
      <c r="A135" s="648" t="s">
        <v>125</v>
      </c>
      <c r="B135" s="587"/>
      <c r="C135" s="537"/>
      <c r="D135" s="588"/>
      <c r="E135" s="588"/>
      <c r="F135" s="588"/>
      <c r="G135" s="589"/>
      <c r="H135" s="589"/>
      <c r="I135" s="589"/>
      <c r="J135" s="588"/>
      <c r="K135" s="537"/>
      <c r="L135" s="537"/>
      <c r="M135" s="674">
        <v>0</v>
      </c>
      <c r="N135" s="590">
        <f t="shared" si="21"/>
        <v>0</v>
      </c>
      <c r="O135" s="591">
        <f t="shared" si="22"/>
        <v>0</v>
      </c>
      <c r="P135" s="592">
        <f t="shared" si="26"/>
        <v>0</v>
      </c>
    </row>
    <row r="136" spans="1:16" s="593" customFormat="1">
      <c r="A136" s="648" t="s">
        <v>422</v>
      </c>
      <c r="B136" s="587"/>
      <c r="C136" s="537"/>
      <c r="D136" s="588"/>
      <c r="E136" s="588"/>
      <c r="F136" s="588"/>
      <c r="G136" s="589"/>
      <c r="H136" s="589"/>
      <c r="I136" s="589"/>
      <c r="J136" s="588"/>
      <c r="K136" s="537"/>
      <c r="L136" s="537"/>
      <c r="M136" s="537">
        <v>0</v>
      </c>
      <c r="N136" s="590">
        <f t="shared" si="21"/>
        <v>0</v>
      </c>
      <c r="O136" s="591">
        <f t="shared" si="22"/>
        <v>0</v>
      </c>
      <c r="P136" s="592">
        <f t="shared" si="26"/>
        <v>0</v>
      </c>
    </row>
    <row r="137" spans="1:16" s="593" customFormat="1">
      <c r="A137" s="648" t="s">
        <v>126</v>
      </c>
      <c r="B137" s="587"/>
      <c r="C137" s="537"/>
      <c r="D137" s="588"/>
      <c r="E137" s="588"/>
      <c r="F137" s="588"/>
      <c r="G137" s="589"/>
      <c r="H137" s="589"/>
      <c r="I137" s="589"/>
      <c r="J137" s="588"/>
      <c r="K137" s="537"/>
      <c r="L137" s="537"/>
      <c r="M137" s="537">
        <v>18</v>
      </c>
      <c r="N137" s="590">
        <f t="shared" si="21"/>
        <v>18</v>
      </c>
      <c r="O137" s="591">
        <f t="shared" si="22"/>
        <v>18</v>
      </c>
      <c r="P137" s="592">
        <f t="shared" si="26"/>
        <v>0.33444816053511706</v>
      </c>
    </row>
    <row r="138" spans="1:16" s="593" customFormat="1">
      <c r="A138" s="648" t="s">
        <v>127</v>
      </c>
      <c r="B138" s="587"/>
      <c r="C138" s="537"/>
      <c r="D138" s="588"/>
      <c r="E138" s="588"/>
      <c r="F138" s="588"/>
      <c r="G138" s="589"/>
      <c r="H138" s="589"/>
      <c r="I138" s="589"/>
      <c r="J138" s="588"/>
      <c r="K138" s="537"/>
      <c r="L138" s="537"/>
      <c r="M138" s="537">
        <v>91</v>
      </c>
      <c r="N138" s="590">
        <f t="shared" si="21"/>
        <v>91</v>
      </c>
      <c r="O138" s="591">
        <f t="shared" si="22"/>
        <v>91</v>
      </c>
      <c r="P138" s="592">
        <f t="shared" si="26"/>
        <v>1.6908212560386473</v>
      </c>
    </row>
    <row r="139" spans="1:16" s="593" customFormat="1">
      <c r="A139" s="648" t="s">
        <v>128</v>
      </c>
      <c r="B139" s="587"/>
      <c r="C139" s="537"/>
      <c r="D139" s="588"/>
      <c r="E139" s="588"/>
      <c r="F139" s="588"/>
      <c r="G139" s="589"/>
      <c r="H139" s="589"/>
      <c r="I139" s="589"/>
      <c r="J139" s="588"/>
      <c r="K139" s="537"/>
      <c r="L139" s="537"/>
      <c r="M139" s="537">
        <v>0</v>
      </c>
      <c r="N139" s="590">
        <f t="shared" si="21"/>
        <v>0</v>
      </c>
      <c r="O139" s="591">
        <f t="shared" si="22"/>
        <v>0</v>
      </c>
      <c r="P139" s="592">
        <f t="shared" si="26"/>
        <v>0</v>
      </c>
    </row>
    <row r="140" spans="1:16" s="593" customFormat="1">
      <c r="A140" s="648" t="s">
        <v>129</v>
      </c>
      <c r="B140" s="587"/>
      <c r="C140" s="537"/>
      <c r="D140" s="588"/>
      <c r="E140" s="588"/>
      <c r="F140" s="588"/>
      <c r="G140" s="589"/>
      <c r="H140" s="589"/>
      <c r="I140" s="589"/>
      <c r="J140" s="588"/>
      <c r="K140" s="537"/>
      <c r="L140" s="537"/>
      <c r="M140" s="537">
        <v>1</v>
      </c>
      <c r="N140" s="590">
        <f t="shared" si="21"/>
        <v>1</v>
      </c>
      <c r="O140" s="591">
        <f t="shared" si="22"/>
        <v>1</v>
      </c>
      <c r="P140" s="592">
        <f t="shared" si="26"/>
        <v>1.858045336306206E-2</v>
      </c>
    </row>
    <row r="141" spans="1:16" s="593" customFormat="1">
      <c r="A141" s="648" t="s">
        <v>130</v>
      </c>
      <c r="B141" s="587"/>
      <c r="C141" s="537"/>
      <c r="D141" s="588"/>
      <c r="E141" s="588"/>
      <c r="F141" s="588"/>
      <c r="G141" s="589"/>
      <c r="H141" s="589"/>
      <c r="I141" s="589"/>
      <c r="J141" s="588"/>
      <c r="K141" s="537"/>
      <c r="L141" s="537"/>
      <c r="M141" s="537">
        <v>0</v>
      </c>
      <c r="N141" s="590">
        <f t="shared" si="21"/>
        <v>0</v>
      </c>
      <c r="O141" s="591">
        <f t="shared" si="22"/>
        <v>0</v>
      </c>
      <c r="P141" s="592">
        <f t="shared" si="26"/>
        <v>0</v>
      </c>
    </row>
    <row r="142" spans="1:16" s="593" customFormat="1">
      <c r="A142" s="648" t="s">
        <v>131</v>
      </c>
      <c r="B142" s="587"/>
      <c r="C142" s="537"/>
      <c r="D142" s="588"/>
      <c r="E142" s="588"/>
      <c r="F142" s="588"/>
      <c r="G142" s="589"/>
      <c r="H142" s="589"/>
      <c r="I142" s="589"/>
      <c r="J142" s="588"/>
      <c r="K142" s="537"/>
      <c r="L142" s="537"/>
      <c r="M142" s="537">
        <v>2</v>
      </c>
      <c r="N142" s="590">
        <f t="shared" si="21"/>
        <v>2</v>
      </c>
      <c r="O142" s="591">
        <f t="shared" si="22"/>
        <v>2</v>
      </c>
      <c r="P142" s="592">
        <f t="shared" si="26"/>
        <v>3.716090672612412E-2</v>
      </c>
    </row>
    <row r="143" spans="1:16" s="593" customFormat="1">
      <c r="A143" s="647" t="s">
        <v>132</v>
      </c>
      <c r="B143" s="587"/>
      <c r="C143" s="537"/>
      <c r="D143" s="588"/>
      <c r="E143" s="588"/>
      <c r="F143" s="588"/>
      <c r="G143" s="589"/>
      <c r="H143" s="589"/>
      <c r="I143" s="589"/>
      <c r="J143" s="588"/>
      <c r="K143" s="537"/>
      <c r="L143" s="537"/>
      <c r="M143" s="537">
        <v>1</v>
      </c>
      <c r="N143" s="590">
        <f t="shared" si="21"/>
        <v>1</v>
      </c>
      <c r="O143" s="591">
        <f t="shared" si="22"/>
        <v>1</v>
      </c>
      <c r="P143" s="592">
        <f t="shared" si="26"/>
        <v>1.858045336306206E-2</v>
      </c>
    </row>
    <row r="144" spans="1:16" s="593" customFormat="1">
      <c r="A144" s="648" t="s">
        <v>133</v>
      </c>
      <c r="B144" s="587"/>
      <c r="C144" s="537"/>
      <c r="D144" s="588"/>
      <c r="E144" s="588"/>
      <c r="F144" s="588"/>
      <c r="G144" s="589"/>
      <c r="H144" s="589"/>
      <c r="I144" s="589"/>
      <c r="J144" s="588"/>
      <c r="K144" s="537"/>
      <c r="L144" s="537"/>
      <c r="M144" s="537">
        <v>0</v>
      </c>
      <c r="N144" s="590">
        <f t="shared" si="21"/>
        <v>0</v>
      </c>
      <c r="O144" s="591">
        <f t="shared" si="22"/>
        <v>0</v>
      </c>
      <c r="P144" s="592">
        <f t="shared" si="26"/>
        <v>0</v>
      </c>
    </row>
    <row r="145" spans="1:16" s="593" customFormat="1">
      <c r="A145" s="648" t="s">
        <v>134</v>
      </c>
      <c r="B145" s="587"/>
      <c r="C145" s="537"/>
      <c r="D145" s="588"/>
      <c r="E145" s="588"/>
      <c r="F145" s="588"/>
      <c r="G145" s="589"/>
      <c r="H145" s="589"/>
      <c r="I145" s="589"/>
      <c r="J145" s="588"/>
      <c r="K145" s="537"/>
      <c r="L145" s="537"/>
      <c r="M145" s="537">
        <v>115</v>
      </c>
      <c r="N145" s="590">
        <f t="shared" si="21"/>
        <v>115</v>
      </c>
      <c r="O145" s="591">
        <f t="shared" si="22"/>
        <v>115</v>
      </c>
      <c r="P145" s="592">
        <f t="shared" si="26"/>
        <v>2.1367521367521367</v>
      </c>
    </row>
    <row r="146" spans="1:16" s="593" customFormat="1">
      <c r="A146" s="648" t="s">
        <v>135</v>
      </c>
      <c r="B146" s="587"/>
      <c r="C146" s="537"/>
      <c r="D146" s="588"/>
      <c r="E146" s="588"/>
      <c r="F146" s="588"/>
      <c r="G146" s="589"/>
      <c r="H146" s="589"/>
      <c r="I146" s="589"/>
      <c r="J146" s="588"/>
      <c r="K146" s="537"/>
      <c r="L146" s="537"/>
      <c r="M146" s="537">
        <v>1</v>
      </c>
      <c r="N146" s="590">
        <f t="shared" si="21"/>
        <v>1</v>
      </c>
      <c r="O146" s="591">
        <f t="shared" si="22"/>
        <v>1</v>
      </c>
      <c r="P146" s="592">
        <f t="shared" si="26"/>
        <v>1.858045336306206E-2</v>
      </c>
    </row>
    <row r="147" spans="1:16" s="593" customFormat="1">
      <c r="A147" s="648" t="s">
        <v>136</v>
      </c>
      <c r="B147" s="587"/>
      <c r="C147" s="537"/>
      <c r="D147" s="588"/>
      <c r="E147" s="588"/>
      <c r="F147" s="588"/>
      <c r="G147" s="589"/>
      <c r="H147" s="589"/>
      <c r="I147" s="589"/>
      <c r="J147" s="588"/>
      <c r="K147" s="537"/>
      <c r="L147" s="537"/>
      <c r="M147" s="537">
        <v>86</v>
      </c>
      <c r="N147" s="590">
        <f t="shared" si="21"/>
        <v>86</v>
      </c>
      <c r="O147" s="591">
        <f t="shared" si="22"/>
        <v>86</v>
      </c>
      <c r="P147" s="592">
        <f t="shared" si="26"/>
        <v>1.5979189892233372</v>
      </c>
    </row>
    <row r="148" spans="1:16" s="593" customFormat="1">
      <c r="A148" s="647" t="s">
        <v>137</v>
      </c>
      <c r="B148" s="587"/>
      <c r="C148" s="537"/>
      <c r="D148" s="588"/>
      <c r="E148" s="588"/>
      <c r="F148" s="588"/>
      <c r="G148" s="589"/>
      <c r="H148" s="589"/>
      <c r="I148" s="589"/>
      <c r="J148" s="588"/>
      <c r="K148" s="537"/>
      <c r="L148" s="537"/>
      <c r="M148" s="537">
        <v>17</v>
      </c>
      <c r="N148" s="590">
        <f t="shared" si="21"/>
        <v>17</v>
      </c>
      <c r="O148" s="591">
        <f t="shared" si="22"/>
        <v>17</v>
      </c>
      <c r="P148" s="592">
        <f t="shared" si="26"/>
        <v>0.31586770717205498</v>
      </c>
    </row>
    <row r="149" spans="1:16" s="593" customFormat="1">
      <c r="A149" s="648" t="s">
        <v>138</v>
      </c>
      <c r="B149" s="587"/>
      <c r="C149" s="537"/>
      <c r="D149" s="588"/>
      <c r="E149" s="588"/>
      <c r="F149" s="588"/>
      <c r="G149" s="589"/>
      <c r="H149" s="589"/>
      <c r="I149" s="589"/>
      <c r="J149" s="588"/>
      <c r="K149" s="537"/>
      <c r="L149" s="537"/>
      <c r="M149" s="537">
        <v>0</v>
      </c>
      <c r="N149" s="590">
        <f t="shared" si="21"/>
        <v>0</v>
      </c>
      <c r="O149" s="591">
        <f t="shared" si="22"/>
        <v>0</v>
      </c>
      <c r="P149" s="592">
        <f t="shared" si="26"/>
        <v>0</v>
      </c>
    </row>
    <row r="150" spans="1:16" s="593" customFormat="1">
      <c r="A150" s="648" t="s">
        <v>139</v>
      </c>
      <c r="B150" s="587"/>
      <c r="C150" s="537"/>
      <c r="D150" s="588"/>
      <c r="E150" s="588"/>
      <c r="F150" s="588"/>
      <c r="G150" s="589"/>
      <c r="H150" s="589"/>
      <c r="I150" s="589"/>
      <c r="J150" s="588"/>
      <c r="K150" s="537"/>
      <c r="L150" s="537"/>
      <c r="M150" s="537">
        <v>0</v>
      </c>
      <c r="N150" s="590">
        <f t="shared" si="21"/>
        <v>0</v>
      </c>
      <c r="O150" s="591">
        <f t="shared" si="22"/>
        <v>0</v>
      </c>
      <c r="P150" s="592">
        <f t="shared" si="26"/>
        <v>0</v>
      </c>
    </row>
    <row r="151" spans="1:16" s="593" customFormat="1">
      <c r="A151" s="648" t="s">
        <v>140</v>
      </c>
      <c r="B151" s="587"/>
      <c r="C151" s="537"/>
      <c r="D151" s="588"/>
      <c r="E151" s="588"/>
      <c r="F151" s="588"/>
      <c r="G151" s="589"/>
      <c r="H151" s="589"/>
      <c r="I151" s="589"/>
      <c r="J151" s="588"/>
      <c r="K151" s="537"/>
      <c r="L151" s="537"/>
      <c r="M151" s="537">
        <v>4</v>
      </c>
      <c r="N151" s="590">
        <f t="shared" si="21"/>
        <v>4</v>
      </c>
      <c r="O151" s="591">
        <f t="shared" si="22"/>
        <v>4</v>
      </c>
      <c r="P151" s="592">
        <f t="shared" si="26"/>
        <v>7.4321813452248239E-2</v>
      </c>
    </row>
    <row r="152" spans="1:16" s="593" customFormat="1">
      <c r="A152" s="648" t="s">
        <v>141</v>
      </c>
      <c r="B152" s="587"/>
      <c r="C152" s="537"/>
      <c r="D152" s="588"/>
      <c r="E152" s="588"/>
      <c r="F152" s="588"/>
      <c r="G152" s="589"/>
      <c r="H152" s="589"/>
      <c r="I152" s="589"/>
      <c r="J152" s="588"/>
      <c r="K152" s="537"/>
      <c r="L152" s="537"/>
      <c r="M152" s="537">
        <v>102</v>
      </c>
      <c r="N152" s="590">
        <f t="shared" si="21"/>
        <v>102</v>
      </c>
      <c r="O152" s="591">
        <f t="shared" si="22"/>
        <v>102</v>
      </c>
      <c r="P152" s="592">
        <f t="shared" si="26"/>
        <v>1.89520624303233</v>
      </c>
    </row>
    <row r="153" spans="1:16" s="593" customFormat="1">
      <c r="A153" s="648" t="s">
        <v>431</v>
      </c>
      <c r="B153" s="587"/>
      <c r="C153" s="537"/>
      <c r="D153" s="588"/>
      <c r="E153" s="588"/>
      <c r="F153" s="588"/>
      <c r="G153" s="589"/>
      <c r="H153" s="589"/>
      <c r="I153" s="589"/>
      <c r="J153" s="588"/>
      <c r="K153" s="537"/>
      <c r="L153" s="537"/>
      <c r="M153" s="537">
        <v>21</v>
      </c>
      <c r="N153" s="590">
        <f t="shared" ref="N153:N188" si="27">SUM(B153:M153)</f>
        <v>21</v>
      </c>
      <c r="O153" s="591">
        <f t="shared" ref="O153:O188" si="28">AVERAGE(B153:M153)</f>
        <v>21</v>
      </c>
      <c r="P153" s="592">
        <f t="shared" si="26"/>
        <v>0.39018952062430323</v>
      </c>
    </row>
    <row r="154" spans="1:16" s="593" customFormat="1">
      <c r="A154" s="648" t="s">
        <v>143</v>
      </c>
      <c r="B154" s="587"/>
      <c r="C154" s="537"/>
      <c r="D154" s="588"/>
      <c r="E154" s="588"/>
      <c r="F154" s="588"/>
      <c r="G154" s="589"/>
      <c r="H154" s="589"/>
      <c r="I154" s="589"/>
      <c r="J154" s="588"/>
      <c r="K154" s="537"/>
      <c r="L154" s="537"/>
      <c r="M154" s="537">
        <v>0</v>
      </c>
      <c r="N154" s="590">
        <f t="shared" si="27"/>
        <v>0</v>
      </c>
      <c r="O154" s="591">
        <f t="shared" si="28"/>
        <v>0</v>
      </c>
      <c r="P154" s="592">
        <f t="shared" si="26"/>
        <v>0</v>
      </c>
    </row>
    <row r="155" spans="1:16" s="593" customFormat="1">
      <c r="A155" s="648" t="s">
        <v>142</v>
      </c>
      <c r="B155" s="587"/>
      <c r="C155" s="537"/>
      <c r="D155" s="588"/>
      <c r="E155" s="588"/>
      <c r="F155" s="588"/>
      <c r="G155" s="589"/>
      <c r="H155" s="589"/>
      <c r="I155" s="589"/>
      <c r="J155" s="588"/>
      <c r="K155" s="537"/>
      <c r="L155" s="537"/>
      <c r="M155" s="537">
        <v>11</v>
      </c>
      <c r="N155" s="590">
        <f t="shared" si="27"/>
        <v>11</v>
      </c>
      <c r="O155" s="591">
        <f t="shared" si="28"/>
        <v>11</v>
      </c>
      <c r="P155" s="592">
        <f t="shared" si="26"/>
        <v>0.20438498699368265</v>
      </c>
    </row>
    <row r="156" spans="1:16" s="593" customFormat="1">
      <c r="A156" s="647" t="s">
        <v>144</v>
      </c>
      <c r="B156" s="587"/>
      <c r="C156" s="537"/>
      <c r="D156" s="588"/>
      <c r="E156" s="588"/>
      <c r="F156" s="588"/>
      <c r="G156" s="589"/>
      <c r="H156" s="589"/>
      <c r="I156" s="589"/>
      <c r="J156" s="588"/>
      <c r="K156" s="537"/>
      <c r="L156" s="537"/>
      <c r="M156" s="537">
        <v>175</v>
      </c>
      <c r="N156" s="590">
        <f t="shared" si="27"/>
        <v>175</v>
      </c>
      <c r="O156" s="591">
        <f t="shared" si="28"/>
        <v>175</v>
      </c>
      <c r="P156" s="592">
        <f t="shared" si="26"/>
        <v>3.2515793385358602</v>
      </c>
    </row>
    <row r="157" spans="1:16" s="593" customFormat="1">
      <c r="A157" s="647" t="s">
        <v>454</v>
      </c>
      <c r="B157" s="587"/>
      <c r="C157" s="537"/>
      <c r="D157" s="588"/>
      <c r="E157" s="588"/>
      <c r="F157" s="588"/>
      <c r="G157" s="589"/>
      <c r="H157" s="589"/>
      <c r="I157" s="589"/>
      <c r="J157" s="588"/>
      <c r="K157" s="537"/>
      <c r="L157" s="537"/>
      <c r="M157" s="537">
        <v>45</v>
      </c>
      <c r="N157" s="590">
        <f t="shared" si="27"/>
        <v>45</v>
      </c>
      <c r="O157" s="591">
        <f t="shared" si="28"/>
        <v>45</v>
      </c>
      <c r="P157" s="592">
        <f t="shared" ref="P157:P188" si="29">(N157/$N$229)*100</f>
        <v>0.83612040133779264</v>
      </c>
    </row>
    <row r="158" spans="1:16" s="593" customFormat="1">
      <c r="A158" s="647" t="s">
        <v>145</v>
      </c>
      <c r="B158" s="587"/>
      <c r="C158" s="537"/>
      <c r="D158" s="588"/>
      <c r="E158" s="588"/>
      <c r="F158" s="588"/>
      <c r="G158" s="589"/>
      <c r="H158" s="589"/>
      <c r="I158" s="589"/>
      <c r="J158" s="588"/>
      <c r="K158" s="537"/>
      <c r="L158" s="537"/>
      <c r="M158" s="537">
        <v>0</v>
      </c>
      <c r="N158" s="590">
        <f t="shared" si="27"/>
        <v>0</v>
      </c>
      <c r="O158" s="591">
        <f t="shared" si="28"/>
        <v>0</v>
      </c>
      <c r="P158" s="592">
        <f t="shared" si="29"/>
        <v>0</v>
      </c>
    </row>
    <row r="159" spans="1:16" s="593" customFormat="1">
      <c r="A159" s="648" t="s">
        <v>427</v>
      </c>
      <c r="B159" s="587"/>
      <c r="C159" s="537"/>
      <c r="D159" s="588"/>
      <c r="E159" s="588"/>
      <c r="F159" s="588"/>
      <c r="G159" s="589"/>
      <c r="H159" s="589"/>
      <c r="I159" s="589"/>
      <c r="J159" s="588"/>
      <c r="K159" s="537"/>
      <c r="L159" s="537"/>
      <c r="M159" s="537">
        <v>3</v>
      </c>
      <c r="N159" s="590">
        <f t="shared" si="27"/>
        <v>3</v>
      </c>
      <c r="O159" s="591">
        <f t="shared" si="28"/>
        <v>3</v>
      </c>
      <c r="P159" s="592">
        <f t="shared" si="29"/>
        <v>5.5741360089186176E-2</v>
      </c>
    </row>
    <row r="160" spans="1:16" s="593" customFormat="1">
      <c r="A160" s="648" t="s">
        <v>146</v>
      </c>
      <c r="B160" s="587"/>
      <c r="C160" s="537"/>
      <c r="D160" s="588"/>
      <c r="E160" s="588"/>
      <c r="F160" s="588"/>
      <c r="G160" s="589"/>
      <c r="H160" s="589"/>
      <c r="I160" s="589"/>
      <c r="J160" s="588"/>
      <c r="K160" s="537"/>
      <c r="L160" s="537"/>
      <c r="M160" s="537">
        <v>12</v>
      </c>
      <c r="N160" s="590">
        <f t="shared" si="27"/>
        <v>12</v>
      </c>
      <c r="O160" s="591">
        <f t="shared" si="28"/>
        <v>12</v>
      </c>
      <c r="P160" s="592">
        <f t="shared" si="29"/>
        <v>0.2229654403567447</v>
      </c>
    </row>
    <row r="161" spans="1:16" s="593" customFormat="1">
      <c r="A161" s="648" t="s">
        <v>147</v>
      </c>
      <c r="B161" s="587"/>
      <c r="C161" s="537"/>
      <c r="D161" s="588"/>
      <c r="E161" s="588"/>
      <c r="F161" s="588"/>
      <c r="G161" s="589"/>
      <c r="H161" s="589"/>
      <c r="I161" s="589"/>
      <c r="J161" s="588"/>
      <c r="K161" s="537"/>
      <c r="L161" s="537"/>
      <c r="M161" s="537">
        <v>2</v>
      </c>
      <c r="N161" s="590">
        <f t="shared" si="27"/>
        <v>2</v>
      </c>
      <c r="O161" s="591">
        <f t="shared" si="28"/>
        <v>2</v>
      </c>
      <c r="P161" s="592">
        <f t="shared" si="29"/>
        <v>3.716090672612412E-2</v>
      </c>
    </row>
    <row r="162" spans="1:16" s="634" customFormat="1">
      <c r="A162" s="647" t="s">
        <v>148</v>
      </c>
      <c r="B162" s="633"/>
      <c r="C162" s="537"/>
      <c r="D162" s="589"/>
      <c r="E162" s="589"/>
      <c r="F162" s="589"/>
      <c r="G162" s="589"/>
      <c r="H162" s="589"/>
      <c r="I162" s="589"/>
      <c r="J162" s="589"/>
      <c r="K162" s="537"/>
      <c r="L162" s="537"/>
      <c r="M162" s="537">
        <v>4</v>
      </c>
      <c r="N162" s="590">
        <f t="shared" si="27"/>
        <v>4</v>
      </c>
      <c r="O162" s="591">
        <f t="shared" si="28"/>
        <v>4</v>
      </c>
      <c r="P162" s="592">
        <f t="shared" si="29"/>
        <v>7.4321813452248239E-2</v>
      </c>
    </row>
    <row r="163" spans="1:16" s="634" customFormat="1">
      <c r="A163" s="647" t="s">
        <v>447</v>
      </c>
      <c r="B163" s="633"/>
      <c r="C163" s="537"/>
      <c r="D163" s="589"/>
      <c r="E163" s="589"/>
      <c r="F163" s="589"/>
      <c r="G163" s="589"/>
      <c r="H163" s="589"/>
      <c r="I163" s="589"/>
      <c r="J163" s="589"/>
      <c r="K163" s="537"/>
      <c r="L163" s="537"/>
      <c r="M163" s="537">
        <v>3</v>
      </c>
      <c r="N163" s="590">
        <f t="shared" si="27"/>
        <v>3</v>
      </c>
      <c r="O163" s="591">
        <f t="shared" si="28"/>
        <v>3</v>
      </c>
      <c r="P163" s="592">
        <f t="shared" si="29"/>
        <v>5.5741360089186176E-2</v>
      </c>
    </row>
    <row r="164" spans="1:16" s="593" customFormat="1">
      <c r="A164" s="647" t="s">
        <v>423</v>
      </c>
      <c r="B164" s="633"/>
      <c r="C164" s="537"/>
      <c r="D164" s="589"/>
      <c r="E164" s="589"/>
      <c r="F164" s="589"/>
      <c r="G164" s="589"/>
      <c r="H164" s="589"/>
      <c r="I164" s="589"/>
      <c r="J164" s="589"/>
      <c r="K164" s="537"/>
      <c r="L164" s="537"/>
      <c r="M164" s="537">
        <v>2</v>
      </c>
      <c r="N164" s="590">
        <f t="shared" si="27"/>
        <v>2</v>
      </c>
      <c r="O164" s="591">
        <f t="shared" si="28"/>
        <v>2</v>
      </c>
      <c r="P164" s="592">
        <f t="shared" si="29"/>
        <v>3.716090672612412E-2</v>
      </c>
    </row>
    <row r="165" spans="1:16" s="593" customFormat="1">
      <c r="A165" s="648" t="s">
        <v>149</v>
      </c>
      <c r="B165" s="587"/>
      <c r="C165" s="537"/>
      <c r="D165" s="588"/>
      <c r="E165" s="588"/>
      <c r="F165" s="588"/>
      <c r="G165" s="589"/>
      <c r="H165" s="589"/>
      <c r="I165" s="589"/>
      <c r="J165" s="588"/>
      <c r="K165" s="537"/>
      <c r="L165" s="537"/>
      <c r="M165" s="537">
        <v>21</v>
      </c>
      <c r="N165" s="590">
        <f t="shared" si="27"/>
        <v>21</v>
      </c>
      <c r="O165" s="591">
        <f t="shared" si="28"/>
        <v>21</v>
      </c>
      <c r="P165" s="592">
        <f t="shared" si="29"/>
        <v>0.39018952062430323</v>
      </c>
    </row>
    <row r="166" spans="1:16" s="593" customFormat="1">
      <c r="A166" s="648" t="s">
        <v>150</v>
      </c>
      <c r="B166" s="587"/>
      <c r="C166" s="537"/>
      <c r="D166" s="588"/>
      <c r="E166" s="588"/>
      <c r="F166" s="588"/>
      <c r="G166" s="589"/>
      <c r="H166" s="589"/>
      <c r="I166" s="589"/>
      <c r="J166" s="588"/>
      <c r="K166" s="537"/>
      <c r="L166" s="537"/>
      <c r="M166" s="537">
        <v>0</v>
      </c>
      <c r="N166" s="590">
        <f t="shared" si="27"/>
        <v>0</v>
      </c>
      <c r="O166" s="591">
        <f t="shared" si="28"/>
        <v>0</v>
      </c>
      <c r="P166" s="592">
        <f t="shared" si="29"/>
        <v>0</v>
      </c>
    </row>
    <row r="167" spans="1:16" s="593" customFormat="1">
      <c r="A167" s="648" t="s">
        <v>151</v>
      </c>
      <c r="B167" s="587"/>
      <c r="C167" s="537"/>
      <c r="D167" s="588"/>
      <c r="E167" s="588"/>
      <c r="F167" s="588"/>
      <c r="G167" s="589"/>
      <c r="H167" s="589"/>
      <c r="I167" s="589"/>
      <c r="J167" s="588"/>
      <c r="K167" s="537"/>
      <c r="L167" s="537"/>
      <c r="M167" s="537">
        <v>0</v>
      </c>
      <c r="N167" s="590">
        <f t="shared" si="27"/>
        <v>0</v>
      </c>
      <c r="O167" s="591">
        <f t="shared" si="28"/>
        <v>0</v>
      </c>
      <c r="P167" s="592">
        <f t="shared" si="29"/>
        <v>0</v>
      </c>
    </row>
    <row r="168" spans="1:16" s="593" customFormat="1">
      <c r="A168" s="648" t="s">
        <v>152</v>
      </c>
      <c r="B168" s="587"/>
      <c r="C168" s="537"/>
      <c r="D168" s="588"/>
      <c r="E168" s="588"/>
      <c r="F168" s="588"/>
      <c r="G168" s="589"/>
      <c r="H168" s="589"/>
      <c r="I168" s="589"/>
      <c r="J168" s="588"/>
      <c r="K168" s="537"/>
      <c r="L168" s="537"/>
      <c r="M168" s="537">
        <v>5</v>
      </c>
      <c r="N168" s="590">
        <f t="shared" si="27"/>
        <v>5</v>
      </c>
      <c r="O168" s="591">
        <f t="shared" si="28"/>
        <v>5</v>
      </c>
      <c r="P168" s="592">
        <f t="shared" si="29"/>
        <v>9.2902266815310289E-2</v>
      </c>
    </row>
    <row r="169" spans="1:16" s="593" customFormat="1">
      <c r="A169" s="648" t="s">
        <v>153</v>
      </c>
      <c r="B169" s="587"/>
      <c r="C169" s="537"/>
      <c r="D169" s="588"/>
      <c r="E169" s="588"/>
      <c r="F169" s="588"/>
      <c r="G169" s="589"/>
      <c r="H169" s="589"/>
      <c r="I169" s="589"/>
      <c r="J169" s="588"/>
      <c r="K169" s="537"/>
      <c r="L169" s="537"/>
      <c r="M169" s="537">
        <v>174</v>
      </c>
      <c r="N169" s="590">
        <f t="shared" si="27"/>
        <v>174</v>
      </c>
      <c r="O169" s="591">
        <f t="shared" si="28"/>
        <v>174</v>
      </c>
      <c r="P169" s="592">
        <f t="shared" si="29"/>
        <v>3.2329988851727984</v>
      </c>
    </row>
    <row r="170" spans="1:16" s="593" customFormat="1">
      <c r="A170" s="648" t="s">
        <v>154</v>
      </c>
      <c r="B170" s="587"/>
      <c r="C170" s="537"/>
      <c r="D170" s="588"/>
      <c r="E170" s="588"/>
      <c r="F170" s="588"/>
      <c r="G170" s="589"/>
      <c r="H170" s="589"/>
      <c r="I170" s="589"/>
      <c r="J170" s="588"/>
      <c r="K170" s="537"/>
      <c r="L170" s="537"/>
      <c r="M170" s="537">
        <v>124</v>
      </c>
      <c r="N170" s="590">
        <f t="shared" si="27"/>
        <v>124</v>
      </c>
      <c r="O170" s="591">
        <f t="shared" si="28"/>
        <v>124</v>
      </c>
      <c r="P170" s="592">
        <f t="shared" si="29"/>
        <v>2.3039762170196951</v>
      </c>
    </row>
    <row r="171" spans="1:16" s="593" customFormat="1">
      <c r="A171" s="647" t="s">
        <v>155</v>
      </c>
      <c r="B171" s="587"/>
      <c r="C171" s="537"/>
      <c r="D171" s="588"/>
      <c r="E171" s="588"/>
      <c r="F171" s="588"/>
      <c r="G171" s="589"/>
      <c r="H171" s="589"/>
      <c r="I171" s="589"/>
      <c r="J171" s="588"/>
      <c r="K171" s="537"/>
      <c r="L171" s="537"/>
      <c r="M171" s="537">
        <v>28</v>
      </c>
      <c r="N171" s="590">
        <f t="shared" si="27"/>
        <v>28</v>
      </c>
      <c r="O171" s="591">
        <f t="shared" si="28"/>
        <v>28</v>
      </c>
      <c r="P171" s="592">
        <f t="shared" si="29"/>
        <v>0.52025269416573761</v>
      </c>
    </row>
    <row r="172" spans="1:16" s="593" customFormat="1">
      <c r="A172" s="648" t="s">
        <v>156</v>
      </c>
      <c r="B172" s="587"/>
      <c r="C172" s="537"/>
      <c r="D172" s="588"/>
      <c r="E172" s="588"/>
      <c r="F172" s="588"/>
      <c r="G172" s="589"/>
      <c r="H172" s="589"/>
      <c r="I172" s="589"/>
      <c r="J172" s="588"/>
      <c r="K172" s="537"/>
      <c r="L172" s="537"/>
      <c r="M172" s="537">
        <v>13</v>
      </c>
      <c r="N172" s="590">
        <f t="shared" si="27"/>
        <v>13</v>
      </c>
      <c r="O172" s="591">
        <f t="shared" si="28"/>
        <v>13</v>
      </c>
      <c r="P172" s="592">
        <f t="shared" si="29"/>
        <v>0.24154589371980675</v>
      </c>
    </row>
    <row r="173" spans="1:16" s="593" customFormat="1">
      <c r="A173" s="648" t="s">
        <v>157</v>
      </c>
      <c r="B173" s="587"/>
      <c r="C173" s="537"/>
      <c r="D173" s="588"/>
      <c r="E173" s="588"/>
      <c r="F173" s="588"/>
      <c r="G173" s="589"/>
      <c r="H173" s="589"/>
      <c r="I173" s="589"/>
      <c r="J173" s="588"/>
      <c r="K173" s="537"/>
      <c r="L173" s="537"/>
      <c r="M173" s="537">
        <v>26</v>
      </c>
      <c r="N173" s="590">
        <f t="shared" si="27"/>
        <v>26</v>
      </c>
      <c r="O173" s="591">
        <f t="shared" si="28"/>
        <v>26</v>
      </c>
      <c r="P173" s="592">
        <f t="shared" si="29"/>
        <v>0.48309178743961351</v>
      </c>
    </row>
    <row r="174" spans="1:16" s="593" customFormat="1">
      <c r="A174" s="648" t="s">
        <v>158</v>
      </c>
      <c r="B174" s="587"/>
      <c r="C174" s="537"/>
      <c r="D174" s="588"/>
      <c r="E174" s="588"/>
      <c r="F174" s="588"/>
      <c r="G174" s="589"/>
      <c r="H174" s="589"/>
      <c r="I174" s="589"/>
      <c r="J174" s="588"/>
      <c r="K174" s="537"/>
      <c r="L174" s="537"/>
      <c r="M174" s="537">
        <v>0</v>
      </c>
      <c r="N174" s="590">
        <f t="shared" si="27"/>
        <v>0</v>
      </c>
      <c r="O174" s="591">
        <f t="shared" si="28"/>
        <v>0</v>
      </c>
      <c r="P174" s="592">
        <f t="shared" si="29"/>
        <v>0</v>
      </c>
    </row>
    <row r="175" spans="1:16" s="593" customFormat="1">
      <c r="A175" s="647" t="s">
        <v>159</v>
      </c>
      <c r="B175" s="587"/>
      <c r="C175" s="537"/>
      <c r="D175" s="588"/>
      <c r="E175" s="588"/>
      <c r="F175" s="588"/>
      <c r="G175" s="589"/>
      <c r="H175" s="589"/>
      <c r="I175" s="589"/>
      <c r="J175" s="588"/>
      <c r="K175" s="537"/>
      <c r="L175" s="537"/>
      <c r="M175" s="537">
        <v>212</v>
      </c>
      <c r="N175" s="590">
        <f t="shared" si="27"/>
        <v>212</v>
      </c>
      <c r="O175" s="591">
        <f t="shared" si="28"/>
        <v>212</v>
      </c>
      <c r="P175" s="592">
        <f t="shared" si="29"/>
        <v>3.9390561129691566</v>
      </c>
    </row>
    <row r="176" spans="1:16" s="593" customFormat="1">
      <c r="A176" s="648" t="s">
        <v>429</v>
      </c>
      <c r="B176" s="587"/>
      <c r="C176" s="537"/>
      <c r="D176" s="588"/>
      <c r="E176" s="588"/>
      <c r="F176" s="588"/>
      <c r="G176" s="589"/>
      <c r="H176" s="589"/>
      <c r="I176" s="589"/>
      <c r="J176" s="588"/>
      <c r="K176" s="537"/>
      <c r="L176" s="537"/>
      <c r="M176" s="537">
        <v>0</v>
      </c>
      <c r="N176" s="590">
        <f t="shared" si="27"/>
        <v>0</v>
      </c>
      <c r="O176" s="591">
        <f t="shared" si="28"/>
        <v>0</v>
      </c>
      <c r="P176" s="592">
        <f t="shared" si="29"/>
        <v>0</v>
      </c>
    </row>
    <row r="177" spans="1:16" s="593" customFormat="1">
      <c r="A177" s="648" t="s">
        <v>160</v>
      </c>
      <c r="B177" s="587"/>
      <c r="C177" s="537"/>
      <c r="D177" s="588"/>
      <c r="E177" s="588"/>
      <c r="F177" s="588"/>
      <c r="G177" s="589"/>
      <c r="H177" s="589"/>
      <c r="I177" s="589"/>
      <c r="J177" s="588"/>
      <c r="K177" s="537"/>
      <c r="L177" s="537"/>
      <c r="M177" s="537">
        <v>0</v>
      </c>
      <c r="N177" s="590">
        <f t="shared" si="27"/>
        <v>0</v>
      </c>
      <c r="O177" s="591">
        <f t="shared" si="28"/>
        <v>0</v>
      </c>
      <c r="P177" s="592">
        <f t="shared" si="29"/>
        <v>0</v>
      </c>
    </row>
    <row r="178" spans="1:16" s="593" customFormat="1">
      <c r="A178" s="647" t="s">
        <v>161</v>
      </c>
      <c r="B178" s="587"/>
      <c r="C178" s="537"/>
      <c r="D178" s="588"/>
      <c r="E178" s="588"/>
      <c r="F178" s="588"/>
      <c r="G178" s="589"/>
      <c r="H178" s="589"/>
      <c r="I178" s="589"/>
      <c r="J178" s="588"/>
      <c r="K178" s="537"/>
      <c r="L178" s="537"/>
      <c r="M178" s="537">
        <v>9</v>
      </c>
      <c r="N178" s="590">
        <f t="shared" si="27"/>
        <v>9</v>
      </c>
      <c r="O178" s="591">
        <f t="shared" si="28"/>
        <v>9</v>
      </c>
      <c r="P178" s="592">
        <f t="shared" si="29"/>
        <v>0.16722408026755853</v>
      </c>
    </row>
    <row r="179" spans="1:16" s="593" customFormat="1">
      <c r="A179" s="647" t="s">
        <v>162</v>
      </c>
      <c r="B179" s="587"/>
      <c r="C179" s="537"/>
      <c r="D179" s="588"/>
      <c r="E179" s="588"/>
      <c r="F179" s="588"/>
      <c r="G179" s="589"/>
      <c r="H179" s="589"/>
      <c r="I179" s="589"/>
      <c r="J179" s="588"/>
      <c r="K179" s="537"/>
      <c r="L179" s="537"/>
      <c r="M179" s="537">
        <v>0</v>
      </c>
      <c r="N179" s="590">
        <f t="shared" si="27"/>
        <v>0</v>
      </c>
      <c r="O179" s="591">
        <f t="shared" si="28"/>
        <v>0</v>
      </c>
      <c r="P179" s="592">
        <f t="shared" si="29"/>
        <v>0</v>
      </c>
    </row>
    <row r="180" spans="1:16" s="593" customFormat="1">
      <c r="A180" s="647" t="s">
        <v>163</v>
      </c>
      <c r="B180" s="587"/>
      <c r="C180" s="537"/>
      <c r="D180" s="588"/>
      <c r="E180" s="588"/>
      <c r="F180" s="588"/>
      <c r="G180" s="589"/>
      <c r="H180" s="589"/>
      <c r="I180" s="589"/>
      <c r="J180" s="588"/>
      <c r="K180" s="537"/>
      <c r="L180" s="537"/>
      <c r="M180" s="537">
        <v>1</v>
      </c>
      <c r="N180" s="590">
        <f t="shared" si="27"/>
        <v>1</v>
      </c>
      <c r="O180" s="591">
        <f t="shared" si="28"/>
        <v>1</v>
      </c>
      <c r="P180" s="592">
        <f t="shared" si="29"/>
        <v>1.858045336306206E-2</v>
      </c>
    </row>
    <row r="181" spans="1:16" s="593" customFormat="1" ht="14.25" customHeight="1">
      <c r="A181" s="648" t="s">
        <v>164</v>
      </c>
      <c r="B181" s="587"/>
      <c r="C181" s="537"/>
      <c r="D181" s="588"/>
      <c r="E181" s="588"/>
      <c r="F181" s="588"/>
      <c r="G181" s="589"/>
      <c r="H181" s="589"/>
      <c r="I181" s="589"/>
      <c r="J181" s="588"/>
      <c r="K181" s="537"/>
      <c r="L181" s="537"/>
      <c r="M181" s="537">
        <v>10</v>
      </c>
      <c r="N181" s="590">
        <f t="shared" si="27"/>
        <v>10</v>
      </c>
      <c r="O181" s="591">
        <f t="shared" si="28"/>
        <v>10</v>
      </c>
      <c r="P181" s="592">
        <f t="shared" si="29"/>
        <v>0.18580453363062058</v>
      </c>
    </row>
    <row r="182" spans="1:16" s="593" customFormat="1">
      <c r="A182" s="648" t="s">
        <v>165</v>
      </c>
      <c r="B182" s="587"/>
      <c r="C182" s="537"/>
      <c r="D182" s="588"/>
      <c r="E182" s="588"/>
      <c r="F182" s="588"/>
      <c r="G182" s="589"/>
      <c r="H182" s="589"/>
      <c r="I182" s="589"/>
      <c r="J182" s="588"/>
      <c r="K182" s="537"/>
      <c r="L182" s="537"/>
      <c r="M182" s="537">
        <v>0</v>
      </c>
      <c r="N182" s="590">
        <f t="shared" si="27"/>
        <v>0</v>
      </c>
      <c r="O182" s="591">
        <f t="shared" si="28"/>
        <v>0</v>
      </c>
      <c r="P182" s="592">
        <f t="shared" si="29"/>
        <v>0</v>
      </c>
    </row>
    <row r="183" spans="1:16" s="593" customFormat="1">
      <c r="A183" s="648" t="s">
        <v>166</v>
      </c>
      <c r="B183" s="587"/>
      <c r="C183" s="537"/>
      <c r="D183" s="588"/>
      <c r="E183" s="588"/>
      <c r="F183" s="588"/>
      <c r="G183" s="589"/>
      <c r="H183" s="589"/>
      <c r="I183" s="589"/>
      <c r="J183" s="588"/>
      <c r="K183" s="537"/>
      <c r="L183" s="537"/>
      <c r="M183" s="537">
        <v>0</v>
      </c>
      <c r="N183" s="590">
        <f t="shared" si="27"/>
        <v>0</v>
      </c>
      <c r="O183" s="591">
        <f t="shared" si="28"/>
        <v>0</v>
      </c>
      <c r="P183" s="592">
        <f t="shared" si="29"/>
        <v>0</v>
      </c>
    </row>
    <row r="184" spans="1:16" s="593" customFormat="1">
      <c r="A184" s="648" t="s">
        <v>167</v>
      </c>
      <c r="B184" s="587"/>
      <c r="C184" s="537"/>
      <c r="D184" s="588"/>
      <c r="E184" s="588"/>
      <c r="F184" s="588"/>
      <c r="G184" s="589"/>
      <c r="H184" s="589"/>
      <c r="I184" s="589"/>
      <c r="J184" s="588"/>
      <c r="K184" s="537"/>
      <c r="L184" s="537"/>
      <c r="M184" s="537">
        <v>16</v>
      </c>
      <c r="N184" s="590">
        <f t="shared" si="27"/>
        <v>16</v>
      </c>
      <c r="O184" s="591">
        <f t="shared" si="28"/>
        <v>16</v>
      </c>
      <c r="P184" s="592">
        <f t="shared" si="29"/>
        <v>0.29728725380899296</v>
      </c>
    </row>
    <row r="185" spans="1:16" s="593" customFormat="1">
      <c r="A185" s="647" t="s">
        <v>168</v>
      </c>
      <c r="B185" s="587"/>
      <c r="C185" s="537"/>
      <c r="D185" s="588"/>
      <c r="E185" s="588"/>
      <c r="F185" s="588"/>
      <c r="G185" s="589"/>
      <c r="H185" s="589"/>
      <c r="I185" s="589"/>
      <c r="J185" s="588"/>
      <c r="K185" s="537"/>
      <c r="L185" s="537"/>
      <c r="M185" s="537">
        <v>197</v>
      </c>
      <c r="N185" s="590">
        <f t="shared" si="27"/>
        <v>197</v>
      </c>
      <c r="O185" s="591">
        <f t="shared" si="28"/>
        <v>197</v>
      </c>
      <c r="P185" s="592">
        <f t="shared" si="29"/>
        <v>3.6603493125232256</v>
      </c>
    </row>
    <row r="186" spans="1:16" s="593" customFormat="1">
      <c r="A186" s="647" t="s">
        <v>455</v>
      </c>
      <c r="B186" s="587"/>
      <c r="C186" s="537"/>
      <c r="D186" s="588"/>
      <c r="E186" s="588"/>
      <c r="F186" s="588"/>
      <c r="G186" s="589"/>
      <c r="H186" s="589"/>
      <c r="I186" s="589"/>
      <c r="J186" s="588"/>
      <c r="K186" s="537"/>
      <c r="L186" s="537"/>
      <c r="M186" s="537">
        <v>0</v>
      </c>
      <c r="N186" s="590">
        <f t="shared" si="27"/>
        <v>0</v>
      </c>
      <c r="O186" s="591">
        <f t="shared" si="28"/>
        <v>0</v>
      </c>
      <c r="P186" s="592">
        <f t="shared" si="29"/>
        <v>0</v>
      </c>
    </row>
    <row r="187" spans="1:16" s="593" customFormat="1">
      <c r="A187" s="647" t="s">
        <v>472</v>
      </c>
      <c r="B187" s="587"/>
      <c r="C187" s="537"/>
      <c r="D187" s="588"/>
      <c r="E187" s="588"/>
      <c r="F187" s="588"/>
      <c r="G187" s="589"/>
      <c r="H187" s="589"/>
      <c r="I187" s="589"/>
      <c r="J187" s="588"/>
      <c r="K187" s="537"/>
      <c r="L187" s="537"/>
      <c r="M187" s="537">
        <v>1</v>
      </c>
      <c r="N187" s="590">
        <f t="shared" ref="N187" si="30">SUM(B187:M187)</f>
        <v>1</v>
      </c>
      <c r="O187" s="591">
        <f t="shared" ref="O187" si="31">AVERAGE(B187:M187)</f>
        <v>1</v>
      </c>
      <c r="P187" s="592">
        <f t="shared" si="29"/>
        <v>1.858045336306206E-2</v>
      </c>
    </row>
    <row r="188" spans="1:16" s="593" customFormat="1">
      <c r="A188" s="648" t="s">
        <v>169</v>
      </c>
      <c r="B188" s="587"/>
      <c r="C188" s="537"/>
      <c r="D188" s="588"/>
      <c r="E188" s="588"/>
      <c r="F188" s="588"/>
      <c r="G188" s="589"/>
      <c r="H188" s="589"/>
      <c r="I188" s="589"/>
      <c r="J188" s="588"/>
      <c r="K188" s="537"/>
      <c r="L188" s="537"/>
      <c r="M188" s="537">
        <v>0</v>
      </c>
      <c r="N188" s="590">
        <f t="shared" si="27"/>
        <v>0</v>
      </c>
      <c r="O188" s="591">
        <f t="shared" si="28"/>
        <v>0</v>
      </c>
      <c r="P188" s="592">
        <f t="shared" si="29"/>
        <v>0</v>
      </c>
    </row>
    <row r="189" spans="1:16" s="593" customFormat="1">
      <c r="A189" s="648" t="s">
        <v>170</v>
      </c>
      <c r="B189" s="587"/>
      <c r="C189" s="537"/>
      <c r="D189" s="588"/>
      <c r="E189" s="588"/>
      <c r="F189" s="588"/>
      <c r="G189" s="589"/>
      <c r="H189" s="589"/>
      <c r="I189" s="589"/>
      <c r="J189" s="588"/>
      <c r="K189" s="537"/>
      <c r="L189" s="537"/>
      <c r="M189" s="537">
        <v>0</v>
      </c>
      <c r="N189" s="590">
        <f t="shared" ref="N189:N224" si="32">SUM(B189:M189)</f>
        <v>0</v>
      </c>
      <c r="O189" s="591">
        <f t="shared" ref="O189:O228" si="33">AVERAGE(B189:M189)</f>
        <v>0</v>
      </c>
      <c r="P189" s="592">
        <f t="shared" ref="P189:P202" si="34">(N189/$N$229)*100</f>
        <v>0</v>
      </c>
    </row>
    <row r="190" spans="1:16" s="593" customFormat="1">
      <c r="A190" s="647" t="s">
        <v>428</v>
      </c>
      <c r="B190" s="587"/>
      <c r="C190" s="537"/>
      <c r="D190" s="588"/>
      <c r="E190" s="588"/>
      <c r="F190" s="588"/>
      <c r="G190" s="589"/>
      <c r="H190" s="589"/>
      <c r="I190" s="589"/>
      <c r="J190" s="588"/>
      <c r="K190" s="537"/>
      <c r="L190" s="537"/>
      <c r="M190" s="537">
        <v>12</v>
      </c>
      <c r="N190" s="590">
        <f t="shared" si="32"/>
        <v>12</v>
      </c>
      <c r="O190" s="591">
        <f t="shared" si="33"/>
        <v>12</v>
      </c>
      <c r="P190" s="592">
        <f t="shared" si="34"/>
        <v>0.2229654403567447</v>
      </c>
    </row>
    <row r="191" spans="1:16" s="593" customFormat="1">
      <c r="A191" s="648" t="s">
        <v>171</v>
      </c>
      <c r="B191" s="587"/>
      <c r="C191" s="537"/>
      <c r="D191" s="588"/>
      <c r="E191" s="588"/>
      <c r="F191" s="588"/>
      <c r="G191" s="589"/>
      <c r="H191" s="589"/>
      <c r="I191" s="589"/>
      <c r="J191" s="588"/>
      <c r="K191" s="537"/>
      <c r="L191" s="537"/>
      <c r="M191" s="537">
        <v>2</v>
      </c>
      <c r="N191" s="590">
        <f t="shared" si="32"/>
        <v>2</v>
      </c>
      <c r="O191" s="591">
        <f t="shared" si="33"/>
        <v>2</v>
      </c>
      <c r="P191" s="592">
        <f t="shared" si="34"/>
        <v>3.716090672612412E-2</v>
      </c>
    </row>
    <row r="192" spans="1:16" s="593" customFormat="1">
      <c r="A192" s="647" t="s">
        <v>172</v>
      </c>
      <c r="B192" s="587"/>
      <c r="C192" s="537"/>
      <c r="D192" s="588"/>
      <c r="E192" s="588"/>
      <c r="F192" s="588"/>
      <c r="G192" s="589"/>
      <c r="H192" s="589"/>
      <c r="I192" s="589"/>
      <c r="J192" s="588"/>
      <c r="K192" s="537"/>
      <c r="L192" s="537"/>
      <c r="M192" s="537">
        <v>0</v>
      </c>
      <c r="N192" s="590">
        <f t="shared" si="32"/>
        <v>0</v>
      </c>
      <c r="O192" s="591">
        <f t="shared" si="33"/>
        <v>0</v>
      </c>
      <c r="P192" s="592">
        <f t="shared" si="34"/>
        <v>0</v>
      </c>
    </row>
    <row r="193" spans="1:16" s="593" customFormat="1">
      <c r="A193" s="648" t="s">
        <v>173</v>
      </c>
      <c r="B193" s="587"/>
      <c r="C193" s="537"/>
      <c r="D193" s="588"/>
      <c r="E193" s="588"/>
      <c r="F193" s="588"/>
      <c r="G193" s="589"/>
      <c r="H193" s="589"/>
      <c r="I193" s="589"/>
      <c r="J193" s="588"/>
      <c r="K193" s="537"/>
      <c r="L193" s="537"/>
      <c r="M193" s="537">
        <v>35</v>
      </c>
      <c r="N193" s="590">
        <f t="shared" si="32"/>
        <v>35</v>
      </c>
      <c r="O193" s="591">
        <f t="shared" si="33"/>
        <v>35</v>
      </c>
      <c r="P193" s="592">
        <f t="shared" si="34"/>
        <v>0.65031586770717209</v>
      </c>
    </row>
    <row r="194" spans="1:16" s="593" customFormat="1">
      <c r="A194" s="648" t="s">
        <v>174</v>
      </c>
      <c r="B194" s="587"/>
      <c r="C194" s="537"/>
      <c r="D194" s="588"/>
      <c r="E194" s="588"/>
      <c r="F194" s="588"/>
      <c r="G194" s="589"/>
      <c r="H194" s="589"/>
      <c r="I194" s="589"/>
      <c r="J194" s="588"/>
      <c r="K194" s="537"/>
      <c r="L194" s="537"/>
      <c r="M194" s="537">
        <v>0</v>
      </c>
      <c r="N194" s="590">
        <f t="shared" si="32"/>
        <v>0</v>
      </c>
      <c r="O194" s="591">
        <f t="shared" si="33"/>
        <v>0</v>
      </c>
      <c r="P194" s="592">
        <f t="shared" si="34"/>
        <v>0</v>
      </c>
    </row>
    <row r="195" spans="1:16" s="593" customFormat="1">
      <c r="A195" s="648" t="s">
        <v>175</v>
      </c>
      <c r="B195" s="587"/>
      <c r="C195" s="537"/>
      <c r="D195" s="588"/>
      <c r="E195" s="588"/>
      <c r="F195" s="588"/>
      <c r="G195" s="589"/>
      <c r="H195" s="589"/>
      <c r="I195" s="589"/>
      <c r="J195" s="588"/>
      <c r="K195" s="537"/>
      <c r="L195" s="537"/>
      <c r="M195" s="537">
        <v>0</v>
      </c>
      <c r="N195" s="590">
        <f t="shared" si="32"/>
        <v>0</v>
      </c>
      <c r="O195" s="591">
        <f t="shared" si="33"/>
        <v>0</v>
      </c>
      <c r="P195" s="592">
        <f t="shared" si="34"/>
        <v>0</v>
      </c>
    </row>
    <row r="196" spans="1:16" s="593" customFormat="1">
      <c r="A196" s="648" t="s">
        <v>176</v>
      </c>
      <c r="B196" s="587"/>
      <c r="C196" s="537"/>
      <c r="D196" s="588"/>
      <c r="E196" s="588"/>
      <c r="F196" s="588"/>
      <c r="G196" s="589"/>
      <c r="H196" s="589"/>
      <c r="I196" s="589"/>
      <c r="J196" s="588"/>
      <c r="K196" s="537"/>
      <c r="L196" s="537"/>
      <c r="M196" s="537">
        <v>23</v>
      </c>
      <c r="N196" s="590">
        <f t="shared" si="32"/>
        <v>23</v>
      </c>
      <c r="O196" s="591">
        <f t="shared" si="33"/>
        <v>23</v>
      </c>
      <c r="P196" s="592">
        <f t="shared" si="34"/>
        <v>0.42735042735042739</v>
      </c>
    </row>
    <row r="197" spans="1:16" s="593" customFormat="1">
      <c r="A197" s="648" t="s">
        <v>456</v>
      </c>
      <c r="B197" s="587"/>
      <c r="C197" s="537"/>
      <c r="D197" s="588"/>
      <c r="E197" s="588"/>
      <c r="F197" s="588"/>
      <c r="G197" s="589"/>
      <c r="H197" s="589"/>
      <c r="I197" s="589"/>
      <c r="J197" s="588"/>
      <c r="K197" s="537"/>
      <c r="L197" s="537"/>
      <c r="M197" s="537">
        <v>1</v>
      </c>
      <c r="N197" s="590">
        <f t="shared" si="32"/>
        <v>1</v>
      </c>
      <c r="O197" s="591">
        <f t="shared" si="33"/>
        <v>1</v>
      </c>
      <c r="P197" s="592">
        <f t="shared" si="34"/>
        <v>1.858045336306206E-2</v>
      </c>
    </row>
    <row r="198" spans="1:16" s="593" customFormat="1">
      <c r="A198" s="648" t="s">
        <v>177</v>
      </c>
      <c r="B198" s="587"/>
      <c r="C198" s="537"/>
      <c r="D198" s="588"/>
      <c r="E198" s="588"/>
      <c r="F198" s="588"/>
      <c r="G198" s="589"/>
      <c r="H198" s="589"/>
      <c r="I198" s="589"/>
      <c r="J198" s="588"/>
      <c r="K198" s="537"/>
      <c r="L198" s="537"/>
      <c r="M198" s="537">
        <v>20</v>
      </c>
      <c r="N198" s="590">
        <f t="shared" si="32"/>
        <v>20</v>
      </c>
      <c r="O198" s="591">
        <f t="shared" si="33"/>
        <v>20</v>
      </c>
      <c r="P198" s="592">
        <f t="shared" si="34"/>
        <v>0.37160906726124115</v>
      </c>
    </row>
    <row r="199" spans="1:16" s="593" customFormat="1">
      <c r="A199" s="647" t="s">
        <v>178</v>
      </c>
      <c r="B199" s="587"/>
      <c r="C199" s="537"/>
      <c r="D199" s="588"/>
      <c r="E199" s="588"/>
      <c r="F199" s="588"/>
      <c r="G199" s="589"/>
      <c r="H199" s="589"/>
      <c r="I199" s="589"/>
      <c r="J199" s="588"/>
      <c r="K199" s="537"/>
      <c r="L199" s="537"/>
      <c r="M199" s="537">
        <v>2</v>
      </c>
      <c r="N199" s="590">
        <f t="shared" si="32"/>
        <v>2</v>
      </c>
      <c r="O199" s="591">
        <f t="shared" si="33"/>
        <v>2</v>
      </c>
      <c r="P199" s="592">
        <f t="shared" si="34"/>
        <v>3.716090672612412E-2</v>
      </c>
    </row>
    <row r="200" spans="1:16" s="593" customFormat="1">
      <c r="A200" s="647" t="s">
        <v>457</v>
      </c>
      <c r="B200" s="587"/>
      <c r="C200" s="537"/>
      <c r="D200" s="588"/>
      <c r="E200" s="588"/>
      <c r="F200" s="588"/>
      <c r="G200" s="589"/>
      <c r="H200" s="589"/>
      <c r="I200" s="589"/>
      <c r="J200" s="588"/>
      <c r="K200" s="537"/>
      <c r="L200" s="537"/>
      <c r="M200" s="537">
        <v>0</v>
      </c>
      <c r="N200" s="590">
        <f t="shared" si="32"/>
        <v>0</v>
      </c>
      <c r="O200" s="591">
        <f t="shared" si="33"/>
        <v>0</v>
      </c>
      <c r="P200" s="592">
        <f t="shared" si="34"/>
        <v>0</v>
      </c>
    </row>
    <row r="201" spans="1:16" s="593" customFormat="1">
      <c r="A201" s="647" t="s">
        <v>462</v>
      </c>
      <c r="B201" s="587"/>
      <c r="C201" s="537"/>
      <c r="D201" s="588"/>
      <c r="E201" s="588"/>
      <c r="F201" s="588"/>
      <c r="G201" s="589"/>
      <c r="H201" s="589"/>
      <c r="I201" s="589"/>
      <c r="J201" s="588"/>
      <c r="K201" s="537"/>
      <c r="L201" s="537"/>
      <c r="M201" s="537">
        <v>0</v>
      </c>
      <c r="N201" s="590">
        <f t="shared" si="32"/>
        <v>0</v>
      </c>
      <c r="O201" s="591">
        <f t="shared" si="33"/>
        <v>0</v>
      </c>
      <c r="P201" s="592">
        <f t="shared" si="34"/>
        <v>0</v>
      </c>
    </row>
    <row r="202" spans="1:16" s="593" customFormat="1">
      <c r="A202" s="647" t="s">
        <v>473</v>
      </c>
      <c r="B202" s="587"/>
      <c r="C202" s="537"/>
      <c r="D202" s="588"/>
      <c r="E202" s="588"/>
      <c r="F202" s="588"/>
      <c r="G202" s="589"/>
      <c r="H202" s="589"/>
      <c r="I202" s="589"/>
      <c r="J202" s="588"/>
      <c r="K202" s="537"/>
      <c r="L202" s="537"/>
      <c r="M202" s="537">
        <v>2</v>
      </c>
      <c r="N202" s="590">
        <f t="shared" ref="N202" si="35">SUM(B202:M202)</f>
        <v>2</v>
      </c>
      <c r="O202" s="591">
        <f t="shared" ref="O202" si="36">AVERAGE(B202:M202)</f>
        <v>2</v>
      </c>
      <c r="P202" s="592">
        <f t="shared" si="34"/>
        <v>3.716090672612412E-2</v>
      </c>
    </row>
    <row r="203" spans="1:16" s="593" customFormat="1">
      <c r="A203" s="647" t="s">
        <v>415</v>
      </c>
      <c r="B203" s="587"/>
      <c r="C203" s="537"/>
      <c r="D203" s="588"/>
      <c r="E203" s="588"/>
      <c r="F203" s="588"/>
      <c r="G203" s="589"/>
      <c r="H203" s="589"/>
      <c r="I203" s="589"/>
      <c r="J203" s="588"/>
      <c r="K203" s="537"/>
      <c r="L203" s="537"/>
      <c r="M203" s="537">
        <v>7</v>
      </c>
      <c r="N203" s="590">
        <f t="shared" si="32"/>
        <v>7</v>
      </c>
      <c r="O203" s="591">
        <f t="shared" si="33"/>
        <v>7</v>
      </c>
      <c r="P203" s="592">
        <f t="shared" ref="P203:P218" si="37">(N203/$N$229)*100</f>
        <v>0.1300631735414344</v>
      </c>
    </row>
    <row r="204" spans="1:16" s="593" customFormat="1">
      <c r="A204" s="648" t="s">
        <v>179</v>
      </c>
      <c r="B204" s="587"/>
      <c r="C204" s="537"/>
      <c r="D204" s="588"/>
      <c r="E204" s="588"/>
      <c r="F204" s="588"/>
      <c r="G204" s="589"/>
      <c r="H204" s="589"/>
      <c r="I204" s="589"/>
      <c r="J204" s="588"/>
      <c r="K204" s="537"/>
      <c r="L204" s="537"/>
      <c r="M204" s="537">
        <v>1</v>
      </c>
      <c r="N204" s="590">
        <f t="shared" si="32"/>
        <v>1</v>
      </c>
      <c r="O204" s="591">
        <f t="shared" si="33"/>
        <v>1</v>
      </c>
      <c r="P204" s="592">
        <f t="shared" si="37"/>
        <v>1.858045336306206E-2</v>
      </c>
    </row>
    <row r="205" spans="1:16" s="593" customFormat="1">
      <c r="A205" s="648" t="s">
        <v>181</v>
      </c>
      <c r="B205" s="587"/>
      <c r="C205" s="537"/>
      <c r="D205" s="588"/>
      <c r="E205" s="588"/>
      <c r="F205" s="588"/>
      <c r="G205" s="589"/>
      <c r="H205" s="589"/>
      <c r="I205" s="589"/>
      <c r="J205" s="588"/>
      <c r="K205" s="537"/>
      <c r="L205" s="537"/>
      <c r="M205" s="537">
        <v>8</v>
      </c>
      <c r="N205" s="590">
        <f t="shared" si="32"/>
        <v>8</v>
      </c>
      <c r="O205" s="591">
        <f t="shared" si="33"/>
        <v>8</v>
      </c>
      <c r="P205" s="592">
        <f t="shared" si="37"/>
        <v>0.14864362690449648</v>
      </c>
    </row>
    <row r="206" spans="1:16" s="593" customFormat="1">
      <c r="A206" s="648" t="s">
        <v>180</v>
      </c>
      <c r="B206" s="587"/>
      <c r="C206" s="537"/>
      <c r="D206" s="588"/>
      <c r="E206" s="588"/>
      <c r="F206" s="588"/>
      <c r="G206" s="589"/>
      <c r="H206" s="589"/>
      <c r="I206" s="589"/>
      <c r="J206" s="588"/>
      <c r="K206" s="537"/>
      <c r="L206" s="537"/>
      <c r="M206" s="537">
        <v>0</v>
      </c>
      <c r="N206" s="590">
        <f t="shared" si="32"/>
        <v>0</v>
      </c>
      <c r="O206" s="591">
        <f t="shared" si="33"/>
        <v>0</v>
      </c>
      <c r="P206" s="592">
        <f t="shared" si="37"/>
        <v>0</v>
      </c>
    </row>
    <row r="207" spans="1:16" s="593" customFormat="1">
      <c r="A207" s="648" t="s">
        <v>182</v>
      </c>
      <c r="B207" s="587"/>
      <c r="C207" s="537"/>
      <c r="D207" s="588"/>
      <c r="E207" s="588"/>
      <c r="F207" s="588"/>
      <c r="G207" s="589"/>
      <c r="H207" s="589"/>
      <c r="I207" s="589"/>
      <c r="J207" s="588"/>
      <c r="K207" s="537"/>
      <c r="L207" s="537"/>
      <c r="M207" s="537">
        <v>10</v>
      </c>
      <c r="N207" s="590">
        <f t="shared" si="32"/>
        <v>10</v>
      </c>
      <c r="O207" s="591">
        <f t="shared" si="33"/>
        <v>10</v>
      </c>
      <c r="P207" s="592">
        <f t="shared" si="37"/>
        <v>0.18580453363062058</v>
      </c>
    </row>
    <row r="208" spans="1:16" s="593" customFormat="1">
      <c r="A208" s="648" t="s">
        <v>183</v>
      </c>
      <c r="B208" s="587"/>
      <c r="C208" s="537"/>
      <c r="D208" s="588"/>
      <c r="E208" s="588"/>
      <c r="F208" s="588"/>
      <c r="G208" s="589"/>
      <c r="H208" s="589"/>
      <c r="I208" s="589"/>
      <c r="J208" s="588"/>
      <c r="K208" s="537"/>
      <c r="L208" s="537"/>
      <c r="M208" s="537">
        <v>2</v>
      </c>
      <c r="N208" s="590">
        <f t="shared" si="32"/>
        <v>2</v>
      </c>
      <c r="O208" s="591">
        <f t="shared" si="33"/>
        <v>2</v>
      </c>
      <c r="P208" s="592">
        <f t="shared" si="37"/>
        <v>3.716090672612412E-2</v>
      </c>
    </row>
    <row r="209" spans="1:16" s="593" customFormat="1">
      <c r="A209" s="648" t="s">
        <v>184</v>
      </c>
      <c r="B209" s="587"/>
      <c r="C209" s="537"/>
      <c r="D209" s="588"/>
      <c r="E209" s="588"/>
      <c r="F209" s="588"/>
      <c r="G209" s="589"/>
      <c r="H209" s="589"/>
      <c r="I209" s="589"/>
      <c r="J209" s="588"/>
      <c r="K209" s="537"/>
      <c r="L209" s="537"/>
      <c r="M209" s="537">
        <v>162</v>
      </c>
      <c r="N209" s="590">
        <f t="shared" si="32"/>
        <v>162</v>
      </c>
      <c r="O209" s="591">
        <f t="shared" si="33"/>
        <v>162</v>
      </c>
      <c r="P209" s="592">
        <f t="shared" si="37"/>
        <v>3.0100334448160537</v>
      </c>
    </row>
    <row r="210" spans="1:16" s="593" customFormat="1">
      <c r="A210" s="648" t="s">
        <v>185</v>
      </c>
      <c r="B210" s="587"/>
      <c r="C210" s="537"/>
      <c r="D210" s="588"/>
      <c r="E210" s="588"/>
      <c r="F210" s="588"/>
      <c r="G210" s="589"/>
      <c r="H210" s="589"/>
      <c r="I210" s="589"/>
      <c r="J210" s="588"/>
      <c r="K210" s="537"/>
      <c r="L210" s="537"/>
      <c r="M210" s="537">
        <v>2</v>
      </c>
      <c r="N210" s="590">
        <f t="shared" si="32"/>
        <v>2</v>
      </c>
      <c r="O210" s="591">
        <f t="shared" si="33"/>
        <v>2</v>
      </c>
      <c r="P210" s="592">
        <f t="shared" si="37"/>
        <v>3.716090672612412E-2</v>
      </c>
    </row>
    <row r="211" spans="1:16" s="593" customFormat="1">
      <c r="A211" s="648" t="s">
        <v>186</v>
      </c>
      <c r="B211" s="587"/>
      <c r="C211" s="537"/>
      <c r="D211" s="588"/>
      <c r="E211" s="588"/>
      <c r="F211" s="588"/>
      <c r="G211" s="589"/>
      <c r="H211" s="589"/>
      <c r="I211" s="589"/>
      <c r="J211" s="588"/>
      <c r="K211" s="537"/>
      <c r="L211" s="537"/>
      <c r="M211" s="537">
        <v>28</v>
      </c>
      <c r="N211" s="590">
        <f t="shared" si="32"/>
        <v>28</v>
      </c>
      <c r="O211" s="591">
        <f t="shared" si="33"/>
        <v>28</v>
      </c>
      <c r="P211" s="592">
        <f t="shared" si="37"/>
        <v>0.52025269416573761</v>
      </c>
    </row>
    <row r="212" spans="1:16" s="593" customFormat="1">
      <c r="A212" s="648" t="s">
        <v>187</v>
      </c>
      <c r="B212" s="587"/>
      <c r="C212" s="537"/>
      <c r="D212" s="588"/>
      <c r="E212" s="588"/>
      <c r="F212" s="588"/>
      <c r="G212" s="589"/>
      <c r="H212" s="589"/>
      <c r="I212" s="589"/>
      <c r="J212" s="588"/>
      <c r="K212" s="537"/>
      <c r="L212" s="537"/>
      <c r="M212" s="537">
        <v>4</v>
      </c>
      <c r="N212" s="590">
        <f t="shared" si="32"/>
        <v>4</v>
      </c>
      <c r="O212" s="591">
        <f t="shared" si="33"/>
        <v>4</v>
      </c>
      <c r="P212" s="592">
        <f t="shared" si="37"/>
        <v>7.4321813452248239E-2</v>
      </c>
    </row>
    <row r="213" spans="1:16" s="593" customFormat="1">
      <c r="A213" s="647" t="s">
        <v>188</v>
      </c>
      <c r="B213" s="587"/>
      <c r="C213" s="537"/>
      <c r="D213" s="588"/>
      <c r="E213" s="588"/>
      <c r="F213" s="588"/>
      <c r="G213" s="589"/>
      <c r="H213" s="589"/>
      <c r="I213" s="589"/>
      <c r="J213" s="588"/>
      <c r="K213" s="537"/>
      <c r="L213" s="537"/>
      <c r="M213" s="537">
        <v>18</v>
      </c>
      <c r="N213" s="590">
        <f t="shared" si="32"/>
        <v>18</v>
      </c>
      <c r="O213" s="591">
        <f t="shared" si="33"/>
        <v>18</v>
      </c>
      <c r="P213" s="592">
        <f t="shared" si="37"/>
        <v>0.33444816053511706</v>
      </c>
    </row>
    <row r="214" spans="1:16" s="593" customFormat="1">
      <c r="A214" s="647" t="s">
        <v>189</v>
      </c>
      <c r="B214" s="587"/>
      <c r="C214" s="537"/>
      <c r="D214" s="588"/>
      <c r="E214" s="588"/>
      <c r="F214" s="588"/>
      <c r="G214" s="589"/>
      <c r="H214" s="589"/>
      <c r="I214" s="589"/>
      <c r="J214" s="588"/>
      <c r="K214" s="537"/>
      <c r="L214" s="537"/>
      <c r="M214" s="537">
        <v>0</v>
      </c>
      <c r="N214" s="590">
        <f t="shared" si="32"/>
        <v>0</v>
      </c>
      <c r="O214" s="591">
        <f t="shared" si="33"/>
        <v>0</v>
      </c>
      <c r="P214" s="592">
        <f t="shared" si="37"/>
        <v>0</v>
      </c>
    </row>
    <row r="215" spans="1:16" s="593" customFormat="1">
      <c r="A215" s="648" t="s">
        <v>190</v>
      </c>
      <c r="B215" s="587"/>
      <c r="C215" s="537"/>
      <c r="D215" s="588"/>
      <c r="E215" s="588"/>
      <c r="F215" s="588"/>
      <c r="G215" s="589"/>
      <c r="H215" s="589"/>
      <c r="I215" s="589"/>
      <c r="J215" s="588"/>
      <c r="K215" s="537"/>
      <c r="L215" s="537"/>
      <c r="M215" s="537">
        <v>120</v>
      </c>
      <c r="N215" s="590">
        <f t="shared" si="32"/>
        <v>120</v>
      </c>
      <c r="O215" s="591">
        <f t="shared" si="33"/>
        <v>120</v>
      </c>
      <c r="P215" s="592">
        <f t="shared" si="37"/>
        <v>2.229654403567447</v>
      </c>
    </row>
    <row r="216" spans="1:16" s="593" customFormat="1">
      <c r="A216" s="648" t="s">
        <v>191</v>
      </c>
      <c r="B216" s="587"/>
      <c r="C216" s="537"/>
      <c r="D216" s="588"/>
      <c r="E216" s="588"/>
      <c r="F216" s="588"/>
      <c r="G216" s="589"/>
      <c r="H216" s="589"/>
      <c r="I216" s="589"/>
      <c r="J216" s="588"/>
      <c r="K216" s="537"/>
      <c r="L216" s="537"/>
      <c r="M216" s="537">
        <v>34</v>
      </c>
      <c r="N216" s="590">
        <f t="shared" si="32"/>
        <v>34</v>
      </c>
      <c r="O216" s="591">
        <f t="shared" si="33"/>
        <v>34</v>
      </c>
      <c r="P216" s="592">
        <f t="shared" si="37"/>
        <v>0.63173541434410996</v>
      </c>
    </row>
    <row r="217" spans="1:16" s="593" customFormat="1">
      <c r="A217" s="648" t="s">
        <v>439</v>
      </c>
      <c r="B217" s="587"/>
      <c r="C217" s="537"/>
      <c r="D217" s="588"/>
      <c r="E217" s="588"/>
      <c r="F217" s="588"/>
      <c r="G217" s="589"/>
      <c r="H217" s="589"/>
      <c r="I217" s="589"/>
      <c r="J217" s="588"/>
      <c r="K217" s="537"/>
      <c r="L217" s="537"/>
      <c r="M217" s="537">
        <v>1</v>
      </c>
      <c r="N217" s="590">
        <f t="shared" si="32"/>
        <v>1</v>
      </c>
      <c r="O217" s="591">
        <f t="shared" si="33"/>
        <v>1</v>
      </c>
      <c r="P217" s="592">
        <f t="shared" si="37"/>
        <v>1.858045336306206E-2</v>
      </c>
    </row>
    <row r="218" spans="1:16" s="593" customFormat="1">
      <c r="A218" s="648" t="s">
        <v>463</v>
      </c>
      <c r="B218" s="587"/>
      <c r="C218" s="537"/>
      <c r="D218" s="588"/>
      <c r="E218" s="588"/>
      <c r="F218" s="588"/>
      <c r="G218" s="589"/>
      <c r="H218" s="589"/>
      <c r="I218" s="589"/>
      <c r="J218" s="588"/>
      <c r="K218" s="537"/>
      <c r="L218" s="537"/>
      <c r="M218" s="537">
        <v>0</v>
      </c>
      <c r="N218" s="590">
        <f t="shared" si="32"/>
        <v>0</v>
      </c>
      <c r="O218" s="591">
        <f t="shared" si="33"/>
        <v>0</v>
      </c>
      <c r="P218" s="592">
        <f t="shared" si="37"/>
        <v>0</v>
      </c>
    </row>
    <row r="219" spans="1:16" s="593" customFormat="1">
      <c r="A219" s="648" t="s">
        <v>192</v>
      </c>
      <c r="B219" s="587"/>
      <c r="C219" s="537"/>
      <c r="D219" s="588"/>
      <c r="E219" s="588"/>
      <c r="F219" s="588"/>
      <c r="G219" s="589"/>
      <c r="H219" s="589"/>
      <c r="I219" s="589"/>
      <c r="J219" s="588"/>
      <c r="K219" s="537"/>
      <c r="L219" s="537"/>
      <c r="M219" s="537">
        <v>0</v>
      </c>
      <c r="N219" s="590">
        <f t="shared" si="32"/>
        <v>0</v>
      </c>
      <c r="O219" s="591">
        <f t="shared" si="33"/>
        <v>0</v>
      </c>
      <c r="P219" s="592">
        <f t="shared" ref="P219:P229" si="38">(N219/$N$229)*100</f>
        <v>0</v>
      </c>
    </row>
    <row r="220" spans="1:16" s="593" customFormat="1">
      <c r="A220" s="648" t="s">
        <v>193</v>
      </c>
      <c r="B220" s="587"/>
      <c r="C220" s="537"/>
      <c r="D220" s="588"/>
      <c r="E220" s="588"/>
      <c r="F220" s="588"/>
      <c r="G220" s="589"/>
      <c r="H220" s="589"/>
      <c r="I220" s="589"/>
      <c r="J220" s="588"/>
      <c r="K220" s="537"/>
      <c r="L220" s="537"/>
      <c r="M220" s="537">
        <v>85</v>
      </c>
      <c r="N220" s="590">
        <f t="shared" si="32"/>
        <v>85</v>
      </c>
      <c r="O220" s="591">
        <f t="shared" si="33"/>
        <v>85</v>
      </c>
      <c r="P220" s="592">
        <f t="shared" si="38"/>
        <v>1.5793385358602747</v>
      </c>
    </row>
    <row r="221" spans="1:16" s="593" customFormat="1">
      <c r="A221" s="648" t="s">
        <v>194</v>
      </c>
      <c r="B221" s="587"/>
      <c r="C221" s="537"/>
      <c r="D221" s="588"/>
      <c r="E221" s="588"/>
      <c r="F221" s="588"/>
      <c r="G221" s="589"/>
      <c r="H221" s="589"/>
      <c r="I221" s="589"/>
      <c r="J221" s="588"/>
      <c r="K221" s="537"/>
      <c r="L221" s="537"/>
      <c r="M221" s="537">
        <v>0</v>
      </c>
      <c r="N221" s="590">
        <f t="shared" si="32"/>
        <v>0</v>
      </c>
      <c r="O221" s="591">
        <f t="shared" si="33"/>
        <v>0</v>
      </c>
      <c r="P221" s="592">
        <f t="shared" si="38"/>
        <v>0</v>
      </c>
    </row>
    <row r="222" spans="1:16" s="593" customFormat="1">
      <c r="A222" s="648" t="s">
        <v>195</v>
      </c>
      <c r="B222" s="587"/>
      <c r="C222" s="537"/>
      <c r="D222" s="588"/>
      <c r="E222" s="588"/>
      <c r="F222" s="588"/>
      <c r="G222" s="589"/>
      <c r="H222" s="589"/>
      <c r="I222" s="589"/>
      <c r="J222" s="588"/>
      <c r="K222" s="537"/>
      <c r="L222" s="537"/>
      <c r="M222" s="537">
        <v>2</v>
      </c>
      <c r="N222" s="590">
        <f t="shared" si="32"/>
        <v>2</v>
      </c>
      <c r="O222" s="591">
        <f t="shared" si="33"/>
        <v>2</v>
      </c>
      <c r="P222" s="592">
        <f t="shared" si="38"/>
        <v>3.716090672612412E-2</v>
      </c>
    </row>
    <row r="223" spans="1:16" s="593" customFormat="1">
      <c r="A223" s="648" t="s">
        <v>196</v>
      </c>
      <c r="B223" s="587"/>
      <c r="C223" s="537"/>
      <c r="D223" s="588"/>
      <c r="E223" s="588"/>
      <c r="F223" s="588"/>
      <c r="G223" s="589"/>
      <c r="H223" s="589"/>
      <c r="I223" s="589"/>
      <c r="J223" s="588"/>
      <c r="K223" s="537"/>
      <c r="L223" s="537"/>
      <c r="M223" s="537">
        <v>52</v>
      </c>
      <c r="N223" s="590">
        <f t="shared" si="32"/>
        <v>52</v>
      </c>
      <c r="O223" s="591">
        <f t="shared" si="33"/>
        <v>52</v>
      </c>
      <c r="P223" s="592">
        <f t="shared" si="38"/>
        <v>0.96618357487922701</v>
      </c>
    </row>
    <row r="224" spans="1:16" s="593" customFormat="1">
      <c r="A224" s="648" t="s">
        <v>197</v>
      </c>
      <c r="B224" s="587"/>
      <c r="C224" s="537"/>
      <c r="D224" s="588"/>
      <c r="E224" s="588"/>
      <c r="F224" s="588"/>
      <c r="G224" s="589"/>
      <c r="H224" s="589"/>
      <c r="I224" s="589"/>
      <c r="J224" s="588"/>
      <c r="K224" s="537"/>
      <c r="L224" s="537"/>
      <c r="M224" s="537">
        <v>136</v>
      </c>
      <c r="N224" s="590">
        <f t="shared" si="32"/>
        <v>136</v>
      </c>
      <c r="O224" s="591">
        <f t="shared" si="33"/>
        <v>136</v>
      </c>
      <c r="P224" s="683">
        <f t="shared" si="38"/>
        <v>2.5269416573764398</v>
      </c>
    </row>
    <row r="225" spans="1:16" s="593" customFormat="1">
      <c r="A225" s="648" t="s">
        <v>424</v>
      </c>
      <c r="B225" s="587"/>
      <c r="C225" s="537"/>
      <c r="D225" s="588"/>
      <c r="E225" s="588"/>
      <c r="F225" s="588"/>
      <c r="G225" s="589"/>
      <c r="H225" s="684"/>
      <c r="I225" s="684"/>
      <c r="J225" s="685"/>
      <c r="K225" s="537"/>
      <c r="L225" s="537"/>
      <c r="M225" s="537">
        <v>7</v>
      </c>
      <c r="N225" s="686">
        <f t="shared" ref="N225:N228" si="39">SUM(B225:M225)</f>
        <v>7</v>
      </c>
      <c r="O225" s="687">
        <f t="shared" si="33"/>
        <v>7</v>
      </c>
      <c r="P225" s="688">
        <f t="shared" si="38"/>
        <v>0.1300631735414344</v>
      </c>
    </row>
    <row r="226" spans="1:16" s="593" customFormat="1">
      <c r="A226" s="648" t="s">
        <v>425</v>
      </c>
      <c r="B226" s="587"/>
      <c r="C226" s="537"/>
      <c r="D226" s="588"/>
      <c r="E226" s="588"/>
      <c r="F226" s="588"/>
      <c r="G226" s="589"/>
      <c r="H226" s="684"/>
      <c r="I226" s="684"/>
      <c r="J226" s="685"/>
      <c r="K226" s="537"/>
      <c r="L226" s="537"/>
      <c r="M226" s="537">
        <v>5</v>
      </c>
      <c r="N226" s="686">
        <f t="shared" si="39"/>
        <v>5</v>
      </c>
      <c r="O226" s="687">
        <f t="shared" si="33"/>
        <v>5</v>
      </c>
      <c r="P226" s="688">
        <f t="shared" si="38"/>
        <v>9.2902266815310289E-2</v>
      </c>
    </row>
    <row r="227" spans="1:16" s="593" customFormat="1">
      <c r="A227" s="650" t="s">
        <v>199</v>
      </c>
      <c r="B227" s="689"/>
      <c r="C227" s="690"/>
      <c r="D227" s="685"/>
      <c r="E227" s="685"/>
      <c r="F227" s="685"/>
      <c r="G227" s="684"/>
      <c r="H227" s="684"/>
      <c r="I227" s="684"/>
      <c r="J227" s="685"/>
      <c r="K227" s="537"/>
      <c r="L227" s="690"/>
      <c r="M227" s="537">
        <v>3</v>
      </c>
      <c r="N227" s="686">
        <f t="shared" si="39"/>
        <v>3</v>
      </c>
      <c r="O227" s="687">
        <f t="shared" si="33"/>
        <v>3</v>
      </c>
      <c r="P227" s="688">
        <f t="shared" si="38"/>
        <v>5.5741360089186176E-2</v>
      </c>
    </row>
    <row r="228" spans="1:16" s="593" customFormat="1" ht="15.75" thickBot="1">
      <c r="A228" s="651" t="s">
        <v>198</v>
      </c>
      <c r="B228" s="689"/>
      <c r="C228" s="690"/>
      <c r="D228" s="685"/>
      <c r="E228" s="685"/>
      <c r="F228" s="685"/>
      <c r="G228" s="684"/>
      <c r="H228" s="684"/>
      <c r="I228" s="684"/>
      <c r="J228" s="685"/>
      <c r="K228" s="537"/>
      <c r="L228" s="690"/>
      <c r="M228" s="537">
        <v>4</v>
      </c>
      <c r="N228" s="686">
        <f t="shared" si="39"/>
        <v>4</v>
      </c>
      <c r="O228" s="687">
        <f t="shared" si="33"/>
        <v>4</v>
      </c>
      <c r="P228" s="691">
        <f t="shared" si="38"/>
        <v>7.4321813452248239E-2</v>
      </c>
    </row>
    <row r="229" spans="1:16" ht="16.5" customHeight="1" thickBot="1">
      <c r="A229" s="83" t="s">
        <v>5</v>
      </c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5">
        <f t="shared" ref="M229" si="40">SUM(M5:M228)</f>
        <v>5382</v>
      </c>
      <c r="N229" s="86">
        <f t="shared" ref="N229" si="41">SUM(B229:M229)</f>
        <v>5382</v>
      </c>
      <c r="O229" s="87">
        <f t="shared" ref="O229" si="42">AVERAGE(B229:M229)</f>
        <v>5382</v>
      </c>
      <c r="P229" s="586">
        <f t="shared" si="38"/>
        <v>100</v>
      </c>
    </row>
    <row r="230" spans="1:16" ht="65.25" customHeight="1">
      <c r="A230" s="90" t="s">
        <v>200</v>
      </c>
      <c r="B230" s="91"/>
      <c r="C230" s="91"/>
      <c r="D230" s="91"/>
      <c r="E230" s="91"/>
      <c r="F230" s="91"/>
      <c r="G230" s="91"/>
      <c r="H230" s="91"/>
      <c r="I230" s="91"/>
      <c r="J230" s="91"/>
      <c r="K230" s="91"/>
    </row>
    <row r="231" spans="1:16">
      <c r="A231" s="92"/>
      <c r="B231" s="91"/>
      <c r="C231" s="91"/>
      <c r="D231" s="91"/>
      <c r="E231" s="91"/>
      <c r="F231" s="91"/>
      <c r="G231" s="91"/>
      <c r="H231" s="91"/>
      <c r="I231" s="91"/>
      <c r="J231" s="91"/>
      <c r="K231" s="91"/>
    </row>
    <row r="232" spans="1:16" ht="45">
      <c r="A232" s="92" t="s">
        <v>201</v>
      </c>
      <c r="B232" s="91"/>
      <c r="C232" s="91"/>
      <c r="D232" s="91"/>
      <c r="E232" s="91"/>
      <c r="F232" s="91"/>
      <c r="G232" s="91"/>
      <c r="H232" s="91"/>
      <c r="I232" s="91"/>
      <c r="J232" s="91"/>
      <c r="K232" s="91"/>
    </row>
    <row r="233" spans="1:16">
      <c r="A233" s="92"/>
      <c r="B233" s="91"/>
      <c r="C233" s="91"/>
      <c r="D233" s="91"/>
      <c r="E233" s="91"/>
      <c r="F233" s="91"/>
      <c r="G233" s="91"/>
      <c r="H233" s="91"/>
      <c r="I233" s="91"/>
      <c r="J233" s="91"/>
      <c r="K233" s="91"/>
    </row>
    <row r="234" spans="1:16" ht="31.5" customHeight="1">
      <c r="A234" s="622" t="s">
        <v>202</v>
      </c>
      <c r="B234" s="91"/>
      <c r="C234" s="91"/>
      <c r="D234" s="91"/>
      <c r="E234" s="91"/>
      <c r="F234" s="91"/>
      <c r="G234" s="91"/>
      <c r="H234" s="91"/>
      <c r="I234" s="91"/>
      <c r="J234" s="91"/>
      <c r="K234" s="91"/>
    </row>
    <row r="235" spans="1:16" ht="45">
      <c r="A235" s="92" t="s">
        <v>203</v>
      </c>
    </row>
    <row r="236" spans="1:16" ht="30">
      <c r="A236" s="92" t="s">
        <v>204</v>
      </c>
      <c r="B236" s="91"/>
      <c r="C236" s="91"/>
      <c r="D236" s="91"/>
      <c r="E236" s="91"/>
      <c r="F236" s="91"/>
    </row>
    <row r="238" spans="1:16" ht="30">
      <c r="A238" s="92" t="s">
        <v>438</v>
      </c>
      <c r="B238"/>
      <c r="C238"/>
      <c r="D238"/>
      <c r="E238"/>
      <c r="F238"/>
      <c r="G238"/>
      <c r="H238"/>
      <c r="I238"/>
      <c r="J238"/>
      <c r="K238"/>
      <c r="L238"/>
      <c r="M238" s="93"/>
      <c r="N238"/>
      <c r="O238"/>
      <c r="P238"/>
    </row>
  </sheetData>
  <sortState ref="A5:P200">
    <sortCondition ref="A4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229" formulaRange="1"/>
    <ignoredError sqref="N35 N41 N20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72"/>
    </row>
    <row r="2" spans="1:2">
      <c r="A2" s="1" t="s">
        <v>1</v>
      </c>
      <c r="B2" s="72"/>
    </row>
    <row r="3" spans="1:2" ht="15.75" thickBot="1">
      <c r="B3" s="73"/>
    </row>
    <row r="4" spans="1:2">
      <c r="A4" s="663" t="s">
        <v>435</v>
      </c>
      <c r="B4" s="667">
        <v>45292</v>
      </c>
    </row>
    <row r="5" spans="1:2">
      <c r="A5" s="664" t="s">
        <v>228</v>
      </c>
      <c r="B5" s="695">
        <v>295</v>
      </c>
    </row>
    <row r="6" spans="1:2">
      <c r="A6" s="664" t="s">
        <v>442</v>
      </c>
      <c r="B6" s="695">
        <v>2</v>
      </c>
    </row>
    <row r="7" spans="1:2">
      <c r="A7" s="664" t="s">
        <v>237</v>
      </c>
      <c r="B7" s="695">
        <v>6</v>
      </c>
    </row>
    <row r="8" spans="1:2" ht="15.75" thickBot="1">
      <c r="A8" s="665" t="s">
        <v>443</v>
      </c>
      <c r="B8" s="696">
        <v>26</v>
      </c>
    </row>
    <row r="9" spans="1:2" ht="15.75" thickBot="1">
      <c r="A9" s="666" t="s">
        <v>436</v>
      </c>
      <c r="B9" s="697">
        <f>SUM(B5:B8)</f>
        <v>329</v>
      </c>
    </row>
    <row r="10" spans="1:2">
      <c r="A10" s="621"/>
      <c r="B10" s="621"/>
    </row>
    <row r="11" spans="1:2" ht="30">
      <c r="A11" s="623" t="s">
        <v>440</v>
      </c>
    </row>
    <row r="14" spans="1:2" ht="45">
      <c r="A14" s="623" t="s">
        <v>444</v>
      </c>
    </row>
    <row r="16" spans="1:2" ht="60">
      <c r="A16" s="623" t="s">
        <v>441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V6" sqref="V6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98" bestFit="1" customWidth="1"/>
    <col min="4" max="4" width="7.140625" style="9" bestFit="1" customWidth="1"/>
    <col min="5" max="5" width="7" style="96" bestFit="1" customWidth="1"/>
    <col min="6" max="6" width="7.5703125" style="9" bestFit="1" customWidth="1"/>
    <col min="7" max="7" width="6.28515625" style="96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94" t="s">
        <v>0</v>
      </c>
      <c r="B1" s="94"/>
      <c r="C1" s="95"/>
      <c r="D1" s="94"/>
      <c r="H1" s="514"/>
      <c r="I1" s="514"/>
      <c r="J1" s="514"/>
      <c r="K1" s="514"/>
      <c r="L1" s="514"/>
      <c r="M1" s="514"/>
      <c r="N1" s="514"/>
      <c r="O1" s="514"/>
      <c r="P1" s="514">
        <f>Assuntos!M229</f>
        <v>5382</v>
      </c>
    </row>
    <row r="2" spans="1:20" ht="15">
      <c r="A2" s="1" t="s">
        <v>1</v>
      </c>
      <c r="B2" s="1"/>
      <c r="C2" s="72"/>
      <c r="D2" s="1"/>
      <c r="H2" s="514"/>
      <c r="I2" s="514"/>
      <c r="J2" s="514"/>
      <c r="K2" s="514"/>
      <c r="L2" s="514"/>
      <c r="M2" s="514"/>
      <c r="N2" s="514"/>
      <c r="O2" s="514"/>
      <c r="P2" s="514"/>
    </row>
    <row r="3" spans="1:20" ht="15">
      <c r="A3" s="1"/>
      <c r="B3" s="1"/>
      <c r="C3" s="72"/>
      <c r="D3" s="1"/>
      <c r="H3" s="514"/>
      <c r="I3" s="514"/>
      <c r="J3" s="514"/>
      <c r="K3" s="514"/>
      <c r="L3" s="514"/>
      <c r="M3" s="514"/>
      <c r="N3" s="514"/>
      <c r="O3" s="514"/>
      <c r="P3" s="514"/>
    </row>
    <row r="4" spans="1:20" ht="15">
      <c r="A4" s="1" t="s">
        <v>491</v>
      </c>
      <c r="B4" s="1"/>
      <c r="C4" s="72"/>
      <c r="D4" s="1"/>
      <c r="H4" s="514"/>
      <c r="I4" s="514"/>
      <c r="J4" s="514"/>
      <c r="K4" s="514"/>
      <c r="L4" s="514"/>
      <c r="M4" s="514"/>
      <c r="N4" s="514"/>
      <c r="O4" s="514"/>
      <c r="P4" s="698"/>
    </row>
    <row r="5" spans="1:20" ht="15" thickBot="1">
      <c r="E5" s="9"/>
      <c r="F5" s="96"/>
      <c r="G5" s="9"/>
      <c r="H5" s="515"/>
      <c r="I5" s="514"/>
      <c r="J5" s="514"/>
      <c r="K5" s="514"/>
      <c r="L5" s="514"/>
      <c r="M5" s="514"/>
      <c r="N5" s="514"/>
      <c r="O5" s="514"/>
      <c r="P5" s="514"/>
    </row>
    <row r="6" spans="1:20" ht="64.5" thickBot="1">
      <c r="A6" s="760" t="s">
        <v>475</v>
      </c>
      <c r="B6" s="560">
        <v>45627</v>
      </c>
      <c r="C6" s="561">
        <v>45597</v>
      </c>
      <c r="D6" s="561">
        <v>45566</v>
      </c>
      <c r="E6" s="561">
        <v>45536</v>
      </c>
      <c r="F6" s="561">
        <v>45505</v>
      </c>
      <c r="G6" s="561">
        <v>45474</v>
      </c>
      <c r="H6" s="561">
        <v>45444</v>
      </c>
      <c r="I6" s="561">
        <v>45413</v>
      </c>
      <c r="J6" s="561">
        <v>45383</v>
      </c>
      <c r="K6" s="561">
        <v>45352</v>
      </c>
      <c r="L6" s="561">
        <v>45323</v>
      </c>
      <c r="M6" s="561">
        <v>45292</v>
      </c>
      <c r="N6" s="561" t="s">
        <v>5</v>
      </c>
      <c r="O6" s="561" t="s">
        <v>6</v>
      </c>
      <c r="P6" s="761" t="s">
        <v>474</v>
      </c>
    </row>
    <row r="7" spans="1:20" ht="14.25" customHeight="1" thickBot="1">
      <c r="A7" s="762" t="s">
        <v>57</v>
      </c>
      <c r="B7" s="542"/>
      <c r="C7" s="543"/>
      <c r="D7" s="38"/>
      <c r="E7" s="38"/>
      <c r="F7" s="38"/>
      <c r="G7" s="423"/>
      <c r="H7" s="465"/>
      <c r="I7" s="466"/>
      <c r="J7" s="424"/>
      <c r="K7" s="424"/>
      <c r="L7" s="424"/>
      <c r="M7" s="424">
        <v>552</v>
      </c>
      <c r="N7" s="99">
        <f t="shared" ref="N7:N16" si="0">SUM(B7:M7)</f>
        <v>552</v>
      </c>
      <c r="O7" s="100">
        <f t="shared" ref="O7:O17" si="1">AVERAGE(B7:M7)</f>
        <v>552</v>
      </c>
      <c r="P7" s="565">
        <f>(M7*100)/$P$1</f>
        <v>10.256410256410257</v>
      </c>
      <c r="S7" s="96"/>
      <c r="T7" s="96"/>
    </row>
    <row r="8" spans="1:20" ht="15" customHeight="1" thickBot="1">
      <c r="A8" s="762" t="s">
        <v>43</v>
      </c>
      <c r="B8" s="542"/>
      <c r="C8" s="543"/>
      <c r="D8" s="38"/>
      <c r="E8" s="38"/>
      <c r="F8" s="38"/>
      <c r="G8" s="423"/>
      <c r="H8" s="465"/>
      <c r="I8" s="466"/>
      <c r="J8" s="424"/>
      <c r="K8" s="424"/>
      <c r="L8" s="424"/>
      <c r="M8" s="424">
        <v>349</v>
      </c>
      <c r="N8" s="101">
        <f t="shared" si="0"/>
        <v>349</v>
      </c>
      <c r="O8" s="102">
        <f t="shared" si="1"/>
        <v>349</v>
      </c>
      <c r="P8" s="565">
        <f t="shared" ref="P8:P17" si="2">(M8*100)/$P$1</f>
        <v>6.4845782237086587</v>
      </c>
      <c r="S8" s="96"/>
      <c r="T8" s="96"/>
    </row>
    <row r="9" spans="1:20" ht="15.75" thickBot="1">
      <c r="A9" s="762" t="s">
        <v>437</v>
      </c>
      <c r="B9" s="542"/>
      <c r="C9" s="543"/>
      <c r="D9" s="38"/>
      <c r="E9" s="38"/>
      <c r="F9" s="38"/>
      <c r="G9" s="423"/>
      <c r="H9" s="465"/>
      <c r="I9" s="466"/>
      <c r="J9" s="467"/>
      <c r="K9" s="424"/>
      <c r="L9" s="424"/>
      <c r="M9" s="424">
        <v>329</v>
      </c>
      <c r="N9" s="101">
        <f t="shared" si="0"/>
        <v>329</v>
      </c>
      <c r="O9" s="102">
        <f t="shared" si="1"/>
        <v>329</v>
      </c>
      <c r="P9" s="565">
        <f t="shared" si="2"/>
        <v>6.1129691564474173</v>
      </c>
      <c r="S9" s="96"/>
      <c r="T9" s="96"/>
    </row>
    <row r="10" spans="1:20" ht="15.75" thickBot="1">
      <c r="A10" s="762" t="s">
        <v>159</v>
      </c>
      <c r="B10" s="542"/>
      <c r="C10" s="543"/>
      <c r="D10" s="38"/>
      <c r="E10" s="38"/>
      <c r="F10" s="38"/>
      <c r="G10" s="423"/>
      <c r="H10" s="465"/>
      <c r="I10" s="466"/>
      <c r="J10" s="424"/>
      <c r="K10" s="424"/>
      <c r="L10" s="424"/>
      <c r="M10" s="424">
        <v>212</v>
      </c>
      <c r="N10" s="101">
        <f t="shared" si="0"/>
        <v>212</v>
      </c>
      <c r="O10" s="102">
        <f t="shared" si="1"/>
        <v>212</v>
      </c>
      <c r="P10" s="565">
        <f t="shared" si="2"/>
        <v>3.9390561129691566</v>
      </c>
      <c r="S10" s="96"/>
      <c r="T10" s="96"/>
    </row>
    <row r="11" spans="1:20" ht="15.75" thickBot="1">
      <c r="A11" s="763" t="s">
        <v>168</v>
      </c>
      <c r="B11" s="542"/>
      <c r="C11" s="543"/>
      <c r="D11" s="38"/>
      <c r="E11" s="38"/>
      <c r="F11" s="38"/>
      <c r="G11" s="423"/>
      <c r="H11" s="465"/>
      <c r="I11" s="466"/>
      <c r="J11" s="424"/>
      <c r="K11" s="424"/>
      <c r="L11" s="424"/>
      <c r="M11" s="424">
        <v>197</v>
      </c>
      <c r="N11" s="101">
        <f t="shared" si="0"/>
        <v>197</v>
      </c>
      <c r="O11" s="102">
        <f t="shared" si="1"/>
        <v>197</v>
      </c>
      <c r="P11" s="565">
        <f t="shared" si="2"/>
        <v>3.6603493125232256</v>
      </c>
      <c r="S11" s="96"/>
      <c r="T11" s="96"/>
    </row>
    <row r="12" spans="1:20" ht="15" customHeight="1" thickBot="1">
      <c r="A12" s="762" t="s">
        <v>144</v>
      </c>
      <c r="B12" s="542"/>
      <c r="C12" s="543"/>
      <c r="D12" s="38"/>
      <c r="E12" s="38"/>
      <c r="F12" s="38"/>
      <c r="G12" s="423"/>
      <c r="H12" s="465"/>
      <c r="I12" s="466"/>
      <c r="J12" s="467"/>
      <c r="K12" s="424"/>
      <c r="L12" s="424"/>
      <c r="M12" s="424">
        <v>175</v>
      </c>
      <c r="N12" s="101">
        <f t="shared" si="0"/>
        <v>175</v>
      </c>
      <c r="O12" s="102">
        <f t="shared" si="1"/>
        <v>175</v>
      </c>
      <c r="P12" s="565">
        <f t="shared" si="2"/>
        <v>3.2515793385358602</v>
      </c>
      <c r="S12" s="96"/>
      <c r="T12" s="96"/>
    </row>
    <row r="13" spans="1:20" ht="15.75" thickBot="1">
      <c r="A13" s="762" t="s">
        <v>153</v>
      </c>
      <c r="B13" s="542"/>
      <c r="C13" s="543"/>
      <c r="D13" s="38"/>
      <c r="E13" s="38"/>
      <c r="F13" s="38"/>
      <c r="G13" s="423"/>
      <c r="H13" s="465"/>
      <c r="I13" s="466"/>
      <c r="J13" s="467"/>
      <c r="K13" s="424"/>
      <c r="L13" s="424"/>
      <c r="M13" s="424">
        <v>174</v>
      </c>
      <c r="N13" s="101">
        <f t="shared" si="0"/>
        <v>174</v>
      </c>
      <c r="O13" s="102">
        <f t="shared" si="1"/>
        <v>174</v>
      </c>
      <c r="P13" s="565">
        <f t="shared" si="2"/>
        <v>3.2329988851727984</v>
      </c>
      <c r="S13" s="96"/>
      <c r="T13" s="96"/>
    </row>
    <row r="14" spans="1:20" ht="15.75" thickBot="1">
      <c r="A14" s="762" t="s">
        <v>98</v>
      </c>
      <c r="B14" s="542"/>
      <c r="C14" s="543"/>
      <c r="D14" s="38"/>
      <c r="E14" s="38"/>
      <c r="F14" s="38"/>
      <c r="G14" s="423"/>
      <c r="H14" s="465"/>
      <c r="I14" s="466"/>
      <c r="J14" s="424"/>
      <c r="K14" s="424"/>
      <c r="L14" s="424"/>
      <c r="M14" s="424">
        <v>166</v>
      </c>
      <c r="N14" s="101">
        <f t="shared" si="0"/>
        <v>166</v>
      </c>
      <c r="O14" s="102">
        <f t="shared" si="1"/>
        <v>166</v>
      </c>
      <c r="P14" s="565">
        <f t="shared" si="2"/>
        <v>3.0843552582683018</v>
      </c>
      <c r="S14" s="96"/>
      <c r="T14" s="96"/>
    </row>
    <row r="15" spans="1:20" ht="15.75" thickBot="1">
      <c r="A15" s="762" t="s">
        <v>184</v>
      </c>
      <c r="B15" s="542"/>
      <c r="C15" s="543"/>
      <c r="D15" s="38"/>
      <c r="E15" s="38"/>
      <c r="F15" s="38"/>
      <c r="G15" s="423"/>
      <c r="H15" s="465"/>
      <c r="I15" s="466"/>
      <c r="J15" s="467"/>
      <c r="K15" s="424"/>
      <c r="L15" s="424"/>
      <c r="M15" s="424">
        <v>162</v>
      </c>
      <c r="N15" s="101">
        <f t="shared" si="0"/>
        <v>162</v>
      </c>
      <c r="O15" s="102">
        <f t="shared" si="1"/>
        <v>162</v>
      </c>
      <c r="P15" s="565">
        <f t="shared" si="2"/>
        <v>3.0100334448160537</v>
      </c>
      <c r="S15" s="96"/>
      <c r="T15" s="96"/>
    </row>
    <row r="16" spans="1:20" ht="15.75" thickBot="1">
      <c r="A16" s="762" t="s">
        <v>60</v>
      </c>
      <c r="B16" s="544"/>
      <c r="C16" s="543"/>
      <c r="D16" s="38"/>
      <c r="E16" s="38"/>
      <c r="F16" s="38"/>
      <c r="G16" s="423"/>
      <c r="H16" s="465"/>
      <c r="I16" s="466"/>
      <c r="J16" s="424"/>
      <c r="K16" s="424"/>
      <c r="L16" s="424"/>
      <c r="M16" s="424">
        <v>153</v>
      </c>
      <c r="N16" s="103">
        <f t="shared" si="0"/>
        <v>153</v>
      </c>
      <c r="O16" s="104">
        <f t="shared" si="1"/>
        <v>153</v>
      </c>
      <c r="P16" s="565">
        <f t="shared" si="2"/>
        <v>2.8428093645484949</v>
      </c>
      <c r="S16" s="96"/>
      <c r="T16" s="96"/>
    </row>
    <row r="17" spans="1:41" ht="15.75" customHeight="1" thickBot="1">
      <c r="A17" s="764" t="s">
        <v>5</v>
      </c>
      <c r="B17" s="566"/>
      <c r="C17" s="566"/>
      <c r="D17" s="566"/>
      <c r="E17" s="566"/>
      <c r="F17" s="566"/>
      <c r="G17" s="566"/>
      <c r="H17" s="566"/>
      <c r="I17" s="566"/>
      <c r="J17" s="566"/>
      <c r="K17" s="566"/>
      <c r="L17" s="566"/>
      <c r="M17" s="566">
        <f t="shared" ref="M17:N17" si="3">SUM(M7:M16)</f>
        <v>2469</v>
      </c>
      <c r="N17" s="569">
        <f t="shared" si="3"/>
        <v>2469</v>
      </c>
      <c r="O17" s="569">
        <f t="shared" si="1"/>
        <v>2469</v>
      </c>
      <c r="P17" s="765">
        <f t="shared" si="2"/>
        <v>45.875139353400222</v>
      </c>
      <c r="S17" s="96"/>
      <c r="T17" s="96"/>
    </row>
    <row r="18" spans="1:41" s="438" customFormat="1" ht="23.25" customHeight="1">
      <c r="A18" s="438" t="s">
        <v>206</v>
      </c>
      <c r="C18" s="439"/>
      <c r="O18" s="438" t="s">
        <v>207</v>
      </c>
      <c r="P18" s="440">
        <f>100-P17</f>
        <v>54.124860646599778</v>
      </c>
    </row>
    <row r="19" spans="1:41" s="768" customFormat="1" ht="54.75" customHeight="1">
      <c r="A19" s="766"/>
      <c r="B19" s="766"/>
      <c r="C19" s="767"/>
      <c r="D19" s="955"/>
      <c r="E19" s="955"/>
      <c r="F19" s="955"/>
      <c r="G19" s="955"/>
      <c r="H19" s="955"/>
      <c r="W19" s="771"/>
    </row>
    <row r="20" spans="1:41" s="768" customFormat="1">
      <c r="A20" s="776"/>
      <c r="B20" s="776"/>
      <c r="C20" s="777"/>
      <c r="E20" s="771"/>
      <c r="O20" s="771"/>
      <c r="W20" s="771"/>
      <c r="AC20" s="772"/>
      <c r="AD20" s="773"/>
      <c r="AE20" s="773"/>
      <c r="AF20" s="773"/>
      <c r="AG20" s="773"/>
      <c r="AH20" s="773"/>
      <c r="AI20" s="773"/>
      <c r="AJ20" s="774"/>
      <c r="AK20" s="773"/>
      <c r="AL20" s="773"/>
      <c r="AM20" s="773"/>
      <c r="AN20" s="773"/>
      <c r="AO20" s="775"/>
    </row>
    <row r="21" spans="1:41" s="768" customFormat="1" ht="92.25" customHeight="1">
      <c r="A21" s="766"/>
      <c r="B21" s="766"/>
      <c r="C21" s="767"/>
      <c r="D21" s="955"/>
      <c r="E21" s="955"/>
      <c r="F21" s="955"/>
      <c r="G21" s="955"/>
      <c r="H21" s="955"/>
      <c r="L21" s="769"/>
      <c r="P21" s="770"/>
      <c r="W21" s="771"/>
      <c r="AC21" s="772"/>
      <c r="AD21" s="773"/>
      <c r="AE21" s="773"/>
      <c r="AF21" s="773"/>
      <c r="AG21" s="773"/>
      <c r="AH21" s="773"/>
      <c r="AI21" s="773"/>
      <c r="AJ21" s="774"/>
      <c r="AK21" s="773"/>
      <c r="AL21" s="773"/>
      <c r="AM21" s="773"/>
      <c r="AN21" s="773"/>
      <c r="AO21" s="775"/>
    </row>
    <row r="22" spans="1:41" s="768" customFormat="1">
      <c r="A22" s="766"/>
      <c r="B22" s="766"/>
      <c r="C22" s="767"/>
      <c r="E22" s="771"/>
      <c r="O22" s="771"/>
      <c r="W22" s="778"/>
      <c r="AC22" s="772"/>
      <c r="AD22" s="773"/>
      <c r="AE22" s="773"/>
      <c r="AF22" s="773"/>
      <c r="AG22" s="773"/>
      <c r="AH22" s="773"/>
      <c r="AI22" s="773"/>
      <c r="AJ22" s="774"/>
      <c r="AK22" s="773"/>
      <c r="AL22" s="773"/>
      <c r="AM22" s="773"/>
      <c r="AN22" s="773"/>
      <c r="AO22" s="775"/>
    </row>
    <row r="23" spans="1:41" s="768" customFormat="1" ht="66.75" customHeight="1">
      <c r="A23" s="766"/>
      <c r="B23" s="766"/>
      <c r="C23" s="767"/>
      <c r="D23" s="955"/>
      <c r="E23" s="955"/>
      <c r="F23" s="955"/>
      <c r="G23" s="955"/>
      <c r="H23" s="955"/>
      <c r="W23" s="771"/>
      <c r="AC23" s="772"/>
      <c r="AD23" s="773"/>
      <c r="AE23" s="773"/>
      <c r="AF23" s="773"/>
      <c r="AG23" s="773"/>
      <c r="AH23" s="773"/>
      <c r="AI23" s="773"/>
      <c r="AJ23" s="774"/>
      <c r="AK23" s="773"/>
      <c r="AL23" s="773"/>
      <c r="AM23" s="773"/>
      <c r="AN23" s="773"/>
      <c r="AO23" s="775"/>
    </row>
    <row r="24" spans="1:41" s="768" customFormat="1">
      <c r="A24" s="776"/>
      <c r="B24" s="776"/>
      <c r="C24" s="777"/>
      <c r="E24" s="771"/>
      <c r="W24" s="771"/>
      <c r="AC24" s="772"/>
      <c r="AD24" s="773"/>
      <c r="AE24" s="773"/>
      <c r="AF24" s="773"/>
      <c r="AG24" s="773"/>
      <c r="AH24" s="773"/>
      <c r="AI24" s="773"/>
      <c r="AJ24" s="774"/>
      <c r="AK24" s="773"/>
      <c r="AL24" s="773"/>
      <c r="AM24" s="773"/>
      <c r="AN24" s="773"/>
      <c r="AO24" s="775"/>
    </row>
    <row r="25" spans="1:41" s="768" customFormat="1">
      <c r="A25" s="766"/>
      <c r="B25" s="766"/>
      <c r="C25" s="767"/>
      <c r="E25" s="771"/>
      <c r="W25" s="771"/>
      <c r="AC25" s="772"/>
      <c r="AD25" s="773"/>
      <c r="AE25" s="773"/>
      <c r="AF25" s="773"/>
      <c r="AG25" s="773"/>
      <c r="AH25" s="773"/>
      <c r="AI25" s="773"/>
      <c r="AJ25" s="774"/>
      <c r="AK25" s="773"/>
      <c r="AL25" s="773"/>
      <c r="AM25" s="773"/>
      <c r="AN25" s="773"/>
      <c r="AO25" s="775"/>
    </row>
    <row r="26" spans="1:41" s="429" customFormat="1">
      <c r="C26" s="430"/>
      <c r="E26" s="431"/>
      <c r="G26" s="431"/>
      <c r="AC26" s="434"/>
      <c r="AD26" s="435"/>
      <c r="AE26" s="435"/>
      <c r="AF26" s="435"/>
      <c r="AG26" s="435"/>
      <c r="AH26" s="435"/>
      <c r="AI26" s="435"/>
      <c r="AJ26" s="430"/>
      <c r="AK26" s="435"/>
      <c r="AL26" s="435"/>
      <c r="AM26" s="435"/>
      <c r="AN26" s="435"/>
      <c r="AO26" s="436"/>
    </row>
    <row r="27" spans="1:41" s="429" customFormat="1">
      <c r="C27" s="430"/>
      <c r="E27" s="431"/>
      <c r="G27" s="431"/>
      <c r="R27" s="434"/>
      <c r="S27" s="435"/>
      <c r="T27" s="436"/>
      <c r="U27" s="436"/>
      <c r="V27" s="436"/>
      <c r="W27" s="437"/>
      <c r="AC27" s="434"/>
      <c r="AD27" s="435"/>
      <c r="AE27" s="435"/>
      <c r="AF27" s="435"/>
      <c r="AG27" s="435"/>
      <c r="AH27" s="435"/>
      <c r="AI27" s="435"/>
      <c r="AJ27" s="430"/>
      <c r="AK27" s="435"/>
      <c r="AL27" s="435"/>
      <c r="AM27" s="435"/>
      <c r="AN27" s="435"/>
      <c r="AO27" s="436"/>
    </row>
    <row r="28" spans="1:41" s="429" customFormat="1">
      <c r="C28" s="430"/>
      <c r="E28" s="431"/>
      <c r="G28" s="431"/>
      <c r="R28" s="434"/>
      <c r="S28" s="435"/>
      <c r="T28" s="436"/>
      <c r="U28" s="436"/>
      <c r="V28" s="436"/>
      <c r="W28" s="437"/>
      <c r="AC28" s="434"/>
      <c r="AD28" s="435"/>
      <c r="AE28" s="435"/>
      <c r="AF28" s="435"/>
      <c r="AG28" s="435"/>
      <c r="AH28" s="435"/>
      <c r="AI28" s="435"/>
      <c r="AJ28" s="430"/>
      <c r="AK28" s="435"/>
      <c r="AL28" s="435"/>
      <c r="AM28" s="435"/>
      <c r="AN28" s="435"/>
      <c r="AO28" s="436"/>
    </row>
    <row r="29" spans="1:41" s="429" customFormat="1">
      <c r="C29" s="430"/>
      <c r="E29" s="431"/>
      <c r="G29" s="431"/>
      <c r="R29" s="434"/>
      <c r="S29" s="435"/>
      <c r="T29" s="436"/>
      <c r="U29" s="436"/>
      <c r="V29" s="436"/>
      <c r="W29" s="437"/>
      <c r="AC29" s="434"/>
      <c r="AD29" s="435"/>
      <c r="AE29" s="435"/>
      <c r="AF29" s="435"/>
      <c r="AG29" s="435"/>
      <c r="AH29" s="435"/>
      <c r="AI29" s="435"/>
      <c r="AJ29" s="430"/>
      <c r="AK29" s="435"/>
      <c r="AL29" s="435"/>
      <c r="AM29" s="435"/>
      <c r="AN29" s="435"/>
      <c r="AO29" s="436"/>
    </row>
    <row r="30" spans="1:41" s="429" customFormat="1">
      <c r="C30" s="430"/>
      <c r="E30" s="431"/>
      <c r="G30" s="431"/>
      <c r="R30" s="434"/>
      <c r="S30" s="435"/>
      <c r="T30" s="436"/>
      <c r="U30" s="436"/>
      <c r="V30" s="436"/>
      <c r="W30" s="437"/>
      <c r="AO30" s="431"/>
    </row>
    <row r="31" spans="1:41" s="429" customFormat="1">
      <c r="C31" s="430"/>
      <c r="E31" s="431"/>
      <c r="G31" s="431"/>
      <c r="R31" s="434"/>
      <c r="S31" s="435"/>
      <c r="T31" s="436"/>
      <c r="U31" s="436"/>
      <c r="V31" s="436"/>
      <c r="W31" s="437"/>
    </row>
    <row r="32" spans="1:41" s="429" customFormat="1">
      <c r="C32" s="430"/>
      <c r="E32" s="431"/>
      <c r="G32" s="431"/>
      <c r="R32" s="434"/>
      <c r="S32" s="435"/>
      <c r="T32" s="436"/>
      <c r="U32" s="436"/>
      <c r="V32" s="436"/>
      <c r="W32" s="437"/>
    </row>
    <row r="33" spans="1:23" s="429" customFormat="1">
      <c r="C33" s="430"/>
      <c r="E33" s="431"/>
      <c r="G33" s="431"/>
      <c r="R33" s="434"/>
      <c r="S33" s="435"/>
      <c r="T33" s="436"/>
      <c r="U33" s="436"/>
      <c r="V33" s="436"/>
      <c r="W33" s="437"/>
    </row>
    <row r="34" spans="1:23" s="429" customFormat="1">
      <c r="C34" s="430"/>
      <c r="E34" s="431"/>
      <c r="G34" s="431"/>
      <c r="R34" s="434"/>
      <c r="S34" s="435"/>
      <c r="T34" s="436"/>
      <c r="U34" s="436"/>
      <c r="V34" s="436"/>
      <c r="W34" s="437"/>
    </row>
    <row r="35" spans="1:23" s="429" customFormat="1">
      <c r="C35" s="430"/>
      <c r="E35" s="431"/>
      <c r="G35" s="431"/>
      <c r="R35" s="434"/>
      <c r="S35" s="435"/>
      <c r="T35" s="436"/>
      <c r="U35" s="436"/>
      <c r="V35" s="436"/>
      <c r="W35" s="437"/>
    </row>
    <row r="36" spans="1:23" s="429" customFormat="1">
      <c r="C36" s="430"/>
      <c r="E36" s="431"/>
      <c r="G36" s="431"/>
      <c r="R36" s="434"/>
      <c r="S36" s="435"/>
      <c r="T36" s="436"/>
      <c r="U36" s="436"/>
      <c r="V36" s="436"/>
      <c r="W36" s="437"/>
    </row>
    <row r="37" spans="1:23">
      <c r="A37" s="429"/>
      <c r="B37" s="429"/>
      <c r="C37" s="430"/>
      <c r="D37" s="429"/>
      <c r="E37" s="431"/>
      <c r="F37" s="429"/>
      <c r="G37" s="431"/>
      <c r="H37" s="429"/>
      <c r="I37" s="429"/>
      <c r="J37" s="429"/>
      <c r="K37" s="429"/>
    </row>
    <row r="38" spans="1:23">
      <c r="A38" s="429"/>
      <c r="B38" s="429"/>
      <c r="C38" s="430"/>
      <c r="D38" s="429"/>
      <c r="E38" s="431"/>
      <c r="F38" s="429"/>
      <c r="G38" s="431"/>
      <c r="H38" s="429"/>
      <c r="I38" s="429"/>
      <c r="J38" s="429"/>
      <c r="K38" s="429"/>
    </row>
    <row r="39" spans="1:23">
      <c r="A39" s="429"/>
      <c r="B39" s="429"/>
      <c r="C39" s="430"/>
      <c r="D39" s="429"/>
      <c r="E39" s="431"/>
      <c r="F39" s="429"/>
      <c r="G39" s="431"/>
      <c r="H39" s="429"/>
      <c r="I39" s="429"/>
      <c r="J39" s="429"/>
      <c r="K39" s="429"/>
    </row>
    <row r="40" spans="1:23">
      <c r="A40" s="429"/>
      <c r="B40" s="429"/>
      <c r="C40" s="430"/>
      <c r="D40" s="429"/>
      <c r="E40" s="431"/>
      <c r="F40" s="429"/>
      <c r="G40" s="431"/>
      <c r="H40" s="429"/>
      <c r="I40" s="429"/>
      <c r="J40" s="429"/>
      <c r="K40" s="429"/>
    </row>
    <row r="41" spans="1:23">
      <c r="A41" s="429"/>
      <c r="B41" s="429"/>
      <c r="C41" s="430"/>
      <c r="D41" s="429"/>
      <c r="E41" s="431"/>
      <c r="F41" s="429"/>
      <c r="G41" s="431"/>
      <c r="H41" s="429"/>
      <c r="I41" s="429"/>
      <c r="J41" s="429"/>
      <c r="K41" s="429"/>
    </row>
    <row r="42" spans="1:23" ht="14.25" customHeight="1">
      <c r="A42" s="165"/>
      <c r="B42" s="165"/>
      <c r="C42" s="185"/>
      <c r="D42" s="165"/>
      <c r="E42" s="427"/>
      <c r="F42" s="165"/>
      <c r="G42" s="427"/>
      <c r="H42" s="165"/>
      <c r="I42" s="165"/>
      <c r="J42" s="165"/>
      <c r="K42" s="165"/>
    </row>
    <row r="43" spans="1:23">
      <c r="A43" s="182"/>
      <c r="B43" s="182"/>
      <c r="C43" s="428"/>
      <c r="D43" s="182"/>
      <c r="E43" s="427"/>
      <c r="F43" s="165"/>
      <c r="G43" s="427"/>
      <c r="H43" s="165"/>
      <c r="I43" s="165"/>
      <c r="J43" s="165"/>
      <c r="K43" s="165"/>
    </row>
    <row r="44" spans="1:23" ht="14.25" customHeight="1">
      <c r="A44" s="165"/>
      <c r="B44" s="165"/>
      <c r="C44" s="185"/>
      <c r="D44" s="165"/>
      <c r="E44" s="427"/>
      <c r="F44" s="165"/>
      <c r="G44" s="427"/>
      <c r="H44" s="165"/>
      <c r="I44" s="165"/>
      <c r="J44" s="165"/>
      <c r="K44" s="165"/>
    </row>
    <row r="45" spans="1:23">
      <c r="A45" s="107"/>
      <c r="B45" s="107"/>
      <c r="C45" s="108"/>
      <c r="D45" s="107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I3" sqref="I3"/>
    </sheetView>
  </sheetViews>
  <sheetFormatPr defaultRowHeight="14.25"/>
  <cols>
    <col min="1" max="1" width="14" style="9" customWidth="1"/>
    <col min="2" max="2" width="16.5703125" style="96" customWidth="1"/>
    <col min="3" max="3" width="13.85546875" style="96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492</v>
      </c>
    </row>
    <row r="5" spans="1:15" ht="15.75" thickBot="1">
      <c r="A5" s="1"/>
    </row>
    <row r="6" spans="1:15" ht="15">
      <c r="A6" s="965" t="s">
        <v>208</v>
      </c>
      <c r="B6" s="965"/>
      <c r="C6" s="965"/>
      <c r="D6" s="965"/>
      <c r="E6" s="965"/>
      <c r="F6" s="1"/>
    </row>
    <row r="7" spans="1:15" ht="15">
      <c r="A7" s="112" t="s">
        <v>209</v>
      </c>
      <c r="B7" s="113"/>
      <c r="C7" s="113"/>
      <c r="D7" s="114"/>
      <c r="E7" s="115"/>
      <c r="F7" s="1"/>
    </row>
    <row r="8" spans="1:15" ht="15" thickBot="1">
      <c r="B8" s="9"/>
      <c r="C8" s="9"/>
    </row>
    <row r="9" spans="1:15" s="116" customFormat="1" ht="30.75" customHeight="1" thickBot="1">
      <c r="A9" s="959" t="str">
        <f>'10+_Assuntos_2024'!A7</f>
        <v>Cadastro Único (CadÚnico)</v>
      </c>
      <c r="B9" s="960"/>
      <c r="C9" s="961"/>
      <c r="E9" s="959" t="str">
        <f>'10+_Assuntos_2024'!A8</f>
        <v>Árvore</v>
      </c>
      <c r="F9" s="960"/>
      <c r="G9" s="961"/>
      <c r="I9" s="956" t="str">
        <f>'10+_Assuntos_2024'!A9</f>
        <v>Buraco e Pavimentação</v>
      </c>
      <c r="J9" s="957"/>
      <c r="K9" s="958"/>
      <c r="M9" s="959" t="str">
        <f>'10+_Assuntos_2024'!A10</f>
        <v>Processo Administrativo</v>
      </c>
      <c r="N9" s="960"/>
      <c r="O9" s="961"/>
    </row>
    <row r="10" spans="1:15" ht="15.75" thickBot="1">
      <c r="A10" s="714" t="s">
        <v>2</v>
      </c>
      <c r="B10" s="4" t="s">
        <v>210</v>
      </c>
      <c r="C10" s="713" t="s">
        <v>211</v>
      </c>
      <c r="E10" s="714" t="s">
        <v>2</v>
      </c>
      <c r="F10" s="117" t="s">
        <v>210</v>
      </c>
      <c r="G10" s="716" t="s">
        <v>211</v>
      </c>
      <c r="I10" s="714" t="s">
        <v>2</v>
      </c>
      <c r="J10" s="117" t="s">
        <v>210</v>
      </c>
      <c r="K10" s="716" t="s">
        <v>211</v>
      </c>
      <c r="M10" s="714" t="s">
        <v>2</v>
      </c>
      <c r="N10" s="117" t="s">
        <v>210</v>
      </c>
      <c r="O10" s="716" t="s">
        <v>211</v>
      </c>
    </row>
    <row r="11" spans="1:15" ht="15">
      <c r="A11" s="702">
        <v>45292</v>
      </c>
      <c r="B11" s="7">
        <f>'10+_Assuntos_2024'!M7</f>
        <v>552</v>
      </c>
      <c r="C11" s="711">
        <f>((B11-242)/242)*100</f>
        <v>128.099173553719</v>
      </c>
      <c r="E11" s="702">
        <v>45292</v>
      </c>
      <c r="F11" s="118">
        <f>'10+_Assuntos_2024'!M8</f>
        <v>349</v>
      </c>
      <c r="G11" s="703">
        <f>((F11-218)/218)*100</f>
        <v>60.091743119266049</v>
      </c>
      <c r="I11" s="702">
        <v>45292</v>
      </c>
      <c r="J11" s="118">
        <f>'10+_Assuntos_2024'!M9</f>
        <v>329</v>
      </c>
      <c r="K11" s="703">
        <f>((J11-291)/291)*100</f>
        <v>13.058419243986256</v>
      </c>
      <c r="M11" s="702">
        <v>45292</v>
      </c>
      <c r="N11" s="118">
        <f>'10+_Assuntos_2024'!M10</f>
        <v>212</v>
      </c>
      <c r="O11" s="703">
        <f>((N11-175)/175)*100</f>
        <v>21.142857142857142</v>
      </c>
    </row>
    <row r="12" spans="1:15" ht="15">
      <c r="A12" s="704">
        <v>45323</v>
      </c>
      <c r="B12" s="779">
        <f>'10+_Assuntos_2024'!L7</f>
        <v>0</v>
      </c>
      <c r="C12" s="780">
        <f t="shared" ref="C12:C18" si="0">((B12-B11)/B11)*100</f>
        <v>-100</v>
      </c>
      <c r="E12" s="704">
        <v>45323</v>
      </c>
      <c r="F12" s="783">
        <f>'10+_Assuntos_2024'!L8</f>
        <v>0</v>
      </c>
      <c r="G12" s="784">
        <f t="shared" ref="G12:G18" si="1">((F12-F11)/F11)*100</f>
        <v>-100</v>
      </c>
      <c r="I12" s="704">
        <v>45323</v>
      </c>
      <c r="J12" s="783">
        <f>'10+_Assuntos_2024'!L9</f>
        <v>0</v>
      </c>
      <c r="K12" s="784">
        <f t="shared" ref="K12:K18" si="2">((J12-J11)/J11)*100</f>
        <v>-100</v>
      </c>
      <c r="M12" s="704">
        <v>45323</v>
      </c>
      <c r="N12" s="783">
        <f>'10+_Assuntos_2024'!L10</f>
        <v>0</v>
      </c>
      <c r="O12" s="784">
        <f t="shared" ref="O12:O18" si="3">((N12-N11)/N11)*100</f>
        <v>-100</v>
      </c>
    </row>
    <row r="13" spans="1:15" ht="15">
      <c r="A13" s="704">
        <v>45352</v>
      </c>
      <c r="B13" s="779">
        <f>'10+_Assuntos_2024'!K7</f>
        <v>0</v>
      </c>
      <c r="C13" s="780" t="e">
        <f t="shared" si="0"/>
        <v>#DIV/0!</v>
      </c>
      <c r="E13" s="704">
        <v>45352</v>
      </c>
      <c r="F13" s="783">
        <f>'10+_Assuntos_2024'!K8</f>
        <v>0</v>
      </c>
      <c r="G13" s="784" t="e">
        <f t="shared" si="1"/>
        <v>#DIV/0!</v>
      </c>
      <c r="I13" s="704">
        <v>45352</v>
      </c>
      <c r="J13" s="783">
        <f>'10+_Assuntos_2024'!K9</f>
        <v>0</v>
      </c>
      <c r="K13" s="784" t="e">
        <f t="shared" si="2"/>
        <v>#DIV/0!</v>
      </c>
      <c r="M13" s="704">
        <v>45352</v>
      </c>
      <c r="N13" s="783">
        <f>'10+_Assuntos_2024'!K10</f>
        <v>0</v>
      </c>
      <c r="O13" s="784" t="e">
        <f t="shared" si="3"/>
        <v>#DIV/0!</v>
      </c>
    </row>
    <row r="14" spans="1:15" ht="15">
      <c r="A14" s="704">
        <v>45383</v>
      </c>
      <c r="B14" s="779">
        <f>'10+_Assuntos_2024'!J$7</f>
        <v>0</v>
      </c>
      <c r="C14" s="780" t="e">
        <f t="shared" si="0"/>
        <v>#DIV/0!</v>
      </c>
      <c r="E14" s="704">
        <v>45383</v>
      </c>
      <c r="F14" s="783">
        <f>'10+_Assuntos_2024'!J$8</f>
        <v>0</v>
      </c>
      <c r="G14" s="784" t="e">
        <f t="shared" si="1"/>
        <v>#DIV/0!</v>
      </c>
      <c r="I14" s="704">
        <v>45383</v>
      </c>
      <c r="J14" s="783">
        <f>'10+_Assuntos_2024'!J$9</f>
        <v>0</v>
      </c>
      <c r="K14" s="784" t="e">
        <f t="shared" si="2"/>
        <v>#DIV/0!</v>
      </c>
      <c r="M14" s="704">
        <v>45383</v>
      </c>
      <c r="N14" s="783">
        <f>'10+_Assuntos_2024'!J$10</f>
        <v>0</v>
      </c>
      <c r="O14" s="784" t="e">
        <f t="shared" si="3"/>
        <v>#DIV/0!</v>
      </c>
    </row>
    <row r="15" spans="1:15" ht="15">
      <c r="A15" s="704">
        <v>45413</v>
      </c>
      <c r="B15" s="779">
        <f>'10+_Assuntos_2024'!I$7</f>
        <v>0</v>
      </c>
      <c r="C15" s="780" t="e">
        <f t="shared" si="0"/>
        <v>#DIV/0!</v>
      </c>
      <c r="E15" s="704">
        <v>45413</v>
      </c>
      <c r="F15" s="783">
        <f>'10+_Assuntos_2024'!I$8</f>
        <v>0</v>
      </c>
      <c r="G15" s="784" t="e">
        <f t="shared" si="1"/>
        <v>#DIV/0!</v>
      </c>
      <c r="I15" s="704">
        <v>45413</v>
      </c>
      <c r="J15" s="783">
        <f>'10+_Assuntos_2024'!I$9</f>
        <v>0</v>
      </c>
      <c r="K15" s="784" t="e">
        <f t="shared" si="2"/>
        <v>#DIV/0!</v>
      </c>
      <c r="M15" s="704">
        <v>45413</v>
      </c>
      <c r="N15" s="783">
        <f>'10+_Assuntos_2024'!I$10</f>
        <v>0</v>
      </c>
      <c r="O15" s="784" t="e">
        <f t="shared" si="3"/>
        <v>#DIV/0!</v>
      </c>
    </row>
    <row r="16" spans="1:15" ht="15">
      <c r="A16" s="704">
        <v>45444</v>
      </c>
      <c r="B16" s="779">
        <f>'10+_Assuntos_2024'!H$7</f>
        <v>0</v>
      </c>
      <c r="C16" s="780" t="e">
        <f t="shared" si="0"/>
        <v>#DIV/0!</v>
      </c>
      <c r="E16" s="704">
        <v>45444</v>
      </c>
      <c r="F16" s="783">
        <f>'10+_Assuntos_2024'!H$8</f>
        <v>0</v>
      </c>
      <c r="G16" s="784" t="e">
        <f t="shared" si="1"/>
        <v>#DIV/0!</v>
      </c>
      <c r="I16" s="704">
        <v>45444</v>
      </c>
      <c r="J16" s="783">
        <f>'10+_Assuntos_2024'!H$9</f>
        <v>0</v>
      </c>
      <c r="K16" s="784" t="e">
        <f t="shared" si="2"/>
        <v>#DIV/0!</v>
      </c>
      <c r="M16" s="704">
        <v>45444</v>
      </c>
      <c r="N16" s="783">
        <f>'10+_Assuntos_2024'!H$10</f>
        <v>0</v>
      </c>
      <c r="O16" s="784" t="e">
        <f t="shared" si="3"/>
        <v>#DIV/0!</v>
      </c>
    </row>
    <row r="17" spans="1:15" ht="15">
      <c r="A17" s="704">
        <v>45474</v>
      </c>
      <c r="B17" s="779">
        <f>'10+_Assuntos_2024'!G$7</f>
        <v>0</v>
      </c>
      <c r="C17" s="780" t="e">
        <f t="shared" si="0"/>
        <v>#DIV/0!</v>
      </c>
      <c r="E17" s="704">
        <v>45474</v>
      </c>
      <c r="F17" s="783">
        <f>'10+_Assuntos_2024'!G$8</f>
        <v>0</v>
      </c>
      <c r="G17" s="784" t="e">
        <f t="shared" si="1"/>
        <v>#DIV/0!</v>
      </c>
      <c r="I17" s="704">
        <v>45474</v>
      </c>
      <c r="J17" s="783">
        <f>'10+_Assuntos_2024'!G$9</f>
        <v>0</v>
      </c>
      <c r="K17" s="784" t="e">
        <f t="shared" si="2"/>
        <v>#DIV/0!</v>
      </c>
      <c r="M17" s="704">
        <v>45474</v>
      </c>
      <c r="N17" s="783">
        <f>'10+_Assuntos_2024'!G$10</f>
        <v>0</v>
      </c>
      <c r="O17" s="784" t="e">
        <f t="shared" si="3"/>
        <v>#DIV/0!</v>
      </c>
    </row>
    <row r="18" spans="1:15" ht="15">
      <c r="A18" s="704">
        <v>45505</v>
      </c>
      <c r="B18" s="779">
        <f>'10+_Assuntos_2024'!F$7</f>
        <v>0</v>
      </c>
      <c r="C18" s="780" t="e">
        <f t="shared" si="0"/>
        <v>#DIV/0!</v>
      </c>
      <c r="E18" s="704">
        <v>45505</v>
      </c>
      <c r="F18" s="783">
        <f>'10+_Assuntos_2024'!F$8</f>
        <v>0</v>
      </c>
      <c r="G18" s="784" t="e">
        <f t="shared" si="1"/>
        <v>#DIV/0!</v>
      </c>
      <c r="I18" s="704">
        <v>45505</v>
      </c>
      <c r="J18" s="783">
        <f>'10+_Assuntos_2024'!F$9</f>
        <v>0</v>
      </c>
      <c r="K18" s="784" t="e">
        <f t="shared" si="2"/>
        <v>#DIV/0!</v>
      </c>
      <c r="M18" s="704">
        <v>45505</v>
      </c>
      <c r="N18" s="783">
        <f>'10+_Assuntos_2024'!F$10</f>
        <v>0</v>
      </c>
      <c r="O18" s="784" t="e">
        <f t="shared" si="3"/>
        <v>#DIV/0!</v>
      </c>
    </row>
    <row r="19" spans="1:15" ht="15">
      <c r="A19" s="704">
        <v>45536</v>
      </c>
      <c r="B19" s="779">
        <f>'10+_Assuntos_2024'!E$7</f>
        <v>0</v>
      </c>
      <c r="C19" s="780" t="e">
        <f t="shared" ref="C19:C22" si="4">((B19-B18)/B18)*100</f>
        <v>#DIV/0!</v>
      </c>
      <c r="E19" s="704">
        <v>45536</v>
      </c>
      <c r="F19" s="783">
        <f>'10+_Assuntos_2024'!E$8</f>
        <v>0</v>
      </c>
      <c r="G19" s="784" t="e">
        <f t="shared" ref="G19:G22" si="5">((F19-F18)/F18)*100</f>
        <v>#DIV/0!</v>
      </c>
      <c r="I19" s="704">
        <v>45536</v>
      </c>
      <c r="J19" s="783">
        <f>'10+_Assuntos_2024'!E$9</f>
        <v>0</v>
      </c>
      <c r="K19" s="784" t="e">
        <f t="shared" ref="K19:K22" si="6">((J19-J18)/J18)*100</f>
        <v>#DIV/0!</v>
      </c>
      <c r="M19" s="704">
        <v>45536</v>
      </c>
      <c r="N19" s="783">
        <f>'10+_Assuntos_2024'!E$10</f>
        <v>0</v>
      </c>
      <c r="O19" s="784" t="e">
        <f t="shared" ref="O19:O22" si="7">((N19-N18)/N18)*100</f>
        <v>#DIV/0!</v>
      </c>
    </row>
    <row r="20" spans="1:15" ht="15">
      <c r="A20" s="704">
        <v>45566</v>
      </c>
      <c r="B20" s="779">
        <f>'10+_Assuntos_2024'!D$7</f>
        <v>0</v>
      </c>
      <c r="C20" s="780" t="e">
        <f t="shared" si="4"/>
        <v>#DIV/0!</v>
      </c>
      <c r="E20" s="704">
        <v>45566</v>
      </c>
      <c r="F20" s="779">
        <f>'10+_Assuntos_2024'!D$8</f>
        <v>0</v>
      </c>
      <c r="G20" s="780" t="e">
        <f t="shared" si="5"/>
        <v>#DIV/0!</v>
      </c>
      <c r="I20" s="704">
        <v>45566</v>
      </c>
      <c r="J20" s="783">
        <f>'10+_Assuntos_2024'!D$9</f>
        <v>0</v>
      </c>
      <c r="K20" s="784" t="e">
        <f t="shared" si="6"/>
        <v>#DIV/0!</v>
      </c>
      <c r="M20" s="704">
        <v>45566</v>
      </c>
      <c r="N20" s="783">
        <f>'10+_Assuntos_2024'!D$10</f>
        <v>0</v>
      </c>
      <c r="O20" s="784" t="e">
        <f t="shared" si="7"/>
        <v>#DIV/0!</v>
      </c>
    </row>
    <row r="21" spans="1:15" ht="15">
      <c r="A21" s="704">
        <v>45597</v>
      </c>
      <c r="B21" s="779">
        <f>'10+_Assuntos_2024'!C$7</f>
        <v>0</v>
      </c>
      <c r="C21" s="780" t="e">
        <f t="shared" si="4"/>
        <v>#DIV/0!</v>
      </c>
      <c r="E21" s="704">
        <v>45597</v>
      </c>
      <c r="F21" s="779">
        <f>'10+_Assuntos_2024'!C$8</f>
        <v>0</v>
      </c>
      <c r="G21" s="780" t="e">
        <f t="shared" si="5"/>
        <v>#DIV/0!</v>
      </c>
      <c r="I21" s="704">
        <v>45597</v>
      </c>
      <c r="J21" s="783">
        <f>'10+_Assuntos_2024'!C$9</f>
        <v>0</v>
      </c>
      <c r="K21" s="784" t="e">
        <f t="shared" si="6"/>
        <v>#DIV/0!</v>
      </c>
      <c r="M21" s="704">
        <v>45597</v>
      </c>
      <c r="N21" s="783">
        <f>'10+_Assuntos_2024'!C$10</f>
        <v>0</v>
      </c>
      <c r="O21" s="784" t="e">
        <f t="shared" si="7"/>
        <v>#DIV/0!</v>
      </c>
    </row>
    <row r="22" spans="1:15" ht="15.75" thickBot="1">
      <c r="A22" s="705">
        <v>45627</v>
      </c>
      <c r="B22" s="781">
        <f>'10+_Assuntos_2024'!B$7</f>
        <v>0</v>
      </c>
      <c r="C22" s="782" t="e">
        <f t="shared" si="4"/>
        <v>#DIV/0!</v>
      </c>
      <c r="E22" s="705">
        <v>45627</v>
      </c>
      <c r="F22" s="781">
        <f>'10+_Assuntos_2024'!B$8</f>
        <v>0</v>
      </c>
      <c r="G22" s="782" t="e">
        <f t="shared" si="5"/>
        <v>#DIV/0!</v>
      </c>
      <c r="I22" s="705">
        <v>45627</v>
      </c>
      <c r="J22" s="785">
        <f>'10+_Assuntos_2024'!B$9</f>
        <v>0</v>
      </c>
      <c r="K22" s="786" t="e">
        <f t="shared" si="6"/>
        <v>#DIV/0!</v>
      </c>
      <c r="M22" s="705">
        <v>45627</v>
      </c>
      <c r="N22" s="785">
        <f>'10+_Assuntos_2024'!B$10</f>
        <v>0</v>
      </c>
      <c r="O22" s="786" t="e">
        <f t="shared" si="7"/>
        <v>#DIV/0!</v>
      </c>
    </row>
    <row r="23" spans="1:15">
      <c r="B23" s="9"/>
      <c r="C23" s="9"/>
    </row>
    <row r="24" spans="1:15" ht="15" thickBot="1">
      <c r="B24" s="9"/>
      <c r="C24" s="9"/>
    </row>
    <row r="25" spans="1:15" s="116" customFormat="1" ht="30.75" customHeight="1" thickBot="1">
      <c r="A25" s="959" t="str">
        <f>'10+_Assuntos_2024'!A11</f>
        <v>Qualidade de atendimento</v>
      </c>
      <c r="B25" s="960"/>
      <c r="C25" s="961"/>
      <c r="E25" s="956" t="str">
        <f>'10+_Assuntos_2024'!A12</f>
        <v>Órgão externo</v>
      </c>
      <c r="F25" s="957"/>
      <c r="G25" s="958"/>
      <c r="I25" s="962" t="str">
        <f>'10+_Assuntos_2024'!A13</f>
        <v>Poluição sonora - PSIU</v>
      </c>
      <c r="J25" s="962"/>
      <c r="K25" s="962"/>
      <c r="M25" s="963" t="str">
        <f>'10+_Assuntos_2024'!A14</f>
        <v>Estabelecimentos comerciais, indústrias e serviços</v>
      </c>
      <c r="N25" s="963"/>
      <c r="O25" s="963"/>
    </row>
    <row r="26" spans="1:15" ht="15.75" thickBot="1">
      <c r="A26" s="714" t="s">
        <v>2</v>
      </c>
      <c r="B26" s="120" t="s">
        <v>210</v>
      </c>
      <c r="C26" s="715" t="s">
        <v>211</v>
      </c>
      <c r="E26" s="712" t="s">
        <v>2</v>
      </c>
      <c r="F26" s="5" t="s">
        <v>210</v>
      </c>
      <c r="G26" s="713" t="s">
        <v>211</v>
      </c>
      <c r="I26" s="699" t="s">
        <v>2</v>
      </c>
      <c r="J26" s="700" t="s">
        <v>210</v>
      </c>
      <c r="K26" s="701" t="s">
        <v>211</v>
      </c>
      <c r="M26" s="699" t="s">
        <v>2</v>
      </c>
      <c r="N26" s="710" t="s">
        <v>210</v>
      </c>
      <c r="O26" s="701" t="s">
        <v>211</v>
      </c>
    </row>
    <row r="27" spans="1:15" ht="15">
      <c r="A27" s="702">
        <v>45292</v>
      </c>
      <c r="B27" s="118">
        <f>'10+_Assuntos_2024'!M11</f>
        <v>197</v>
      </c>
      <c r="C27" s="703">
        <f>((B27-157)/157)*100</f>
        <v>25.477707006369428</v>
      </c>
      <c r="E27" s="702">
        <v>45292</v>
      </c>
      <c r="F27" s="118">
        <f>'10+_Assuntos_2024'!M12</f>
        <v>175</v>
      </c>
      <c r="G27" s="703">
        <f>((F27-160)/160)*100</f>
        <v>9.375</v>
      </c>
      <c r="I27" s="702">
        <v>45292</v>
      </c>
      <c r="J27" s="118">
        <f>'10+_Assuntos_2024'!M13</f>
        <v>174</v>
      </c>
      <c r="K27" s="703">
        <f>((J27-173)/173)*100</f>
        <v>0.57803468208092479</v>
      </c>
      <c r="M27" s="702">
        <v>45292</v>
      </c>
      <c r="N27" s="118">
        <f>'10+_Assuntos_2024'!M14</f>
        <v>166</v>
      </c>
      <c r="O27" s="711">
        <f>((N27-170)/170)*100</f>
        <v>-2.3529411764705883</v>
      </c>
    </row>
    <row r="28" spans="1:15" ht="15">
      <c r="A28" s="704">
        <v>45323</v>
      </c>
      <c r="B28" s="783">
        <f>'10+_Assuntos_2024'!L11</f>
        <v>0</v>
      </c>
      <c r="C28" s="784">
        <f t="shared" ref="C28:C34" si="8">((B28-B27)/B27)*100</f>
        <v>-100</v>
      </c>
      <c r="E28" s="704">
        <v>45323</v>
      </c>
      <c r="F28" s="783">
        <f>'10+_Assuntos_2024'!L12</f>
        <v>0</v>
      </c>
      <c r="G28" s="784">
        <f t="shared" ref="G28:G34" si="9">((F28-F27)/F27)*100</f>
        <v>-100</v>
      </c>
      <c r="I28" s="704">
        <v>45323</v>
      </c>
      <c r="J28" s="783">
        <f>'10+_Assuntos_2024'!L13</f>
        <v>0</v>
      </c>
      <c r="K28" s="784">
        <f t="shared" ref="K28:K34" si="10">((J28-J27)/J27)*100</f>
        <v>-100</v>
      </c>
      <c r="M28" s="704">
        <v>45323</v>
      </c>
      <c r="N28" s="783">
        <f>'10+_Assuntos_2024'!L14</f>
        <v>0</v>
      </c>
      <c r="O28" s="780">
        <f t="shared" ref="O28:O33" si="11">((N28-N27)/N27)*100</f>
        <v>-100</v>
      </c>
    </row>
    <row r="29" spans="1:15" ht="15">
      <c r="A29" s="704">
        <v>45352</v>
      </c>
      <c r="B29" s="783">
        <f>'10+_Assuntos_2024'!K11</f>
        <v>0</v>
      </c>
      <c r="C29" s="784" t="e">
        <f t="shared" si="8"/>
        <v>#DIV/0!</v>
      </c>
      <c r="E29" s="704">
        <v>45352</v>
      </c>
      <c r="F29" s="783">
        <f>'10+_Assuntos_2024'!K12</f>
        <v>0</v>
      </c>
      <c r="G29" s="784" t="e">
        <f t="shared" si="9"/>
        <v>#DIV/0!</v>
      </c>
      <c r="I29" s="704">
        <v>45352</v>
      </c>
      <c r="J29" s="783">
        <f>'10+_Assuntos_2024'!K13</f>
        <v>0</v>
      </c>
      <c r="K29" s="784" t="e">
        <f t="shared" si="10"/>
        <v>#DIV/0!</v>
      </c>
      <c r="M29" s="704">
        <v>45352</v>
      </c>
      <c r="N29" s="783">
        <f>'10+_Assuntos_2024'!K14</f>
        <v>0</v>
      </c>
      <c r="O29" s="780" t="e">
        <f t="shared" si="11"/>
        <v>#DIV/0!</v>
      </c>
    </row>
    <row r="30" spans="1:15" ht="15">
      <c r="A30" s="704">
        <v>45383</v>
      </c>
      <c r="B30" s="783">
        <f>'10+_Assuntos_2024'!J$11</f>
        <v>0</v>
      </c>
      <c r="C30" s="784" t="e">
        <f t="shared" si="8"/>
        <v>#DIV/0!</v>
      </c>
      <c r="E30" s="704">
        <v>45383</v>
      </c>
      <c r="F30" s="783">
        <f>'10+_Assuntos_2024'!J$12</f>
        <v>0</v>
      </c>
      <c r="G30" s="784" t="e">
        <f t="shared" si="9"/>
        <v>#DIV/0!</v>
      </c>
      <c r="I30" s="704">
        <v>45383</v>
      </c>
      <c r="J30" s="783">
        <f>'10+_Assuntos_2024'!J$13</f>
        <v>0</v>
      </c>
      <c r="K30" s="784" t="e">
        <f t="shared" si="10"/>
        <v>#DIV/0!</v>
      </c>
      <c r="M30" s="704">
        <v>45383</v>
      </c>
      <c r="N30" s="783">
        <f>'10+_Assuntos_2024'!J$14</f>
        <v>0</v>
      </c>
      <c r="O30" s="780" t="e">
        <f t="shared" si="11"/>
        <v>#DIV/0!</v>
      </c>
    </row>
    <row r="31" spans="1:15" ht="15">
      <c r="A31" s="704">
        <v>45413</v>
      </c>
      <c r="B31" s="783">
        <f>'10+_Assuntos_2024'!I$11</f>
        <v>0</v>
      </c>
      <c r="C31" s="784" t="e">
        <f t="shared" si="8"/>
        <v>#DIV/0!</v>
      </c>
      <c r="E31" s="704">
        <v>45413</v>
      </c>
      <c r="F31" s="783">
        <f>'10+_Assuntos_2024'!I$12</f>
        <v>0</v>
      </c>
      <c r="G31" s="784" t="e">
        <f t="shared" si="9"/>
        <v>#DIV/0!</v>
      </c>
      <c r="I31" s="704">
        <v>45413</v>
      </c>
      <c r="J31" s="783">
        <f>'10+_Assuntos_2024'!I$13</f>
        <v>0</v>
      </c>
      <c r="K31" s="784" t="e">
        <f t="shared" si="10"/>
        <v>#DIV/0!</v>
      </c>
      <c r="M31" s="704">
        <v>45413</v>
      </c>
      <c r="N31" s="783">
        <f>'10+_Assuntos_2024'!I$14</f>
        <v>0</v>
      </c>
      <c r="O31" s="780" t="e">
        <f t="shared" si="11"/>
        <v>#DIV/0!</v>
      </c>
    </row>
    <row r="32" spans="1:15" ht="15">
      <c r="A32" s="704">
        <v>45444</v>
      </c>
      <c r="B32" s="783">
        <f>'10+_Assuntos_2024'!H$11</f>
        <v>0</v>
      </c>
      <c r="C32" s="784" t="e">
        <f t="shared" si="8"/>
        <v>#DIV/0!</v>
      </c>
      <c r="E32" s="704">
        <v>45444</v>
      </c>
      <c r="F32" s="783">
        <f>'10+_Assuntos_2024'!H$12</f>
        <v>0</v>
      </c>
      <c r="G32" s="784" t="e">
        <f t="shared" si="9"/>
        <v>#DIV/0!</v>
      </c>
      <c r="I32" s="704">
        <v>45444</v>
      </c>
      <c r="J32" s="783">
        <f>'10+_Assuntos_2024'!H$13</f>
        <v>0</v>
      </c>
      <c r="K32" s="784" t="e">
        <f t="shared" si="10"/>
        <v>#DIV/0!</v>
      </c>
      <c r="M32" s="704">
        <v>45444</v>
      </c>
      <c r="N32" s="783">
        <f>'10+_Assuntos_2024'!H$14</f>
        <v>0</v>
      </c>
      <c r="O32" s="780" t="e">
        <f t="shared" si="11"/>
        <v>#DIV/0!</v>
      </c>
    </row>
    <row r="33" spans="1:15" ht="15">
      <c r="A33" s="704">
        <v>45474</v>
      </c>
      <c r="B33" s="783">
        <f>'10+_Assuntos_2024'!G$11</f>
        <v>0</v>
      </c>
      <c r="C33" s="784" t="e">
        <f t="shared" si="8"/>
        <v>#DIV/0!</v>
      </c>
      <c r="E33" s="704">
        <v>45474</v>
      </c>
      <c r="F33" s="783">
        <f>'10+_Assuntos_2024'!G$12</f>
        <v>0</v>
      </c>
      <c r="G33" s="784" t="e">
        <f t="shared" si="9"/>
        <v>#DIV/0!</v>
      </c>
      <c r="I33" s="704">
        <v>45474</v>
      </c>
      <c r="J33" s="783">
        <f>'10+_Assuntos_2024'!G$13</f>
        <v>0</v>
      </c>
      <c r="K33" s="784" t="e">
        <f t="shared" si="10"/>
        <v>#DIV/0!</v>
      </c>
      <c r="M33" s="704">
        <v>45474</v>
      </c>
      <c r="N33" s="783">
        <f>'10+_Assuntos_2024'!G$14</f>
        <v>0</v>
      </c>
      <c r="O33" s="780" t="e">
        <f t="shared" si="11"/>
        <v>#DIV/0!</v>
      </c>
    </row>
    <row r="34" spans="1:15" ht="15">
      <c r="A34" s="704">
        <v>45505</v>
      </c>
      <c r="B34" s="783">
        <f>'10+_Assuntos_2024'!F$11</f>
        <v>0</v>
      </c>
      <c r="C34" s="784" t="e">
        <f t="shared" si="8"/>
        <v>#DIV/0!</v>
      </c>
      <c r="E34" s="704">
        <v>45505</v>
      </c>
      <c r="F34" s="783">
        <f>'10+_Assuntos_2024'!F$12</f>
        <v>0</v>
      </c>
      <c r="G34" s="784" t="e">
        <f t="shared" si="9"/>
        <v>#DIV/0!</v>
      </c>
      <c r="I34" s="704">
        <v>45505</v>
      </c>
      <c r="J34" s="783">
        <f>'10+_Assuntos_2024'!F$13</f>
        <v>0</v>
      </c>
      <c r="K34" s="784" t="e">
        <f t="shared" si="10"/>
        <v>#DIV/0!</v>
      </c>
      <c r="M34" s="704">
        <v>45505</v>
      </c>
      <c r="N34" s="783">
        <f>'10+_Assuntos_2024'!F$14</f>
        <v>0</v>
      </c>
      <c r="O34" s="780" t="e">
        <f t="shared" ref="O34" si="12">((N34-N33)/N33)*100</f>
        <v>#DIV/0!</v>
      </c>
    </row>
    <row r="35" spans="1:15" ht="15">
      <c r="A35" s="704">
        <v>45536</v>
      </c>
      <c r="B35" s="783">
        <f>'10+_Assuntos_2024'!E$11</f>
        <v>0</v>
      </c>
      <c r="C35" s="784" t="e">
        <f t="shared" ref="C35:C38" si="13">((B35-B34)/B34)*100</f>
        <v>#DIV/0!</v>
      </c>
      <c r="E35" s="704">
        <v>45536</v>
      </c>
      <c r="F35" s="783">
        <f>'10+_Assuntos_2024'!E$12</f>
        <v>0</v>
      </c>
      <c r="G35" s="784" t="e">
        <f t="shared" ref="G35:G38" si="14">((F35-F34)/F34)*100</f>
        <v>#DIV/0!</v>
      </c>
      <c r="I35" s="704">
        <v>45536</v>
      </c>
      <c r="J35" s="783">
        <f>'10+_Assuntos_2024'!E$13</f>
        <v>0</v>
      </c>
      <c r="K35" s="784" t="e">
        <f t="shared" ref="K35:K38" si="15">((J35-J34)/J34)*100</f>
        <v>#DIV/0!</v>
      </c>
      <c r="M35" s="704">
        <v>45536</v>
      </c>
      <c r="N35" s="783">
        <f>'10+_Assuntos_2024'!E$14</f>
        <v>0</v>
      </c>
      <c r="O35" s="780" t="e">
        <f t="shared" ref="O35:O38" si="16">((N35-N34)/N34)*100</f>
        <v>#DIV/0!</v>
      </c>
    </row>
    <row r="36" spans="1:15" ht="15">
      <c r="A36" s="704">
        <v>45566</v>
      </c>
      <c r="B36" s="783">
        <f>'10+_Assuntos_2024'!D$11</f>
        <v>0</v>
      </c>
      <c r="C36" s="784" t="e">
        <f t="shared" si="13"/>
        <v>#DIV/0!</v>
      </c>
      <c r="E36" s="704">
        <v>45566</v>
      </c>
      <c r="F36" s="783">
        <f>'10+_Assuntos_2024'!D$12</f>
        <v>0</v>
      </c>
      <c r="G36" s="784" t="e">
        <f t="shared" si="14"/>
        <v>#DIV/0!</v>
      </c>
      <c r="I36" s="704">
        <v>45566</v>
      </c>
      <c r="J36" s="783">
        <f>'10+_Assuntos_2024'!D$13</f>
        <v>0</v>
      </c>
      <c r="K36" s="784" t="e">
        <f t="shared" si="15"/>
        <v>#DIV/0!</v>
      </c>
      <c r="M36" s="704">
        <v>45566</v>
      </c>
      <c r="N36" s="783">
        <f>'10+_Assuntos_2024'!D$14</f>
        <v>0</v>
      </c>
      <c r="O36" s="780" t="e">
        <f t="shared" si="16"/>
        <v>#DIV/0!</v>
      </c>
    </row>
    <row r="37" spans="1:15" ht="15">
      <c r="A37" s="704">
        <v>45597</v>
      </c>
      <c r="B37" s="783">
        <f>'10+_Assuntos_2024'!C$11</f>
        <v>0</v>
      </c>
      <c r="C37" s="784" t="e">
        <f t="shared" si="13"/>
        <v>#DIV/0!</v>
      </c>
      <c r="E37" s="704">
        <v>45597</v>
      </c>
      <c r="F37" s="783">
        <f>'10+_Assuntos_2024'!C$12</f>
        <v>0</v>
      </c>
      <c r="G37" s="784" t="e">
        <f t="shared" si="14"/>
        <v>#DIV/0!</v>
      </c>
      <c r="I37" s="704">
        <v>45597</v>
      </c>
      <c r="J37" s="783">
        <f>'10+_Assuntos_2024'!C$13</f>
        <v>0</v>
      </c>
      <c r="K37" s="784" t="e">
        <f t="shared" si="15"/>
        <v>#DIV/0!</v>
      </c>
      <c r="M37" s="704">
        <v>45597</v>
      </c>
      <c r="N37" s="783">
        <f>'10+_Assuntos_2024'!C$14</f>
        <v>0</v>
      </c>
      <c r="O37" s="780" t="e">
        <f t="shared" si="16"/>
        <v>#DIV/0!</v>
      </c>
    </row>
    <row r="38" spans="1:15" ht="15.75" thickBot="1">
      <c r="A38" s="705">
        <v>45627</v>
      </c>
      <c r="B38" s="785">
        <f>'10+_Assuntos_2024'!B$11</f>
        <v>0</v>
      </c>
      <c r="C38" s="786" t="e">
        <f t="shared" si="13"/>
        <v>#DIV/0!</v>
      </c>
      <c r="E38" s="705">
        <v>45627</v>
      </c>
      <c r="F38" s="785">
        <f>'10+_Assuntos_2024'!B$12</f>
        <v>0</v>
      </c>
      <c r="G38" s="786" t="e">
        <f t="shared" si="14"/>
        <v>#DIV/0!</v>
      </c>
      <c r="I38" s="705">
        <v>45627</v>
      </c>
      <c r="J38" s="785">
        <f>'10+_Assuntos_2024'!B$13</f>
        <v>0</v>
      </c>
      <c r="K38" s="786" t="e">
        <f t="shared" si="15"/>
        <v>#DIV/0!</v>
      </c>
      <c r="M38" s="705">
        <v>45627</v>
      </c>
      <c r="N38" s="785">
        <f>'10+_Assuntos_2024'!B$14</f>
        <v>0</v>
      </c>
      <c r="O38" s="782" t="e">
        <f t="shared" si="16"/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963" t="str">
        <f>'10+_Assuntos_2024'!A15</f>
        <v>Sinalização e Circulação de veículos e Pedestres</v>
      </c>
      <c r="B41" s="963"/>
      <c r="C41" s="963"/>
      <c r="E41" s="964" t="str">
        <f>'10+_Assuntos_2024'!A16</f>
        <v>Capinação e roçada de áreas verdes</v>
      </c>
      <c r="F41" s="964"/>
      <c r="G41" s="964"/>
    </row>
    <row r="42" spans="1:15" ht="15.75" thickBot="1">
      <c r="A42" s="699" t="s">
        <v>2</v>
      </c>
      <c r="B42" s="700" t="s">
        <v>210</v>
      </c>
      <c r="C42" s="701" t="s">
        <v>211</v>
      </c>
      <c r="E42" s="4" t="s">
        <v>2</v>
      </c>
      <c r="F42" s="121" t="s">
        <v>210</v>
      </c>
      <c r="G42" s="121" t="s">
        <v>211</v>
      </c>
    </row>
    <row r="43" spans="1:15" ht="15">
      <c r="A43" s="702">
        <v>45292</v>
      </c>
      <c r="B43" s="119">
        <f>'10+_Assuntos_2024'!M15</f>
        <v>162</v>
      </c>
      <c r="C43" s="703">
        <f>((B43-135)/135)*100</f>
        <v>20</v>
      </c>
      <c r="E43" s="707">
        <v>45292</v>
      </c>
      <c r="F43" s="708">
        <f>'10+_Assuntos_2024'!M16</f>
        <v>153</v>
      </c>
      <c r="G43" s="709">
        <f>((F43-81)/81)*100</f>
        <v>88.888888888888886</v>
      </c>
    </row>
    <row r="44" spans="1:15" ht="15">
      <c r="A44" s="704">
        <v>45323</v>
      </c>
      <c r="B44" s="783">
        <f>'10+_Assuntos_2024'!L15</f>
        <v>0</v>
      </c>
      <c r="C44" s="784">
        <f t="shared" ref="C44:C49" si="17">((B44-B43)/B43)*100</f>
        <v>-100</v>
      </c>
      <c r="E44" s="704">
        <v>45323</v>
      </c>
      <c r="F44" s="783">
        <f>'10+_Assuntos_2024'!L16</f>
        <v>0</v>
      </c>
      <c r="G44" s="784">
        <f t="shared" ref="G44:G49" si="18">((F44-F43)/F43)*100</f>
        <v>-100</v>
      </c>
    </row>
    <row r="45" spans="1:15" ht="15">
      <c r="A45" s="704">
        <v>45352</v>
      </c>
      <c r="B45" s="783">
        <f>'10+_Assuntos_2024'!K15</f>
        <v>0</v>
      </c>
      <c r="C45" s="784" t="e">
        <f t="shared" si="17"/>
        <v>#DIV/0!</v>
      </c>
      <c r="E45" s="704">
        <v>45352</v>
      </c>
      <c r="F45" s="783">
        <f>'10+_Assuntos_2024'!K16</f>
        <v>0</v>
      </c>
      <c r="G45" s="784" t="e">
        <f t="shared" si="18"/>
        <v>#DIV/0!</v>
      </c>
    </row>
    <row r="46" spans="1:15" ht="15">
      <c r="A46" s="704">
        <v>45383</v>
      </c>
      <c r="B46" s="783">
        <f>'10+_Assuntos_2024'!J$15</f>
        <v>0</v>
      </c>
      <c r="C46" s="784" t="e">
        <f t="shared" si="17"/>
        <v>#DIV/0!</v>
      </c>
      <c r="E46" s="704">
        <v>45383</v>
      </c>
      <c r="F46" s="783">
        <f>'10+_Assuntos_2024'!J$16</f>
        <v>0</v>
      </c>
      <c r="G46" s="784" t="e">
        <f t="shared" si="18"/>
        <v>#DIV/0!</v>
      </c>
    </row>
    <row r="47" spans="1:15" ht="15">
      <c r="A47" s="704">
        <v>45413</v>
      </c>
      <c r="B47" s="783">
        <f>'10+_Assuntos_2024'!I$15</f>
        <v>0</v>
      </c>
      <c r="C47" s="784" t="e">
        <f t="shared" si="17"/>
        <v>#DIV/0!</v>
      </c>
      <c r="E47" s="704">
        <v>45413</v>
      </c>
      <c r="F47" s="783">
        <f>'10+_Assuntos_2024'!I$16</f>
        <v>0</v>
      </c>
      <c r="G47" s="784" t="e">
        <f t="shared" si="18"/>
        <v>#DIV/0!</v>
      </c>
    </row>
    <row r="48" spans="1:15" ht="15">
      <c r="A48" s="704">
        <v>45444</v>
      </c>
      <c r="B48" s="783">
        <f>'10+_Assuntos_2024'!H$15</f>
        <v>0</v>
      </c>
      <c r="C48" s="784" t="e">
        <f t="shared" si="17"/>
        <v>#DIV/0!</v>
      </c>
      <c r="E48" s="704">
        <v>45444</v>
      </c>
      <c r="F48" s="783">
        <f>'10+_Assuntos_2024'!H$16</f>
        <v>0</v>
      </c>
      <c r="G48" s="784" t="e">
        <f t="shared" si="18"/>
        <v>#DIV/0!</v>
      </c>
    </row>
    <row r="49" spans="1:7" ht="15">
      <c r="A49" s="704">
        <v>45474</v>
      </c>
      <c r="B49" s="783">
        <f>'10+_Assuntos_2024'!G$15</f>
        <v>0</v>
      </c>
      <c r="C49" s="784" t="e">
        <f t="shared" si="17"/>
        <v>#DIV/0!</v>
      </c>
      <c r="E49" s="704">
        <v>45474</v>
      </c>
      <c r="F49" s="783">
        <f>'10+_Assuntos_2024'!G$16</f>
        <v>0</v>
      </c>
      <c r="G49" s="784" t="e">
        <f t="shared" si="18"/>
        <v>#DIV/0!</v>
      </c>
    </row>
    <row r="50" spans="1:7" ht="15">
      <c r="A50" s="704">
        <v>45505</v>
      </c>
      <c r="B50" s="783">
        <f>'10+_Assuntos_2024'!F$15</f>
        <v>0</v>
      </c>
      <c r="C50" s="784" t="e">
        <f t="shared" ref="C50" si="19">((B50-B49)/B49)*100</f>
        <v>#DIV/0!</v>
      </c>
      <c r="E50" s="704">
        <v>45505</v>
      </c>
      <c r="F50" s="783">
        <f>'10+_Assuntos_2024'!F$16</f>
        <v>0</v>
      </c>
      <c r="G50" s="784" t="e">
        <f t="shared" ref="G50" si="20">((F50-F49)/F49)*100</f>
        <v>#DIV/0!</v>
      </c>
    </row>
    <row r="51" spans="1:7" ht="15">
      <c r="A51" s="704">
        <v>45536</v>
      </c>
      <c r="B51" s="783">
        <f>'10+_Assuntos_2024'!E$15</f>
        <v>0</v>
      </c>
      <c r="C51" s="784" t="e">
        <f t="shared" ref="C51:C54" si="21">((B51-B50)/B50)*100</f>
        <v>#DIV/0!</v>
      </c>
      <c r="E51" s="704">
        <v>45536</v>
      </c>
      <c r="F51" s="783">
        <f>'10+_Assuntos_2024'!E$16</f>
        <v>0</v>
      </c>
      <c r="G51" s="784" t="e">
        <f t="shared" ref="G51:G54" si="22">((F51-F50)/F50)*100</f>
        <v>#DIV/0!</v>
      </c>
    </row>
    <row r="52" spans="1:7" ht="15">
      <c r="A52" s="704">
        <v>45566</v>
      </c>
      <c r="B52" s="783">
        <f>'10+_Assuntos_2024'!D$15</f>
        <v>0</v>
      </c>
      <c r="C52" s="784" t="e">
        <f t="shared" si="21"/>
        <v>#DIV/0!</v>
      </c>
      <c r="E52" s="704">
        <v>45566</v>
      </c>
      <c r="F52" s="783">
        <f>'10+_Assuntos_2024'!D$16</f>
        <v>0</v>
      </c>
      <c r="G52" s="784" t="e">
        <f t="shared" si="22"/>
        <v>#DIV/0!</v>
      </c>
    </row>
    <row r="53" spans="1:7" ht="15">
      <c r="A53" s="704">
        <v>45597</v>
      </c>
      <c r="B53" s="783">
        <f>'10+_Assuntos_2024'!C$15</f>
        <v>0</v>
      </c>
      <c r="C53" s="784" t="e">
        <f t="shared" si="21"/>
        <v>#DIV/0!</v>
      </c>
      <c r="E53" s="704">
        <v>45597</v>
      </c>
      <c r="F53" s="783">
        <f>'10+_Assuntos_2024'!C$16</f>
        <v>0</v>
      </c>
      <c r="G53" s="784" t="e">
        <f t="shared" si="22"/>
        <v>#DIV/0!</v>
      </c>
    </row>
    <row r="54" spans="1:7" ht="15.75" thickBot="1">
      <c r="A54" s="705">
        <v>45627</v>
      </c>
      <c r="B54" s="785">
        <f>'10+_Assuntos_2024'!B$15</f>
        <v>0</v>
      </c>
      <c r="C54" s="786" t="e">
        <f t="shared" si="21"/>
        <v>#DIV/0!</v>
      </c>
      <c r="E54" s="705">
        <v>45627</v>
      </c>
      <c r="F54" s="785">
        <f>'10+_Assuntos_2024'!B$16</f>
        <v>0</v>
      </c>
      <c r="G54" s="786" t="e">
        <f t="shared" si="22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96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  <ignoredErrors>
    <ignoredError sqref="C13:C22 G13:G22 K13:K22 O13:O22 C29:C38 G29:G38 K29:K38 O29:O38 C45:C54 G45:G54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workbookViewId="0">
      <selection activeCell="O23" sqref="O23"/>
    </sheetView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493</v>
      </c>
      <c r="B4" s="1"/>
      <c r="C4" s="1"/>
    </row>
    <row r="5" spans="1:6" ht="15.75" thickBot="1"/>
    <row r="6" spans="1:6" ht="15.75" thickBot="1">
      <c r="A6" s="75" t="s">
        <v>24</v>
      </c>
      <c r="B6" s="122">
        <v>45292</v>
      </c>
      <c r="C6" s="123">
        <v>45261</v>
      </c>
      <c r="D6" s="624">
        <v>45231</v>
      </c>
      <c r="E6" s="694" t="s">
        <v>5</v>
      </c>
      <c r="F6" s="789" t="s">
        <v>6</v>
      </c>
    </row>
    <row r="7" spans="1:6">
      <c r="A7" s="534" t="s">
        <v>57</v>
      </c>
      <c r="B7" s="535">
        <v>552</v>
      </c>
      <c r="C7" s="535">
        <v>242</v>
      </c>
      <c r="D7" s="548">
        <v>489</v>
      </c>
      <c r="E7" s="549">
        <f t="shared" ref="E7:E17" si="0">SUM(B7:D7)</f>
        <v>1283</v>
      </c>
      <c r="F7" s="552">
        <f t="shared" ref="F7:F16" si="1">AVERAGE(B7:D7)</f>
        <v>427.66666666666669</v>
      </c>
    </row>
    <row r="8" spans="1:6">
      <c r="A8" s="536" t="s">
        <v>437</v>
      </c>
      <c r="B8" s="535">
        <v>329</v>
      </c>
      <c r="C8" s="535">
        <v>291</v>
      </c>
      <c r="D8" s="548">
        <v>317</v>
      </c>
      <c r="E8" s="787">
        <f t="shared" si="0"/>
        <v>937</v>
      </c>
      <c r="F8" s="788">
        <f t="shared" si="1"/>
        <v>312.33333333333331</v>
      </c>
    </row>
    <row r="9" spans="1:6">
      <c r="A9" s="545" t="s">
        <v>98</v>
      </c>
      <c r="B9" s="546">
        <v>166</v>
      </c>
      <c r="C9" s="546">
        <v>170</v>
      </c>
      <c r="D9" s="547">
        <v>529</v>
      </c>
      <c r="E9" s="550">
        <f t="shared" si="0"/>
        <v>865</v>
      </c>
      <c r="F9" s="553">
        <f t="shared" si="1"/>
        <v>288.33333333333331</v>
      </c>
    </row>
    <row r="10" spans="1:6">
      <c r="A10" s="536" t="s">
        <v>43</v>
      </c>
      <c r="B10" s="535">
        <v>349</v>
      </c>
      <c r="C10" s="535">
        <v>218</v>
      </c>
      <c r="D10" s="548">
        <v>293</v>
      </c>
      <c r="E10" s="550">
        <f t="shared" si="0"/>
        <v>860</v>
      </c>
      <c r="F10" s="553">
        <f t="shared" si="1"/>
        <v>286.66666666666669</v>
      </c>
    </row>
    <row r="11" spans="1:6">
      <c r="A11" s="536" t="s">
        <v>168</v>
      </c>
      <c r="B11" s="535">
        <v>197</v>
      </c>
      <c r="C11" s="535">
        <v>175</v>
      </c>
      <c r="D11" s="548">
        <v>245</v>
      </c>
      <c r="E11" s="550">
        <f t="shared" si="0"/>
        <v>617</v>
      </c>
      <c r="F11" s="553">
        <f t="shared" si="1"/>
        <v>205.66666666666666</v>
      </c>
    </row>
    <row r="12" spans="1:6">
      <c r="A12" s="536" t="s">
        <v>153</v>
      </c>
      <c r="B12" s="535">
        <v>174</v>
      </c>
      <c r="C12" s="535">
        <v>173</v>
      </c>
      <c r="D12" s="548">
        <v>210</v>
      </c>
      <c r="E12" s="550">
        <f t="shared" si="0"/>
        <v>557</v>
      </c>
      <c r="F12" s="553">
        <f t="shared" si="1"/>
        <v>185.66666666666666</v>
      </c>
    </row>
    <row r="13" spans="1:6">
      <c r="A13" s="536" t="s">
        <v>144</v>
      </c>
      <c r="B13" s="535">
        <v>175</v>
      </c>
      <c r="C13" s="535">
        <v>160</v>
      </c>
      <c r="D13" s="548">
        <v>193</v>
      </c>
      <c r="E13" s="550">
        <f t="shared" si="0"/>
        <v>528</v>
      </c>
      <c r="F13" s="553">
        <f t="shared" si="1"/>
        <v>176</v>
      </c>
    </row>
    <row r="14" spans="1:6">
      <c r="A14" s="536" t="s">
        <v>159</v>
      </c>
      <c r="B14" s="535">
        <v>212</v>
      </c>
      <c r="C14" s="535">
        <v>157</v>
      </c>
      <c r="D14" s="548">
        <v>148</v>
      </c>
      <c r="E14" s="550">
        <f t="shared" si="0"/>
        <v>517</v>
      </c>
      <c r="F14" s="553">
        <f t="shared" si="1"/>
        <v>172.33333333333334</v>
      </c>
    </row>
    <row r="15" spans="1:6">
      <c r="A15" s="536" t="s">
        <v>184</v>
      </c>
      <c r="B15" s="535">
        <v>162</v>
      </c>
      <c r="C15" s="535">
        <v>135</v>
      </c>
      <c r="D15" s="548">
        <v>130</v>
      </c>
      <c r="E15" s="550">
        <f t="shared" si="0"/>
        <v>427</v>
      </c>
      <c r="F15" s="553">
        <f t="shared" si="1"/>
        <v>142.33333333333334</v>
      </c>
    </row>
    <row r="16" spans="1:6" ht="15.75" thickBot="1">
      <c r="A16" s="534" t="s">
        <v>59</v>
      </c>
      <c r="B16" s="535">
        <v>140</v>
      </c>
      <c r="C16" s="535">
        <v>136</v>
      </c>
      <c r="D16" s="548">
        <v>117</v>
      </c>
      <c r="E16" s="551">
        <f t="shared" si="0"/>
        <v>393</v>
      </c>
      <c r="F16" s="554">
        <f t="shared" si="1"/>
        <v>131</v>
      </c>
    </row>
    <row r="17" spans="1:23" ht="15.75" thickBot="1">
      <c r="A17" s="125" t="s">
        <v>15</v>
      </c>
      <c r="B17" s="126">
        <f>SUM(B12:B16)</f>
        <v>863</v>
      </c>
      <c r="C17" s="126">
        <f>SUM(C12:C16)</f>
        <v>761</v>
      </c>
      <c r="D17" s="126">
        <f>SUM(D12:D16)</f>
        <v>798</v>
      </c>
      <c r="E17" s="625">
        <f t="shared" si="0"/>
        <v>2422</v>
      </c>
      <c r="F17" s="626">
        <f>AVERAGE(B17:D17)</f>
        <v>807.33333333333337</v>
      </c>
    </row>
    <row r="19" spans="1:23">
      <c r="G19" s="2"/>
      <c r="H19" s="6"/>
      <c r="I19" s="127"/>
      <c r="J19" s="127"/>
      <c r="K19" s="127"/>
      <c r="L19" s="128"/>
    </row>
    <row r="20" spans="1:23">
      <c r="G20" s="2"/>
      <c r="I20" s="129"/>
      <c r="J20" s="93"/>
      <c r="K20" s="93"/>
      <c r="L20" s="129"/>
    </row>
    <row r="21" spans="1:23">
      <c r="G21" s="2"/>
      <c r="I21" s="129"/>
      <c r="K21" s="73"/>
      <c r="L21" s="73"/>
      <c r="M21" s="73"/>
      <c r="N21" s="130"/>
      <c r="O21" s="131"/>
    </row>
    <row r="22" spans="1:23">
      <c r="G22" s="2"/>
      <c r="I22" s="129"/>
      <c r="K22" s="72"/>
      <c r="L22" s="132"/>
      <c r="M22" s="132"/>
      <c r="N22" s="133"/>
      <c r="O22" s="132"/>
      <c r="V22" s="132"/>
      <c r="W22" s="132"/>
    </row>
    <row r="23" spans="1:23">
      <c r="G23" s="2"/>
      <c r="I23" s="129"/>
      <c r="L23" s="73"/>
      <c r="M23" s="73"/>
      <c r="N23" s="73"/>
      <c r="O23" s="73"/>
    </row>
    <row r="24" spans="1:23">
      <c r="G24" s="2"/>
      <c r="I24" s="129"/>
      <c r="L24" s="73"/>
      <c r="M24" s="73"/>
      <c r="N24" s="73"/>
      <c r="O24" s="73"/>
      <c r="V24" s="73"/>
      <c r="W24" s="73"/>
    </row>
    <row r="25" spans="1:23">
      <c r="G25" s="2"/>
      <c r="I25" s="129"/>
      <c r="L25" s="73"/>
      <c r="M25" s="73"/>
      <c r="N25" s="73"/>
      <c r="O25" s="73"/>
      <c r="V25" s="73"/>
      <c r="W25" s="73"/>
    </row>
    <row r="26" spans="1:23">
      <c r="G26" s="2"/>
      <c r="I26" s="129"/>
      <c r="L26" s="73"/>
      <c r="M26" s="73"/>
      <c r="N26" s="73"/>
      <c r="O26" s="73"/>
      <c r="V26" s="73"/>
      <c r="W26" s="73"/>
    </row>
    <row r="27" spans="1:23">
      <c r="G27" s="2"/>
      <c r="I27" s="129"/>
      <c r="L27" s="73"/>
      <c r="M27" s="73"/>
      <c r="N27" s="73"/>
      <c r="O27" s="73"/>
      <c r="P27" s="73"/>
      <c r="Q27" s="73"/>
      <c r="R27" s="130"/>
      <c r="S27" s="130"/>
      <c r="T27" s="73"/>
      <c r="U27" s="73"/>
      <c r="V27" s="73"/>
      <c r="W27" s="73"/>
    </row>
    <row r="28" spans="1:23">
      <c r="G28" s="2"/>
      <c r="I28" s="129"/>
      <c r="L28" s="73"/>
      <c r="M28" s="73"/>
      <c r="N28" s="73"/>
      <c r="O28" s="73"/>
      <c r="P28" s="73"/>
      <c r="Q28" s="73"/>
      <c r="R28" s="130"/>
      <c r="S28" s="130"/>
      <c r="T28" s="73"/>
      <c r="U28" s="73"/>
      <c r="V28" s="73"/>
      <c r="W28" s="73"/>
    </row>
    <row r="29" spans="1:23">
      <c r="I29" s="129"/>
      <c r="L29" s="73"/>
      <c r="M29" s="73"/>
      <c r="N29" s="73"/>
      <c r="O29" s="73"/>
      <c r="P29" s="73"/>
      <c r="Q29" s="73"/>
      <c r="R29" s="130"/>
      <c r="S29" s="130"/>
      <c r="T29" s="73"/>
      <c r="U29" s="73"/>
      <c r="V29" s="73"/>
      <c r="W29" s="73"/>
    </row>
    <row r="30" spans="1:23">
      <c r="H30" s="88"/>
      <c r="I30" s="134"/>
      <c r="L30" s="73"/>
      <c r="M30" s="73"/>
      <c r="N30" s="73"/>
      <c r="O30" s="73"/>
      <c r="P30" s="73"/>
      <c r="Q30" s="73"/>
      <c r="R30" s="130"/>
      <c r="S30" s="130"/>
      <c r="T30" s="73"/>
      <c r="U30" s="73"/>
      <c r="V30" s="73"/>
      <c r="W30" s="73"/>
    </row>
    <row r="31" spans="1:23">
      <c r="L31" s="73"/>
      <c r="M31" s="73"/>
      <c r="N31" s="73"/>
      <c r="O31" s="73"/>
      <c r="P31" s="73"/>
      <c r="Q31" s="73"/>
      <c r="R31" s="130"/>
      <c r="S31" s="130"/>
      <c r="T31" s="73"/>
      <c r="U31" s="73"/>
      <c r="V31" s="73"/>
      <c r="W31" s="73"/>
    </row>
    <row r="32" spans="1:23">
      <c r="L32" s="73"/>
      <c r="M32" s="73"/>
      <c r="N32" s="73"/>
      <c r="O32" s="73"/>
      <c r="P32" s="73"/>
      <c r="Q32" s="73"/>
      <c r="R32" s="130"/>
      <c r="S32" s="130"/>
      <c r="T32" s="73"/>
      <c r="U32" s="73"/>
      <c r="V32" s="73"/>
      <c r="W32" s="73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80" zoomScaleNormal="80" workbookViewId="0">
      <selection activeCell="W38" sqref="W38"/>
    </sheetView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35" customWidth="1"/>
    <col min="13" max="13" width="8.7109375" style="135" customWidth="1"/>
    <col min="14" max="14" width="7.7109375" style="135" customWidth="1"/>
    <col min="15" max="15" width="9.7109375" style="135" customWidth="1"/>
    <col min="16" max="16" width="8.42578125" style="135" customWidth="1"/>
    <col min="17" max="17" width="9.140625" style="135" customWidth="1"/>
    <col min="18" max="18" width="9.42578125" style="135" customWidth="1"/>
    <col min="19" max="19" width="9.85546875" style="135" customWidth="1"/>
    <col min="20" max="20" width="10.28515625" style="135" customWidth="1"/>
    <col min="21" max="21" width="8" style="135" customWidth="1"/>
    <col min="22" max="22" width="9.140625" style="135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494</v>
      </c>
    </row>
    <row r="5" spans="1:2" ht="15.75" thickBot="1"/>
    <row r="6" spans="1:2" ht="15.75" thickBot="1">
      <c r="A6" s="655" t="s">
        <v>24</v>
      </c>
      <c r="B6" s="660">
        <v>45292</v>
      </c>
    </row>
    <row r="7" spans="1:2">
      <c r="A7" s="656" t="s">
        <v>57</v>
      </c>
      <c r="B7" s="652">
        <v>552</v>
      </c>
    </row>
    <row r="8" spans="1:2">
      <c r="A8" s="657" t="s">
        <v>43</v>
      </c>
      <c r="B8" s="653">
        <v>349</v>
      </c>
    </row>
    <row r="9" spans="1:2">
      <c r="A9" s="657" t="s">
        <v>437</v>
      </c>
      <c r="B9" s="653">
        <v>329</v>
      </c>
    </row>
    <row r="10" spans="1:2">
      <c r="A10" s="658" t="s">
        <v>159</v>
      </c>
      <c r="B10" s="653">
        <v>212</v>
      </c>
    </row>
    <row r="11" spans="1:2">
      <c r="A11" s="657" t="s">
        <v>168</v>
      </c>
      <c r="B11" s="653">
        <v>197</v>
      </c>
    </row>
    <row r="12" spans="1:2">
      <c r="A12" s="657" t="s">
        <v>144</v>
      </c>
      <c r="B12" s="653">
        <v>175</v>
      </c>
    </row>
    <row r="13" spans="1:2">
      <c r="A13" s="658" t="s">
        <v>153</v>
      </c>
      <c r="B13" s="653">
        <v>174</v>
      </c>
    </row>
    <row r="14" spans="1:2">
      <c r="A14" s="658" t="s">
        <v>98</v>
      </c>
      <c r="B14" s="653">
        <v>166</v>
      </c>
    </row>
    <row r="15" spans="1:2">
      <c r="A15" s="657" t="s">
        <v>184</v>
      </c>
      <c r="B15" s="653">
        <v>162</v>
      </c>
    </row>
    <row r="16" spans="1:2" ht="15.75" thickBot="1">
      <c r="A16" s="661" t="s">
        <v>60</v>
      </c>
      <c r="B16" s="654">
        <v>153</v>
      </c>
    </row>
    <row r="17" spans="1:25" s="82" customFormat="1" ht="15.75" thickBot="1">
      <c r="A17" s="662" t="s">
        <v>5</v>
      </c>
      <c r="B17" s="659">
        <f>SUM(B7:B16)</f>
        <v>2469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5" s="470" customFormat="1">
      <c r="A18" s="468"/>
      <c r="B18" s="469"/>
    </row>
    <row r="19" spans="1:25" s="449" customFormat="1">
      <c r="A19" s="442"/>
    </row>
    <row r="20" spans="1:25" s="449" customFormat="1">
      <c r="A20" s="442"/>
    </row>
    <row r="21" spans="1:25" s="449" customFormat="1" ht="15" customHeight="1">
      <c r="A21" s="442"/>
    </row>
    <row r="22" spans="1:25" s="449" customFormat="1" ht="15" customHeight="1">
      <c r="A22" s="556"/>
      <c r="B22" s="555"/>
      <c r="C22" s="555"/>
      <c r="D22" s="555"/>
      <c r="E22" s="555"/>
      <c r="F22" s="555"/>
      <c r="G22" s="555"/>
      <c r="H22" s="555"/>
      <c r="I22" s="555"/>
      <c r="J22" s="555"/>
      <c r="K22" s="555"/>
      <c r="L22" s="555"/>
      <c r="M22" s="555"/>
    </row>
    <row r="23" spans="1:25" s="449" customFormat="1" ht="66" customHeight="1">
      <c r="A23" s="627"/>
      <c r="B23" s="555"/>
      <c r="C23" s="555"/>
      <c r="D23" s="555"/>
      <c r="E23" s="555"/>
      <c r="F23" s="555"/>
      <c r="G23" s="555"/>
      <c r="H23" s="555"/>
      <c r="I23" s="555"/>
      <c r="J23" s="555"/>
      <c r="K23" s="555"/>
      <c r="L23" s="555"/>
      <c r="M23" s="555"/>
    </row>
    <row r="24" spans="1:25" s="449" customFormat="1">
      <c r="A24" s="555"/>
      <c r="B24" s="555" t="str">
        <f>A7</f>
        <v>Cadastro Único (CadÚnico)</v>
      </c>
      <c r="C24" s="555" t="str">
        <f>A8</f>
        <v>Árvore</v>
      </c>
      <c r="D24" s="555" t="str">
        <f>A9</f>
        <v>Buraco e Pavimentação</v>
      </c>
      <c r="E24" s="555" t="str">
        <f>A10</f>
        <v>Processo Administrativo</v>
      </c>
      <c r="F24" s="555" t="str">
        <f>A11</f>
        <v>Qualidade de atendimento</v>
      </c>
      <c r="G24" s="555" t="str">
        <f>A12</f>
        <v>Órgão externo</v>
      </c>
      <c r="H24" s="555" t="str">
        <f>A13</f>
        <v>Poluição sonora - PSIU</v>
      </c>
      <c r="I24" s="555" t="str">
        <f>A14</f>
        <v>Estabelecimentos comerciais, indústrias e serviços</v>
      </c>
      <c r="J24" s="555" t="str">
        <f>A15</f>
        <v>Sinalização e Circulação de veículos e Pedestres</v>
      </c>
      <c r="K24" s="555" t="str">
        <f>A16</f>
        <v>Capinação e roçada de áreas verdes</v>
      </c>
      <c r="L24" s="555" t="s">
        <v>5</v>
      </c>
      <c r="M24" s="555"/>
      <c r="N24" s="452"/>
      <c r="O24" s="452"/>
      <c r="P24" s="452"/>
      <c r="Q24" s="452"/>
      <c r="R24" s="452"/>
      <c r="S24" s="452"/>
      <c r="T24" s="453"/>
      <c r="U24" s="453"/>
      <c r="V24" s="452"/>
      <c r="W24" s="452"/>
      <c r="X24" s="452"/>
      <c r="Y24" s="452"/>
    </row>
    <row r="25" spans="1:25" s="449" customFormat="1">
      <c r="A25" s="555"/>
      <c r="B25" s="555">
        <f>B7</f>
        <v>552</v>
      </c>
      <c r="C25" s="555">
        <f>B8</f>
        <v>349</v>
      </c>
      <c r="D25" s="555">
        <f>B9</f>
        <v>329</v>
      </c>
      <c r="E25" s="555">
        <f>B10</f>
        <v>212</v>
      </c>
      <c r="F25" s="555">
        <f>B11</f>
        <v>197</v>
      </c>
      <c r="G25" s="555">
        <f>B12</f>
        <v>175</v>
      </c>
      <c r="H25" s="555">
        <f>B13</f>
        <v>174</v>
      </c>
      <c r="I25" s="555">
        <f>B14</f>
        <v>166</v>
      </c>
      <c r="J25" s="555">
        <f>B15</f>
        <v>162</v>
      </c>
      <c r="K25" s="555">
        <f>B16</f>
        <v>153</v>
      </c>
      <c r="L25" s="555"/>
      <c r="M25" s="555"/>
      <c r="N25" s="452"/>
      <c r="O25" s="452"/>
      <c r="P25" s="452"/>
      <c r="Q25" s="452"/>
      <c r="R25" s="452"/>
      <c r="S25" s="452"/>
      <c r="T25" s="453"/>
      <c r="U25" s="453"/>
      <c r="V25" s="452"/>
      <c r="W25" s="452"/>
      <c r="X25" s="452"/>
      <c r="Y25" s="452"/>
    </row>
    <row r="26" spans="1:25" s="449" customFormat="1">
      <c r="A26" s="555"/>
      <c r="B26" s="555"/>
      <c r="C26" s="555"/>
      <c r="D26" s="555"/>
      <c r="E26" s="555"/>
      <c r="F26" s="555"/>
      <c r="G26" s="555"/>
      <c r="H26" s="555"/>
      <c r="I26" s="555"/>
      <c r="J26" s="555"/>
      <c r="K26" s="555"/>
      <c r="L26" s="555">
        <f>Assuntos!M229</f>
        <v>5382</v>
      </c>
      <c r="M26" s="555"/>
      <c r="N26" s="452"/>
      <c r="O26" s="452"/>
      <c r="P26" s="452"/>
      <c r="Q26" s="452"/>
      <c r="R26" s="452"/>
      <c r="S26" s="452"/>
      <c r="T26" s="453"/>
      <c r="U26" s="453"/>
      <c r="V26" s="452"/>
      <c r="W26" s="452"/>
      <c r="X26" s="452"/>
      <c r="Y26" s="452"/>
    </row>
    <row r="27" spans="1:25" s="449" customFormat="1">
      <c r="A27" s="555"/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5"/>
      <c r="N27" s="452"/>
      <c r="O27" s="452"/>
      <c r="P27" s="452"/>
      <c r="Q27" s="452"/>
      <c r="R27" s="452"/>
      <c r="S27" s="452"/>
      <c r="T27" s="453"/>
      <c r="U27" s="453"/>
      <c r="V27" s="452"/>
      <c r="W27" s="452"/>
      <c r="X27" s="452"/>
      <c r="Y27" s="452"/>
    </row>
    <row r="28" spans="1:25" s="449" customFormat="1">
      <c r="A28" s="555"/>
      <c r="B28" s="555"/>
      <c r="C28" s="555"/>
      <c r="D28" s="555"/>
      <c r="E28" s="555"/>
      <c r="F28" s="555"/>
      <c r="G28" s="555"/>
      <c r="H28" s="555"/>
      <c r="I28" s="555"/>
      <c r="J28" s="555"/>
      <c r="K28" s="555"/>
      <c r="L28" s="555"/>
      <c r="M28" s="555"/>
      <c r="N28" s="452"/>
      <c r="O28" s="452"/>
      <c r="P28" s="452"/>
      <c r="Q28" s="452"/>
      <c r="R28" s="452"/>
      <c r="S28" s="452"/>
      <c r="T28" s="453"/>
      <c r="U28" s="453"/>
      <c r="V28" s="452"/>
      <c r="W28" s="452"/>
      <c r="X28" s="452"/>
      <c r="Y28" s="452"/>
    </row>
    <row r="29" spans="1:25" s="449" customFormat="1">
      <c r="N29" s="452"/>
      <c r="O29" s="452"/>
      <c r="P29" s="452"/>
      <c r="Q29" s="452"/>
      <c r="R29" s="452"/>
      <c r="S29" s="452"/>
      <c r="T29" s="453"/>
      <c r="U29" s="453"/>
      <c r="V29" s="452"/>
      <c r="W29" s="452"/>
      <c r="X29" s="452"/>
      <c r="Y29" s="452"/>
    </row>
    <row r="30" spans="1:25" s="135" customFormat="1">
      <c r="A30" s="516"/>
      <c r="B30" s="516"/>
      <c r="C30" s="516"/>
      <c r="D30" s="516"/>
      <c r="E30" s="516"/>
      <c r="F30" s="516"/>
      <c r="G30" s="516"/>
      <c r="H30" s="516"/>
      <c r="I30" s="516"/>
      <c r="J30" s="516"/>
      <c r="K30" s="516"/>
      <c r="L30" s="516"/>
      <c r="M30" s="516"/>
      <c r="N30" s="516"/>
      <c r="O30" s="516"/>
      <c r="P30" s="516"/>
      <c r="Q30" s="138"/>
      <c r="R30" s="138"/>
    </row>
    <row r="31" spans="1:25" s="135" customFormat="1">
      <c r="A31" s="449"/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138"/>
      <c r="Q31" s="138"/>
      <c r="R31" s="138"/>
    </row>
    <row r="32" spans="1:25" s="135" customFormat="1">
      <c r="A32" s="449"/>
      <c r="B32" s="449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/>
      <c r="Q32"/>
      <c r="R32"/>
    </row>
    <row r="33" spans="1:22" s="135" customFormat="1">
      <c r="A33" s="449"/>
      <c r="B33" s="449"/>
      <c r="C33" s="449"/>
      <c r="D33" s="449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/>
    </row>
    <row r="34" spans="1:22" s="135" customFormat="1">
      <c r="A34" s="449"/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/>
    </row>
    <row r="35" spans="1:22" s="135" customFormat="1">
      <c r="A35" s="449"/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/>
    </row>
    <row r="36" spans="1:22" s="135" customFormat="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/>
      <c r="M36"/>
      <c r="N36"/>
      <c r="O36"/>
      <c r="P36"/>
    </row>
    <row r="37" spans="1:22" s="135" customFormat="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/>
      <c r="M37"/>
      <c r="N37"/>
      <c r="O37"/>
      <c r="P37"/>
    </row>
    <row r="38" spans="1:22" s="135" customFormat="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/>
      <c r="M38"/>
      <c r="N38"/>
      <c r="O38"/>
      <c r="P38"/>
    </row>
    <row r="39" spans="1:22" s="13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35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35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35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35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Texto</vt:lpstr>
      <vt:lpstr>Protocolos</vt:lpstr>
      <vt:lpstr>Canais_atendimento</vt:lpstr>
      <vt:lpstr>Assuntos</vt:lpstr>
      <vt:lpstr>Buraco-Pavimentação_Janeiro2024</vt:lpstr>
      <vt:lpstr>10+_Assuntos_2024</vt:lpstr>
      <vt:lpstr>Assuntos-variação_10_mais_2024</vt:lpstr>
      <vt:lpstr>ASSUNTOS_10+_últimos_3_meses</vt:lpstr>
      <vt:lpstr>10+_ASSUNTOS_JAN_24</vt:lpstr>
      <vt:lpstr>UNIDADES</vt:lpstr>
      <vt:lpstr>10+UNIDADES_2024</vt:lpstr>
      <vt:lpstr>Unidades_variação_10_mais_2024</vt:lpstr>
      <vt:lpstr>UNIDADES_10+_últimos_3_meses</vt:lpstr>
      <vt:lpstr>10+ Unidades__JAN_24</vt:lpstr>
      <vt:lpstr>Subprefeituras_2024</vt:lpstr>
      <vt:lpstr>10+_SUB's_2024</vt:lpstr>
      <vt:lpstr>Georref_3+_Subs_2024</vt:lpstr>
      <vt:lpstr>Subs_-Variação_10_mais_2024</vt:lpstr>
      <vt:lpstr>Denúncia_Protocolos_2024</vt:lpstr>
      <vt:lpstr>Denúncia_Unidades_2024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cp:lastPrinted>2024-02-21T14:01:50Z</cp:lastPrinted>
  <dcterms:created xsi:type="dcterms:W3CDTF">2018-08-01T11:52:47Z</dcterms:created>
  <dcterms:modified xsi:type="dcterms:W3CDTF">2024-02-29T13:46:26Z</dcterms:modified>
  <cp:category/>
  <cp:contentStatus/>
</cp:coreProperties>
</file>