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3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d838568\Desktop\"/>
    </mc:Choice>
  </mc:AlternateContent>
  <bookViews>
    <workbookView xWindow="0" yWindow="0" windowWidth="28800" windowHeight="12870" tabRatio="961"/>
  </bookViews>
  <sheets>
    <sheet name="Texto" sheetId="1" r:id="rId1"/>
    <sheet name="Protocolos" sheetId="2" r:id="rId2"/>
    <sheet name="Canais_atendimento" sheetId="3" r:id="rId3"/>
    <sheet name="Assuntos" sheetId="4" r:id="rId4"/>
    <sheet name="Buraco-Pavimentação_Dezembro23" sheetId="24" r:id="rId5"/>
    <sheet name="10_Assuntos_+_demadados_2023" sheetId="5" r:id="rId6"/>
    <sheet name="Assuntos-variação_10_mais_2023" sheetId="6" r:id="rId7"/>
    <sheet name="ASSUNTOS_10+_últimos_3_meses" sheetId="7" r:id="rId8"/>
    <sheet name="10_ASSUNTOS_+_demandados_DEZ_23" sheetId="8" r:id="rId9"/>
    <sheet name="UNIDADES" sheetId="9" r:id="rId10"/>
    <sheet name="10_UNIDADES_+_demandadas_2023" sheetId="10" r:id="rId11"/>
    <sheet name="Unidades_-variação_10_mais_2023" sheetId="11" r:id="rId12"/>
    <sheet name="UNIDADES_-_10+_últimos_3_meses" sheetId="12" r:id="rId13"/>
    <sheet name="10_Unidades+_demandados__DEZ_23" sheetId="13" r:id="rId14"/>
    <sheet name="Subprefeituras_2023" sheetId="14" r:id="rId15"/>
    <sheet name="10_SUB's_+_demandadas_2023" sheetId="15" r:id="rId16"/>
    <sheet name="Subs_-Variação_10_mais_2023" sheetId="16" r:id="rId17"/>
    <sheet name="Ranking_subprefeituras_DEZ_23" sheetId="17" r:id="rId18"/>
    <sheet name="Denúncia_Protocolos_2023" sheetId="18" r:id="rId19"/>
    <sheet name="Denúncia_Unidades_2023" sheetId="23" r:id="rId20"/>
    <sheet name="e-SIC_2023" sheetId="19" r:id="rId21"/>
    <sheet name="Alteração_de_Processo" sheetId="21" r:id="rId22"/>
    <sheet name="Alteração_de_Processo_Dados" sheetId="22" r:id="rId23"/>
    <sheet name="P" sheetId="20" state="hidden" r:id="rId24"/>
  </sheets>
  <definedNames>
    <definedName name="_xlchart.0" hidden="1">Alteração_de_Processo_Dados!$A$17:$A$29</definedName>
    <definedName name="_xlchart.1" hidden="1">Alteração_de_Processo_Dados!$B$17:$B$29</definedName>
  </definedNames>
  <calcPr calcId="162913"/>
</workbook>
</file>

<file path=xl/calcChain.xml><?xml version="1.0" encoding="utf-8"?>
<calcChain xmlns="http://schemas.openxmlformats.org/spreadsheetml/2006/main">
  <c r="O6" i="18" l="1"/>
  <c r="Q6" i="18"/>
  <c r="P7" i="18"/>
  <c r="P6" i="18"/>
  <c r="G30" i="18"/>
  <c r="F30" i="18"/>
  <c r="C30" i="18"/>
  <c r="B9" i="18"/>
  <c r="B10" i="18"/>
  <c r="B15" i="18"/>
  <c r="N114" i="19" l="1"/>
  <c r="N113" i="19"/>
  <c r="N112" i="19"/>
  <c r="N111" i="19"/>
  <c r="N110" i="19"/>
  <c r="N109" i="19"/>
  <c r="N108" i="19"/>
  <c r="N107" i="19"/>
  <c r="N106" i="19"/>
  <c r="N105" i="19"/>
  <c r="N131" i="19"/>
  <c r="N178" i="19"/>
  <c r="N145" i="19"/>
  <c r="N170" i="19"/>
  <c r="N141" i="19"/>
  <c r="N185" i="19"/>
  <c r="N172" i="19"/>
  <c r="N148" i="19"/>
  <c r="N155" i="19"/>
  <c r="N152" i="19"/>
  <c r="N160" i="19"/>
  <c r="N144" i="19"/>
  <c r="N181" i="19"/>
  <c r="N159" i="19"/>
  <c r="N176" i="19"/>
  <c r="N158" i="19"/>
  <c r="N171" i="19"/>
  <c r="N154" i="19"/>
  <c r="N169" i="19"/>
  <c r="N184" i="19"/>
  <c r="N162" i="19"/>
  <c r="N174" i="19"/>
  <c r="N149" i="19"/>
  <c r="N183" i="19"/>
  <c r="N179" i="19"/>
  <c r="N164" i="19"/>
  <c r="N182" i="19"/>
  <c r="N163" i="19"/>
  <c r="N167" i="19"/>
  <c r="N177" i="19"/>
  <c r="N168" i="19"/>
  <c r="N143" i="19"/>
  <c r="N161" i="19"/>
  <c r="N180" i="19"/>
  <c r="N196" i="19"/>
  <c r="N194" i="19"/>
  <c r="N166" i="19"/>
  <c r="N135" i="19"/>
  <c r="N188" i="19"/>
  <c r="N138" i="19"/>
  <c r="N193" i="19"/>
  <c r="N126" i="19"/>
  <c r="N173" i="19"/>
  <c r="N125" i="19"/>
  <c r="N124" i="19"/>
  <c r="N134" i="19"/>
  <c r="N119" i="19"/>
  <c r="N191" i="19"/>
  <c r="N165" i="19"/>
  <c r="N187" i="19"/>
  <c r="N142" i="19"/>
  <c r="N122" i="19"/>
  <c r="N140" i="19"/>
  <c r="N150" i="19"/>
  <c r="N127" i="19"/>
  <c r="N129" i="19"/>
  <c r="N133" i="19"/>
  <c r="N137" i="19"/>
  <c r="N151" i="19"/>
  <c r="N123" i="19"/>
  <c r="N190" i="19"/>
  <c r="N147" i="19"/>
  <c r="N130" i="19"/>
  <c r="N128" i="19"/>
  <c r="N157" i="19"/>
  <c r="N121" i="19"/>
  <c r="N156" i="19"/>
  <c r="N136" i="19"/>
  <c r="N153" i="19"/>
  <c r="N175" i="19"/>
  <c r="N186" i="19"/>
  <c r="N195" i="19"/>
  <c r="N132" i="19"/>
  <c r="N139" i="19"/>
  <c r="N120" i="19"/>
  <c r="N146" i="19"/>
  <c r="N192" i="19"/>
  <c r="N189" i="19"/>
  <c r="C17" i="19"/>
  <c r="B100" i="19"/>
  <c r="B29" i="22" l="1"/>
  <c r="C13" i="22"/>
  <c r="B37" i="17" l="1"/>
  <c r="F54" i="16"/>
  <c r="G54" i="16"/>
  <c r="B54" i="16"/>
  <c r="C54" i="16"/>
  <c r="N38" i="16"/>
  <c r="O38" i="16"/>
  <c r="J38" i="16"/>
  <c r="K38" i="16"/>
  <c r="F38" i="16"/>
  <c r="G38" i="16" s="1"/>
  <c r="B38" i="16"/>
  <c r="C38" i="16" s="1"/>
  <c r="N22" i="16"/>
  <c r="O22" i="16" s="1"/>
  <c r="J22" i="16"/>
  <c r="K22" i="16" s="1"/>
  <c r="F22" i="16"/>
  <c r="G22" i="16" s="1"/>
  <c r="B22" i="16"/>
  <c r="P1" i="15"/>
  <c r="P8" i="15" s="1"/>
  <c r="P10" i="15"/>
  <c r="P11" i="15"/>
  <c r="P14" i="15"/>
  <c r="P15" i="15"/>
  <c r="P7" i="15"/>
  <c r="B17" i="15"/>
  <c r="B37" i="14"/>
  <c r="B17" i="13"/>
  <c r="F7" i="12"/>
  <c r="E7" i="12"/>
  <c r="F54" i="11"/>
  <c r="G54" i="11"/>
  <c r="B54" i="11"/>
  <c r="C54" i="11" s="1"/>
  <c r="N38" i="11"/>
  <c r="O38" i="11" s="1"/>
  <c r="J38" i="11"/>
  <c r="K38" i="11"/>
  <c r="F38" i="11"/>
  <c r="G38" i="11"/>
  <c r="B38" i="11"/>
  <c r="C38" i="11"/>
  <c r="N22" i="11"/>
  <c r="O22" i="11"/>
  <c r="J22" i="11"/>
  <c r="K22" i="11"/>
  <c r="F22" i="11"/>
  <c r="G22" i="11"/>
  <c r="B22" i="11"/>
  <c r="C22" i="11"/>
  <c r="B17" i="10"/>
  <c r="B72" i="9"/>
  <c r="L25" i="13" s="1"/>
  <c r="P4" i="10" l="1"/>
  <c r="P17" i="15"/>
  <c r="P13" i="15"/>
  <c r="P9" i="15"/>
  <c r="P16" i="15"/>
  <c r="P12" i="15"/>
  <c r="F54" i="6"/>
  <c r="G54" i="6"/>
  <c r="B54" i="6"/>
  <c r="C54" i="6"/>
  <c r="N38" i="6"/>
  <c r="O38" i="6"/>
  <c r="J38" i="6"/>
  <c r="K38" i="6"/>
  <c r="F38" i="6"/>
  <c r="G38" i="6" s="1"/>
  <c r="B38" i="6"/>
  <c r="C38" i="6" s="1"/>
  <c r="N22" i="6"/>
  <c r="O22" i="6" s="1"/>
  <c r="J22" i="6"/>
  <c r="K22" i="6"/>
  <c r="F22" i="6"/>
  <c r="G22" i="6" s="1"/>
  <c r="C22" i="6"/>
  <c r="B22" i="6"/>
  <c r="B17" i="5"/>
  <c r="O209" i="4"/>
  <c r="N209" i="4"/>
  <c r="O193" i="4"/>
  <c r="N193" i="4"/>
  <c r="O90" i="4"/>
  <c r="N90" i="4"/>
  <c r="O79" i="4"/>
  <c r="O80" i="4"/>
  <c r="N78" i="4"/>
  <c r="N79" i="4"/>
  <c r="N80" i="4"/>
  <c r="O78" i="4"/>
  <c r="Q6" i="3"/>
  <c r="Q7" i="3"/>
  <c r="Q8" i="3"/>
  <c r="Q9" i="3"/>
  <c r="Q10" i="3"/>
  <c r="Q11" i="3"/>
  <c r="Q5" i="3"/>
  <c r="P7" i="10" l="1"/>
  <c r="P8" i="10"/>
  <c r="P16" i="10"/>
  <c r="P9" i="10"/>
  <c r="P17" i="10"/>
  <c r="P10" i="10"/>
  <c r="P11" i="10"/>
  <c r="P12" i="10"/>
  <c r="P13" i="10"/>
  <c r="P14" i="10"/>
  <c r="P15" i="10"/>
  <c r="B11" i="3"/>
  <c r="C16" i="2" l="1"/>
  <c r="B16" i="2"/>
  <c r="E24" i="2"/>
  <c r="B220" i="4"/>
  <c r="L26" i="8" l="1"/>
  <c r="P1" i="5"/>
  <c r="D77" i="23"/>
  <c r="P14" i="5" l="1"/>
  <c r="P15" i="5"/>
  <c r="P8" i="5"/>
  <c r="P16" i="5"/>
  <c r="P9" i="5"/>
  <c r="P17" i="5"/>
  <c r="P10" i="5"/>
  <c r="P7" i="5"/>
  <c r="P11" i="5"/>
  <c r="P12" i="5"/>
  <c r="P13" i="5"/>
  <c r="U47" i="19"/>
  <c r="C16" i="19"/>
  <c r="C100" i="19"/>
  <c r="E20" i="22" l="1"/>
  <c r="C12" i="22"/>
  <c r="G29" i="18" l="1"/>
  <c r="F29" i="18"/>
  <c r="C29" i="18"/>
  <c r="C15" i="18"/>
  <c r="C10" i="18"/>
  <c r="C9" i="18"/>
  <c r="F53" i="16"/>
  <c r="B53" i="16"/>
  <c r="N37" i="16"/>
  <c r="J37" i="16"/>
  <c r="F37" i="16"/>
  <c r="B37" i="16"/>
  <c r="N21" i="16"/>
  <c r="J21" i="16"/>
  <c r="F21" i="16"/>
  <c r="B21" i="16"/>
  <c r="C22" i="16" s="1"/>
  <c r="C17" i="15"/>
  <c r="P18" i="15" s="1"/>
  <c r="C37" i="14"/>
  <c r="F53" i="11"/>
  <c r="B53" i="11"/>
  <c r="N37" i="11"/>
  <c r="J37" i="11"/>
  <c r="F37" i="11"/>
  <c r="B37" i="11"/>
  <c r="N21" i="11"/>
  <c r="J21" i="11"/>
  <c r="F21" i="11"/>
  <c r="B21" i="11"/>
  <c r="C17" i="10"/>
  <c r="C72" i="9"/>
  <c r="F53" i="6"/>
  <c r="G53" i="6" s="1"/>
  <c r="B53" i="6"/>
  <c r="C53" i="6" s="1"/>
  <c r="O37" i="6"/>
  <c r="N37" i="6"/>
  <c r="K37" i="6"/>
  <c r="J37" i="6"/>
  <c r="G37" i="6"/>
  <c r="F37" i="6"/>
  <c r="C37" i="6"/>
  <c r="B37" i="6"/>
  <c r="O21" i="6"/>
  <c r="N21" i="6"/>
  <c r="K21" i="6"/>
  <c r="J21" i="6"/>
  <c r="G21" i="6"/>
  <c r="F21" i="6"/>
  <c r="C21" i="6"/>
  <c r="B21" i="6"/>
  <c r="C17" i="5"/>
  <c r="C11" i="3"/>
  <c r="C15" i="2"/>
  <c r="B15" i="2"/>
  <c r="F24" i="2"/>
  <c r="N192" i="4"/>
  <c r="O192" i="4"/>
  <c r="N189" i="4"/>
  <c r="O189" i="4"/>
  <c r="N179" i="4"/>
  <c r="O179" i="4"/>
  <c r="N150" i="4"/>
  <c r="O150" i="4"/>
  <c r="N125" i="4"/>
  <c r="O125" i="4"/>
  <c r="N108" i="4"/>
  <c r="O108" i="4"/>
  <c r="N102" i="4"/>
  <c r="O102" i="4"/>
  <c r="N59" i="4"/>
  <c r="O59" i="4"/>
  <c r="N38" i="4"/>
  <c r="O38" i="4"/>
  <c r="N31" i="4"/>
  <c r="O31" i="4"/>
  <c r="C220" i="4"/>
  <c r="D100" i="19" l="1"/>
  <c r="C15" i="19" l="1"/>
  <c r="C28" i="18" l="1"/>
  <c r="F28" i="18"/>
  <c r="G28" i="18" s="1"/>
  <c r="D15" i="18"/>
  <c r="D10" i="18"/>
  <c r="D9" i="18"/>
  <c r="C11" i="22" l="1"/>
  <c r="F52" i="16"/>
  <c r="G53" i="16" s="1"/>
  <c r="B52" i="16"/>
  <c r="C53" i="16" s="1"/>
  <c r="N36" i="16"/>
  <c r="O37" i="16" s="1"/>
  <c r="J36" i="16"/>
  <c r="K37" i="16" s="1"/>
  <c r="F36" i="16"/>
  <c r="G37" i="16" s="1"/>
  <c r="B36" i="16"/>
  <c r="C37" i="16" s="1"/>
  <c r="N20" i="16"/>
  <c r="O21" i="16" s="1"/>
  <c r="J20" i="16"/>
  <c r="K21" i="16" s="1"/>
  <c r="F20" i="16"/>
  <c r="G21" i="16" s="1"/>
  <c r="B20" i="16"/>
  <c r="C21" i="16" s="1"/>
  <c r="D17" i="15"/>
  <c r="D37" i="14"/>
  <c r="F52" i="11" l="1"/>
  <c r="G53" i="11" s="1"/>
  <c r="B52" i="11"/>
  <c r="C53" i="11" s="1"/>
  <c r="N36" i="11"/>
  <c r="O37" i="11" s="1"/>
  <c r="J36" i="11"/>
  <c r="K37" i="11" s="1"/>
  <c r="F36" i="11"/>
  <c r="G37" i="11" s="1"/>
  <c r="B36" i="11"/>
  <c r="C37" i="11" s="1"/>
  <c r="N20" i="11"/>
  <c r="O21" i="11" s="1"/>
  <c r="N19" i="11"/>
  <c r="J20" i="11"/>
  <c r="K21" i="11" s="1"/>
  <c r="F20" i="11"/>
  <c r="G21" i="11" s="1"/>
  <c r="B20" i="11"/>
  <c r="C21" i="11" s="1"/>
  <c r="D17" i="10"/>
  <c r="D72" i="9"/>
  <c r="F52" i="6"/>
  <c r="B52" i="6"/>
  <c r="N36" i="6"/>
  <c r="J36" i="6"/>
  <c r="F36" i="6"/>
  <c r="B36" i="6"/>
  <c r="N20" i="6"/>
  <c r="J20" i="6"/>
  <c r="F20" i="6"/>
  <c r="B20" i="6"/>
  <c r="D17" i="5"/>
  <c r="B9" i="24"/>
  <c r="D11" i="3"/>
  <c r="C14" i="2"/>
  <c r="B14" i="2"/>
  <c r="G24" i="2"/>
  <c r="N156" i="4"/>
  <c r="O156" i="4"/>
  <c r="N70" i="4"/>
  <c r="O70" i="4"/>
  <c r="N12" i="4"/>
  <c r="O12" i="4"/>
  <c r="D220" i="4"/>
  <c r="O20" i="11" l="1"/>
  <c r="O8" i="10"/>
  <c r="N8" i="10"/>
  <c r="O7" i="10"/>
  <c r="C14" i="19" l="1"/>
  <c r="E100" i="19"/>
  <c r="C10" i="22" l="1"/>
  <c r="F27" i="18" l="1"/>
  <c r="G27" i="18" s="1"/>
  <c r="F26" i="18"/>
  <c r="C27" i="18"/>
  <c r="E15" i="18"/>
  <c r="E10" i="18"/>
  <c r="E9" i="18"/>
  <c r="E17" i="5" l="1"/>
  <c r="F17" i="5"/>
  <c r="G17" i="5"/>
  <c r="H17" i="5"/>
  <c r="I17" i="5"/>
  <c r="J17" i="5"/>
  <c r="F51" i="16" l="1"/>
  <c r="G52" i="16" s="1"/>
  <c r="B51" i="16"/>
  <c r="C52" i="16" s="1"/>
  <c r="N35" i="16"/>
  <c r="O36" i="16" s="1"/>
  <c r="J35" i="16"/>
  <c r="K36" i="16" s="1"/>
  <c r="F35" i="16"/>
  <c r="G36" i="16" s="1"/>
  <c r="B35" i="16"/>
  <c r="C36" i="16" s="1"/>
  <c r="N19" i="16"/>
  <c r="O20" i="16" s="1"/>
  <c r="J19" i="16"/>
  <c r="K20" i="16" s="1"/>
  <c r="F19" i="16"/>
  <c r="G20" i="16" s="1"/>
  <c r="B19" i="16"/>
  <c r="C20" i="16" s="1"/>
  <c r="E17" i="15"/>
  <c r="E37" i="14"/>
  <c r="F51" i="11"/>
  <c r="G52" i="11" s="1"/>
  <c r="B51" i="11"/>
  <c r="C52" i="11" s="1"/>
  <c r="N35" i="11"/>
  <c r="O36" i="11" s="1"/>
  <c r="J35" i="11"/>
  <c r="K36" i="11" s="1"/>
  <c r="F35" i="11"/>
  <c r="G36" i="11" s="1"/>
  <c r="B35" i="11"/>
  <c r="C36" i="11" s="1"/>
  <c r="J19" i="11"/>
  <c r="K20" i="11" s="1"/>
  <c r="F19" i="11"/>
  <c r="G20" i="11" s="1"/>
  <c r="E17" i="10"/>
  <c r="B19" i="11" s="1"/>
  <c r="C20" i="11" s="1"/>
  <c r="E72" i="9"/>
  <c r="E16" i="7"/>
  <c r="E15" i="7"/>
  <c r="E14" i="7"/>
  <c r="E13" i="7"/>
  <c r="E12" i="7"/>
  <c r="E10" i="7"/>
  <c r="E11" i="7"/>
  <c r="E7" i="7"/>
  <c r="E8" i="7"/>
  <c r="E9" i="7"/>
  <c r="F51" i="6"/>
  <c r="G52" i="6" s="1"/>
  <c r="B51" i="6"/>
  <c r="C52" i="6" s="1"/>
  <c r="N35" i="6"/>
  <c r="O36" i="6" s="1"/>
  <c r="J35" i="6"/>
  <c r="K36" i="6" s="1"/>
  <c r="F35" i="6"/>
  <c r="G36" i="6" s="1"/>
  <c r="B35" i="6"/>
  <c r="C36" i="6" s="1"/>
  <c r="N19" i="6"/>
  <c r="O20" i="6" s="1"/>
  <c r="J19" i="6"/>
  <c r="K20" i="6" s="1"/>
  <c r="F19" i="6"/>
  <c r="G20" i="6" s="1"/>
  <c r="B19" i="6"/>
  <c r="C20" i="6" s="1"/>
  <c r="E220" i="4"/>
  <c r="E11" i="3"/>
  <c r="H24" i="2"/>
  <c r="C13" i="2"/>
  <c r="N217" i="4" l="1"/>
  <c r="O217" i="4"/>
  <c r="N216" i="4"/>
  <c r="O216" i="4"/>
  <c r="N157" i="4"/>
  <c r="O157" i="4"/>
  <c r="N129" i="4"/>
  <c r="O129" i="4"/>
  <c r="N120" i="4"/>
  <c r="O120" i="4"/>
  <c r="N82" i="4"/>
  <c r="O82" i="4"/>
  <c r="N58" i="4"/>
  <c r="O58" i="4"/>
  <c r="N30" i="4"/>
  <c r="O30" i="4"/>
  <c r="N23" i="4"/>
  <c r="O23" i="4"/>
  <c r="F100" i="19" l="1"/>
  <c r="C13" i="19" l="1"/>
  <c r="C74" i="23"/>
  <c r="B74" i="23"/>
  <c r="F9" i="18" l="1"/>
  <c r="G26" i="18"/>
  <c r="C26" i="18"/>
  <c r="F15" i="18"/>
  <c r="F10" i="18"/>
  <c r="C9" i="22" l="1"/>
  <c r="F50" i="16"/>
  <c r="G51" i="16" s="1"/>
  <c r="B50" i="16"/>
  <c r="C51" i="16" s="1"/>
  <c r="N34" i="16"/>
  <c r="O35" i="16" s="1"/>
  <c r="J34" i="16"/>
  <c r="K35" i="16" s="1"/>
  <c r="F34" i="16"/>
  <c r="G35" i="16" s="1"/>
  <c r="B34" i="16"/>
  <c r="C35" i="16" s="1"/>
  <c r="N18" i="16"/>
  <c r="O19" i="16" s="1"/>
  <c r="J18" i="16"/>
  <c r="K19" i="16" s="1"/>
  <c r="F18" i="16"/>
  <c r="G19" i="16" s="1"/>
  <c r="B18" i="16"/>
  <c r="C19" i="16" s="1"/>
  <c r="F17" i="15"/>
  <c r="F37" i="14"/>
  <c r="F50" i="11"/>
  <c r="G51" i="11" s="1"/>
  <c r="B50" i="11"/>
  <c r="C51" i="11" s="1"/>
  <c r="N34" i="11"/>
  <c r="O35" i="11" s="1"/>
  <c r="J34" i="11"/>
  <c r="K35" i="11" s="1"/>
  <c r="F34" i="11"/>
  <c r="G35" i="11" s="1"/>
  <c r="B34" i="11"/>
  <c r="C35" i="11" s="1"/>
  <c r="N18" i="11"/>
  <c r="O19" i="11" s="1"/>
  <c r="J18" i="11"/>
  <c r="K19" i="11" s="1"/>
  <c r="F18" i="11"/>
  <c r="G19" i="11" s="1"/>
  <c r="F17" i="10"/>
  <c r="F72" i="9"/>
  <c r="F50" i="6"/>
  <c r="G51" i="6" s="1"/>
  <c r="B50" i="6"/>
  <c r="C51" i="6" s="1"/>
  <c r="N34" i="6"/>
  <c r="O35" i="6" s="1"/>
  <c r="J34" i="6"/>
  <c r="K35" i="6" s="1"/>
  <c r="F34" i="6"/>
  <c r="G35" i="6" s="1"/>
  <c r="B34" i="6"/>
  <c r="C35" i="6" s="1"/>
  <c r="N18" i="6"/>
  <c r="O19" i="6" s="1"/>
  <c r="J18" i="6"/>
  <c r="K19" i="6" s="1"/>
  <c r="F18" i="6"/>
  <c r="G19" i="6" s="1"/>
  <c r="B18" i="6"/>
  <c r="C19" i="6" s="1"/>
  <c r="N208" i="4"/>
  <c r="O208" i="4"/>
  <c r="N194" i="4"/>
  <c r="O194" i="4"/>
  <c r="N103" i="4"/>
  <c r="O103" i="4"/>
  <c r="N81" i="4"/>
  <c r="O81" i="4"/>
  <c r="O8" i="4"/>
  <c r="N8" i="4"/>
  <c r="F220" i="4"/>
  <c r="F11" i="3"/>
  <c r="I24" i="2"/>
  <c r="C12" i="2"/>
  <c r="B18" i="11" l="1"/>
  <c r="C19" i="11" s="1"/>
  <c r="C12" i="19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D4" i="23"/>
  <c r="Y47" i="19"/>
  <c r="Y39" i="19"/>
  <c r="Y33" i="19"/>
  <c r="Y27" i="19"/>
  <c r="D74" i="23" l="1"/>
  <c r="C8" i="22"/>
  <c r="G25" i="18" l="1"/>
  <c r="F25" i="18"/>
  <c r="C25" i="18"/>
  <c r="G15" i="18"/>
  <c r="G10" i="18"/>
  <c r="G9" i="18"/>
  <c r="F49" i="16" l="1"/>
  <c r="G50" i="16" s="1"/>
  <c r="B49" i="16"/>
  <c r="C50" i="16" s="1"/>
  <c r="N33" i="16"/>
  <c r="O34" i="16" s="1"/>
  <c r="J33" i="16"/>
  <c r="K34" i="16" s="1"/>
  <c r="F33" i="16"/>
  <c r="G34" i="16" s="1"/>
  <c r="B33" i="16"/>
  <c r="C34" i="16" s="1"/>
  <c r="N17" i="16"/>
  <c r="O18" i="16" s="1"/>
  <c r="J17" i="16"/>
  <c r="K18" i="16" s="1"/>
  <c r="F17" i="16"/>
  <c r="G18" i="16" s="1"/>
  <c r="B17" i="16"/>
  <c r="C18" i="16" s="1"/>
  <c r="G17" i="15"/>
  <c r="G37" i="14"/>
  <c r="F49" i="11"/>
  <c r="G50" i="11" s="1"/>
  <c r="B49" i="11"/>
  <c r="C50" i="11" s="1"/>
  <c r="N33" i="11"/>
  <c r="O34" i="11" s="1"/>
  <c r="J33" i="11"/>
  <c r="K34" i="11" s="1"/>
  <c r="F33" i="11"/>
  <c r="G34" i="11" s="1"/>
  <c r="B33" i="11"/>
  <c r="C34" i="11" s="1"/>
  <c r="N17" i="11"/>
  <c r="O18" i="11" s="1"/>
  <c r="J17" i="11"/>
  <c r="K18" i="11" s="1"/>
  <c r="F17" i="11"/>
  <c r="G18" i="11" s="1"/>
  <c r="B17" i="11"/>
  <c r="C18" i="11" s="1"/>
  <c r="G17" i="10"/>
  <c r="G72" i="9"/>
  <c r="B17" i="7"/>
  <c r="C17" i="7"/>
  <c r="D17" i="7"/>
  <c r="F49" i="6"/>
  <c r="G50" i="6" s="1"/>
  <c r="B49" i="6"/>
  <c r="C50" i="6" s="1"/>
  <c r="N33" i="6"/>
  <c r="O34" i="6" s="1"/>
  <c r="J33" i="6"/>
  <c r="K34" i="6" s="1"/>
  <c r="F33" i="6"/>
  <c r="G34" i="6" s="1"/>
  <c r="B33" i="6"/>
  <c r="C34" i="6" s="1"/>
  <c r="N17" i="6"/>
  <c r="O18" i="6" s="1"/>
  <c r="J17" i="6"/>
  <c r="K18" i="6" s="1"/>
  <c r="F17" i="6"/>
  <c r="G18" i="6" s="1"/>
  <c r="B17" i="6"/>
  <c r="C18" i="6" s="1"/>
  <c r="G220" i="4"/>
  <c r="G11" i="3"/>
  <c r="C11" i="2"/>
  <c r="J24" i="2"/>
  <c r="F32" i="18" l="1"/>
  <c r="F31" i="18"/>
  <c r="H100" i="19" l="1"/>
  <c r="C11" i="19" l="1"/>
  <c r="B14" i="22" l="1"/>
  <c r="C7" i="22"/>
  <c r="G24" i="18"/>
  <c r="C24" i="18"/>
  <c r="F24" i="18"/>
  <c r="H15" i="18"/>
  <c r="H10" i="18"/>
  <c r="H9" i="18"/>
  <c r="F48" i="16"/>
  <c r="G49" i="16" s="1"/>
  <c r="B48" i="16"/>
  <c r="C49" i="16" s="1"/>
  <c r="N32" i="16"/>
  <c r="O33" i="16" s="1"/>
  <c r="J32" i="16"/>
  <c r="K33" i="16" s="1"/>
  <c r="F32" i="16"/>
  <c r="G33" i="16" s="1"/>
  <c r="B32" i="16"/>
  <c r="C33" i="16" s="1"/>
  <c r="N16" i="16"/>
  <c r="O17" i="16" s="1"/>
  <c r="J16" i="16"/>
  <c r="K17" i="16" s="1"/>
  <c r="F16" i="16"/>
  <c r="G17" i="16" s="1"/>
  <c r="B16" i="16"/>
  <c r="C17" i="16" s="1"/>
  <c r="H17" i="15"/>
  <c r="H37" i="14"/>
  <c r="F48" i="11"/>
  <c r="G49" i="11" s="1"/>
  <c r="B48" i="11"/>
  <c r="C49" i="11" s="1"/>
  <c r="N32" i="11"/>
  <c r="O33" i="11" s="1"/>
  <c r="J32" i="11"/>
  <c r="K33" i="11" s="1"/>
  <c r="F32" i="11"/>
  <c r="G33" i="11" s="1"/>
  <c r="B32" i="11"/>
  <c r="C33" i="11" s="1"/>
  <c r="N16" i="11"/>
  <c r="O17" i="11" s="1"/>
  <c r="J16" i="11"/>
  <c r="K17" i="11" s="1"/>
  <c r="J15" i="11"/>
  <c r="F16" i="11"/>
  <c r="G17" i="11" s="1"/>
  <c r="H17" i="10"/>
  <c r="B16" i="11" s="1"/>
  <c r="C17" i="11" s="1"/>
  <c r="I17" i="10"/>
  <c r="J17" i="10"/>
  <c r="H72" i="9"/>
  <c r="K16" i="11" l="1"/>
  <c r="F48" i="6"/>
  <c r="G49" i="6" s="1"/>
  <c r="B48" i="6"/>
  <c r="C49" i="6" s="1"/>
  <c r="N32" i="6"/>
  <c r="O33" i="6" s="1"/>
  <c r="J32" i="6"/>
  <c r="K33" i="6" s="1"/>
  <c r="F32" i="6"/>
  <c r="G33" i="6" s="1"/>
  <c r="B32" i="6"/>
  <c r="C33" i="6" s="1"/>
  <c r="N16" i="6"/>
  <c r="O17" i="6" s="1"/>
  <c r="J16" i="6"/>
  <c r="K17" i="6" s="1"/>
  <c r="F16" i="6"/>
  <c r="G17" i="6" s="1"/>
  <c r="B16" i="6"/>
  <c r="C17" i="6" s="1"/>
  <c r="H220" i="4"/>
  <c r="H11" i="3"/>
  <c r="K24" i="2" l="1"/>
  <c r="C10" i="2"/>
  <c r="C6" i="22" l="1"/>
  <c r="C5" i="22"/>
  <c r="C4" i="22"/>
  <c r="F47" i="11" l="1"/>
  <c r="G48" i="11" s="1"/>
  <c r="F46" i="11"/>
  <c r="B47" i="11"/>
  <c r="B46" i="11"/>
  <c r="C47" i="11" l="1"/>
  <c r="C48" i="11"/>
  <c r="G47" i="11"/>
  <c r="N115" i="19"/>
  <c r="O109" i="19" s="1"/>
  <c r="C10" i="19"/>
  <c r="I100" i="19"/>
  <c r="O112" i="19" l="1"/>
  <c r="O108" i="19"/>
  <c r="O105" i="19"/>
  <c r="O111" i="19"/>
  <c r="O107" i="19"/>
  <c r="O110" i="19"/>
  <c r="O106" i="19"/>
  <c r="O114" i="19"/>
  <c r="O113" i="19"/>
  <c r="G23" i="18"/>
  <c r="F23" i="18"/>
  <c r="C23" i="18"/>
  <c r="I15" i="18"/>
  <c r="I10" i="18"/>
  <c r="I9" i="18"/>
  <c r="F47" i="16" l="1"/>
  <c r="B47" i="16"/>
  <c r="C48" i="16" s="1"/>
  <c r="F46" i="16"/>
  <c r="B46" i="16"/>
  <c r="N31" i="16"/>
  <c r="O32" i="16" s="1"/>
  <c r="J31" i="16"/>
  <c r="K32" i="16" s="1"/>
  <c r="F31" i="16"/>
  <c r="G32" i="16" s="1"/>
  <c r="B31" i="16"/>
  <c r="N15" i="16"/>
  <c r="J15" i="16"/>
  <c r="K16" i="16" s="1"/>
  <c r="F15" i="16"/>
  <c r="G16" i="16" s="1"/>
  <c r="B15" i="16"/>
  <c r="N30" i="16"/>
  <c r="O31" i="16" s="1"/>
  <c r="J30" i="16"/>
  <c r="F30" i="16"/>
  <c r="G31" i="16" s="1"/>
  <c r="B30" i="16"/>
  <c r="N14" i="16"/>
  <c r="J14" i="16"/>
  <c r="F14" i="16"/>
  <c r="G15" i="16" s="1"/>
  <c r="B14" i="16"/>
  <c r="I17" i="15"/>
  <c r="I37" i="14"/>
  <c r="N5" i="14"/>
  <c r="O5" i="14"/>
  <c r="N6" i="14"/>
  <c r="O6" i="14"/>
  <c r="N7" i="14"/>
  <c r="O7" i="14"/>
  <c r="N8" i="14"/>
  <c r="O8" i="14"/>
  <c r="N9" i="14"/>
  <c r="O9" i="14"/>
  <c r="N10" i="14"/>
  <c r="O10" i="14"/>
  <c r="N11" i="14"/>
  <c r="O11" i="14"/>
  <c r="N12" i="14"/>
  <c r="O12" i="14"/>
  <c r="N13" i="14"/>
  <c r="O13" i="14"/>
  <c r="N14" i="14"/>
  <c r="O14" i="14"/>
  <c r="N15" i="14"/>
  <c r="O15" i="14"/>
  <c r="N16" i="14"/>
  <c r="O16" i="14"/>
  <c r="N17" i="14"/>
  <c r="O17" i="14"/>
  <c r="N18" i="14"/>
  <c r="O18" i="14"/>
  <c r="N19" i="14"/>
  <c r="O19" i="14"/>
  <c r="N20" i="14"/>
  <c r="O20" i="14"/>
  <c r="N21" i="14"/>
  <c r="O21" i="14"/>
  <c r="N22" i="14"/>
  <c r="O22" i="14"/>
  <c r="N23" i="14"/>
  <c r="O23" i="14"/>
  <c r="N24" i="14"/>
  <c r="O24" i="14"/>
  <c r="N25" i="14"/>
  <c r="O25" i="14"/>
  <c r="N26" i="14"/>
  <c r="O26" i="14"/>
  <c r="N27" i="14"/>
  <c r="O27" i="14"/>
  <c r="N28" i="14"/>
  <c r="O28" i="14"/>
  <c r="N29" i="14"/>
  <c r="O29" i="14"/>
  <c r="N30" i="14"/>
  <c r="O30" i="14"/>
  <c r="N31" i="14"/>
  <c r="O31" i="14"/>
  <c r="N32" i="14"/>
  <c r="O32" i="14"/>
  <c r="N33" i="14"/>
  <c r="O33" i="14"/>
  <c r="N34" i="14"/>
  <c r="O34" i="14"/>
  <c r="N35" i="14"/>
  <c r="O35" i="14"/>
  <c r="N36" i="14"/>
  <c r="O36" i="14"/>
  <c r="N31" i="11"/>
  <c r="O32" i="11" s="1"/>
  <c r="J31" i="11"/>
  <c r="K32" i="11" s="1"/>
  <c r="F31" i="11"/>
  <c r="G32" i="11" s="1"/>
  <c r="B31" i="11"/>
  <c r="N15" i="11"/>
  <c r="O16" i="11" s="1"/>
  <c r="F15" i="11"/>
  <c r="G16" i="11" s="1"/>
  <c r="B15" i="11"/>
  <c r="N30" i="11"/>
  <c r="J30" i="11"/>
  <c r="F30" i="11"/>
  <c r="B30" i="11"/>
  <c r="N14" i="11"/>
  <c r="J14" i="11"/>
  <c r="F14" i="11"/>
  <c r="B14" i="11"/>
  <c r="I72" i="9"/>
  <c r="B25" i="8"/>
  <c r="C47" i="16" l="1"/>
  <c r="G15" i="11"/>
  <c r="K31" i="16"/>
  <c r="K15" i="16"/>
  <c r="G31" i="11"/>
  <c r="O15" i="16"/>
  <c r="O16" i="16"/>
  <c r="C15" i="16"/>
  <c r="C16" i="16"/>
  <c r="C31" i="16"/>
  <c r="C32" i="16"/>
  <c r="G47" i="16"/>
  <c r="G48" i="16"/>
  <c r="C15" i="11"/>
  <c r="C16" i="11"/>
  <c r="C31" i="11"/>
  <c r="C32" i="11"/>
  <c r="O31" i="11"/>
  <c r="K15" i="11"/>
  <c r="O15" i="11"/>
  <c r="K31" i="11"/>
  <c r="F47" i="6"/>
  <c r="G48" i="6" s="1"/>
  <c r="B47" i="6"/>
  <c r="C48" i="6" s="1"/>
  <c r="N31" i="6"/>
  <c r="J31" i="6"/>
  <c r="K32" i="6" s="1"/>
  <c r="F31" i="6"/>
  <c r="G32" i="6" s="1"/>
  <c r="B31" i="6"/>
  <c r="C32" i="6" s="1"/>
  <c r="N15" i="6"/>
  <c r="J15" i="6"/>
  <c r="F15" i="6"/>
  <c r="G16" i="6" s="1"/>
  <c r="F46" i="6"/>
  <c r="B46" i="6"/>
  <c r="N30" i="6"/>
  <c r="J30" i="6"/>
  <c r="F30" i="6"/>
  <c r="B30" i="6"/>
  <c r="N14" i="6"/>
  <c r="J14" i="6"/>
  <c r="F14" i="6"/>
  <c r="K31" i="6" l="1"/>
  <c r="O31" i="6"/>
  <c r="O32" i="6"/>
  <c r="K15" i="6"/>
  <c r="K16" i="6"/>
  <c r="O15" i="6"/>
  <c r="O16" i="6"/>
  <c r="G47" i="6"/>
  <c r="G31" i="6"/>
  <c r="C47" i="6"/>
  <c r="G15" i="6"/>
  <c r="C31" i="6"/>
  <c r="B15" i="6"/>
  <c r="I220" i="4"/>
  <c r="C16" i="6" l="1"/>
  <c r="I11" i="3"/>
  <c r="C9" i="2"/>
  <c r="L24" i="2"/>
  <c r="F45" i="16" l="1"/>
  <c r="B45" i="16"/>
  <c r="F44" i="16"/>
  <c r="B44" i="16"/>
  <c r="F43" i="16"/>
  <c r="G43" i="16" s="1"/>
  <c r="B43" i="16"/>
  <c r="C43" i="16" s="1"/>
  <c r="E41" i="16"/>
  <c r="A41" i="16"/>
  <c r="N29" i="16"/>
  <c r="O30" i="16" s="1"/>
  <c r="J29" i="16"/>
  <c r="K30" i="16" s="1"/>
  <c r="F29" i="16"/>
  <c r="B29" i="16"/>
  <c r="N28" i="16"/>
  <c r="J28" i="16"/>
  <c r="F28" i="16"/>
  <c r="B28" i="16"/>
  <c r="N27" i="16"/>
  <c r="J27" i="16"/>
  <c r="K28" i="16" s="1"/>
  <c r="F27" i="16"/>
  <c r="B27" i="16"/>
  <c r="C27" i="16" s="1"/>
  <c r="M25" i="16"/>
  <c r="I25" i="16"/>
  <c r="E25" i="16"/>
  <c r="A25" i="16"/>
  <c r="N13" i="16"/>
  <c r="J13" i="16"/>
  <c r="F13" i="16"/>
  <c r="B13" i="16"/>
  <c r="N12" i="16"/>
  <c r="J12" i="16"/>
  <c r="F12" i="16"/>
  <c r="B12" i="16"/>
  <c r="C12" i="16" s="1"/>
  <c r="N11" i="16"/>
  <c r="J11" i="16"/>
  <c r="K11" i="16" s="1"/>
  <c r="F11" i="16"/>
  <c r="G11" i="16" s="1"/>
  <c r="B11" i="16"/>
  <c r="C11" i="16" s="1"/>
  <c r="M9" i="16"/>
  <c r="I9" i="16"/>
  <c r="E9" i="16"/>
  <c r="A9" i="16"/>
  <c r="F45" i="11"/>
  <c r="G46" i="11" s="1"/>
  <c r="B45" i="11"/>
  <c r="F44" i="11"/>
  <c r="B44" i="11"/>
  <c r="F43" i="11"/>
  <c r="B43" i="11"/>
  <c r="C43" i="11" s="1"/>
  <c r="E41" i="11"/>
  <c r="A41" i="11"/>
  <c r="N29" i="11"/>
  <c r="O30" i="11" s="1"/>
  <c r="J29" i="11"/>
  <c r="F29" i="11"/>
  <c r="G30" i="11" s="1"/>
  <c r="B29" i="11"/>
  <c r="C30" i="11" s="1"/>
  <c r="N28" i="11"/>
  <c r="J28" i="11"/>
  <c r="F28" i="11"/>
  <c r="B28" i="11"/>
  <c r="N27" i="11"/>
  <c r="O27" i="11" s="1"/>
  <c r="J27" i="11"/>
  <c r="K27" i="11" s="1"/>
  <c r="F27" i="11"/>
  <c r="G27" i="11" s="1"/>
  <c r="B27" i="11"/>
  <c r="C27" i="11" s="1"/>
  <c r="M25" i="11"/>
  <c r="I25" i="11"/>
  <c r="E25" i="11"/>
  <c r="A25" i="11"/>
  <c r="N13" i="11"/>
  <c r="O14" i="11" s="1"/>
  <c r="J13" i="11"/>
  <c r="K14" i="11" s="1"/>
  <c r="F13" i="11"/>
  <c r="G14" i="11" s="1"/>
  <c r="N12" i="11"/>
  <c r="J12" i="11"/>
  <c r="F12" i="11"/>
  <c r="B12" i="11"/>
  <c r="N11" i="11"/>
  <c r="O11" i="11" s="1"/>
  <c r="J11" i="11"/>
  <c r="K11" i="11" s="1"/>
  <c r="F11" i="11"/>
  <c r="M9" i="11"/>
  <c r="I9" i="11"/>
  <c r="E9" i="11"/>
  <c r="A9" i="11"/>
  <c r="F45" i="6"/>
  <c r="G46" i="6" s="1"/>
  <c r="B45" i="6"/>
  <c r="F44" i="6"/>
  <c r="B44" i="6"/>
  <c r="F43" i="6"/>
  <c r="G43" i="6" s="1"/>
  <c r="B43" i="6"/>
  <c r="E41" i="6"/>
  <c r="A41" i="6"/>
  <c r="N29" i="6"/>
  <c r="O29" i="6" s="1"/>
  <c r="J29" i="6"/>
  <c r="K30" i="6" s="1"/>
  <c r="F29" i="6"/>
  <c r="G30" i="6" s="1"/>
  <c r="B29" i="6"/>
  <c r="C30" i="6" s="1"/>
  <c r="N28" i="6"/>
  <c r="J28" i="6"/>
  <c r="F28" i="6"/>
  <c r="B28" i="6"/>
  <c r="N27" i="6"/>
  <c r="O27" i="6" s="1"/>
  <c r="J27" i="6"/>
  <c r="F27" i="6"/>
  <c r="G27" i="6" s="1"/>
  <c r="B27" i="6"/>
  <c r="C27" i="6" s="1"/>
  <c r="M25" i="6"/>
  <c r="I25" i="6"/>
  <c r="E25" i="6"/>
  <c r="A25" i="6"/>
  <c r="N13" i="6"/>
  <c r="O14" i="6" s="1"/>
  <c r="J13" i="6"/>
  <c r="K14" i="6" s="1"/>
  <c r="F13" i="6"/>
  <c r="G13" i="6" s="1"/>
  <c r="N12" i="6"/>
  <c r="J12" i="6"/>
  <c r="F12" i="6"/>
  <c r="B12" i="6"/>
  <c r="N11" i="6"/>
  <c r="O12" i="6" s="1"/>
  <c r="J11" i="6"/>
  <c r="F11" i="6"/>
  <c r="M9" i="6"/>
  <c r="I9" i="6"/>
  <c r="E9" i="6"/>
  <c r="A9" i="6"/>
  <c r="B13" i="20"/>
  <c r="M100" i="19"/>
  <c r="B6" i="19" s="1"/>
  <c r="L100" i="19"/>
  <c r="K100" i="19"/>
  <c r="J100" i="19"/>
  <c r="O100" i="19" s="1"/>
  <c r="O99" i="19"/>
  <c r="N99" i="19"/>
  <c r="O98" i="19"/>
  <c r="N98" i="19"/>
  <c r="O97" i="19"/>
  <c r="N97" i="19"/>
  <c r="O96" i="19"/>
  <c r="N96" i="19"/>
  <c r="O95" i="19"/>
  <c r="N95" i="19"/>
  <c r="O94" i="19"/>
  <c r="N94" i="19"/>
  <c r="O93" i="19"/>
  <c r="N93" i="19"/>
  <c r="O92" i="19"/>
  <c r="N92" i="19"/>
  <c r="O91" i="19"/>
  <c r="N91" i="19"/>
  <c r="O90" i="19"/>
  <c r="N90" i="19"/>
  <c r="O89" i="19"/>
  <c r="N89" i="19"/>
  <c r="O88" i="19"/>
  <c r="N88" i="19"/>
  <c r="O87" i="19"/>
  <c r="N87" i="19"/>
  <c r="O86" i="19"/>
  <c r="N86" i="19"/>
  <c r="O85" i="19"/>
  <c r="N85" i="19"/>
  <c r="O84" i="19"/>
  <c r="N84" i="19"/>
  <c r="O83" i="19"/>
  <c r="N83" i="19"/>
  <c r="O82" i="19"/>
  <c r="N82" i="19"/>
  <c r="O81" i="19"/>
  <c r="N81" i="19"/>
  <c r="O80" i="19"/>
  <c r="N80" i="19"/>
  <c r="O79" i="19"/>
  <c r="N79" i="19"/>
  <c r="O78" i="19"/>
  <c r="N78" i="19"/>
  <c r="O77" i="19"/>
  <c r="N77" i="19"/>
  <c r="O76" i="19"/>
  <c r="N76" i="19"/>
  <c r="O75" i="19"/>
  <c r="N75" i="19"/>
  <c r="O74" i="19"/>
  <c r="N74" i="19"/>
  <c r="O73" i="19"/>
  <c r="N73" i="19"/>
  <c r="O72" i="19"/>
  <c r="N72" i="19"/>
  <c r="O71" i="19"/>
  <c r="N71" i="19"/>
  <c r="O70" i="19"/>
  <c r="N70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3" i="19"/>
  <c r="N63" i="19"/>
  <c r="O62" i="19"/>
  <c r="N62" i="19"/>
  <c r="O61" i="19"/>
  <c r="N61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4" i="19"/>
  <c r="N54" i="19"/>
  <c r="O53" i="19"/>
  <c r="N53" i="19"/>
  <c r="O52" i="19"/>
  <c r="N52" i="19"/>
  <c r="O51" i="19"/>
  <c r="N51" i="19"/>
  <c r="O50" i="19"/>
  <c r="N50" i="19"/>
  <c r="AG49" i="19"/>
  <c r="AF49" i="19"/>
  <c r="O49" i="19"/>
  <c r="N49" i="19"/>
  <c r="AG48" i="19"/>
  <c r="AF48" i="19"/>
  <c r="O48" i="19"/>
  <c r="N48" i="19"/>
  <c r="AE47" i="19"/>
  <c r="AD47" i="19"/>
  <c r="X47" i="19"/>
  <c r="W47" i="19"/>
  <c r="V47" i="19"/>
  <c r="T47" i="19"/>
  <c r="O47" i="19"/>
  <c r="N47" i="19"/>
  <c r="AG46" i="19"/>
  <c r="AF46" i="19"/>
  <c r="O46" i="19"/>
  <c r="N46" i="19"/>
  <c r="O45" i="19"/>
  <c r="N45" i="19"/>
  <c r="O44" i="19"/>
  <c r="N44" i="19"/>
  <c r="AG43" i="19"/>
  <c r="AF43" i="19"/>
  <c r="O43" i="19"/>
  <c r="N43" i="19"/>
  <c r="AG42" i="19"/>
  <c r="AF42" i="19"/>
  <c r="O42" i="19"/>
  <c r="N42" i="19"/>
  <c r="AG41" i="19"/>
  <c r="AF41" i="19"/>
  <c r="O41" i="19"/>
  <c r="N41" i="19"/>
  <c r="AG40" i="19"/>
  <c r="AF40" i="19"/>
  <c r="O40" i="19"/>
  <c r="N40" i="19"/>
  <c r="AE39" i="19"/>
  <c r="AD39" i="19"/>
  <c r="X39" i="19"/>
  <c r="W39" i="19"/>
  <c r="V39" i="19"/>
  <c r="U39" i="19"/>
  <c r="T39" i="19"/>
  <c r="O39" i="19"/>
  <c r="N39" i="19"/>
  <c r="AG38" i="19"/>
  <c r="AF38" i="19"/>
  <c r="O38" i="19"/>
  <c r="N38" i="19"/>
  <c r="O37" i="19"/>
  <c r="N37" i="19"/>
  <c r="O36" i="19"/>
  <c r="N36" i="19"/>
  <c r="AG35" i="19"/>
  <c r="AF35" i="19"/>
  <c r="O35" i="19"/>
  <c r="N35" i="19"/>
  <c r="AG34" i="19"/>
  <c r="AF34" i="19"/>
  <c r="O34" i="19"/>
  <c r="N34" i="19"/>
  <c r="AE33" i="19"/>
  <c r="AD33" i="19"/>
  <c r="X33" i="19"/>
  <c r="W33" i="19"/>
  <c r="V33" i="19"/>
  <c r="U33" i="19"/>
  <c r="T33" i="19"/>
  <c r="O33" i="19"/>
  <c r="N33" i="19"/>
  <c r="AG32" i="19"/>
  <c r="AF32" i="19"/>
  <c r="O32" i="19"/>
  <c r="N32" i="19"/>
  <c r="O31" i="19"/>
  <c r="N31" i="19"/>
  <c r="O30" i="19"/>
  <c r="N30" i="19"/>
  <c r="AG29" i="19"/>
  <c r="AF29" i="19"/>
  <c r="O29" i="19"/>
  <c r="N29" i="19"/>
  <c r="AG28" i="19"/>
  <c r="AF28" i="19"/>
  <c r="O28" i="19"/>
  <c r="N28" i="19"/>
  <c r="AE27" i="19"/>
  <c r="AD27" i="19"/>
  <c r="AB27" i="19"/>
  <c r="X27" i="19"/>
  <c r="V27" i="19"/>
  <c r="U27" i="19"/>
  <c r="T27" i="19"/>
  <c r="O27" i="19"/>
  <c r="N27" i="19"/>
  <c r="O26" i="19"/>
  <c r="N26" i="19"/>
  <c r="O25" i="19"/>
  <c r="N25" i="19"/>
  <c r="AG24" i="19"/>
  <c r="AF24" i="19"/>
  <c r="O24" i="19"/>
  <c r="N24" i="19"/>
  <c r="O23" i="19"/>
  <c r="N23" i="19"/>
  <c r="O22" i="19"/>
  <c r="N22" i="19"/>
  <c r="B18" i="19"/>
  <c r="C9" i="19"/>
  <c r="C8" i="19"/>
  <c r="G63" i="18"/>
  <c r="F63" i="18"/>
  <c r="E63" i="18"/>
  <c r="D63" i="18"/>
  <c r="C63" i="18"/>
  <c r="B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G48" i="18"/>
  <c r="F48" i="18"/>
  <c r="E48" i="18"/>
  <c r="D48" i="18"/>
  <c r="C48" i="18"/>
  <c r="B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B30" i="18"/>
  <c r="B29" i="18"/>
  <c r="B28" i="18"/>
  <c r="B27" i="18"/>
  <c r="B25" i="18"/>
  <c r="B24" i="18"/>
  <c r="B23" i="18"/>
  <c r="F22" i="18"/>
  <c r="G22" i="18" s="1"/>
  <c r="F21" i="18"/>
  <c r="F20" i="18"/>
  <c r="G20" i="18" s="1"/>
  <c r="F19" i="18"/>
  <c r="L15" i="18"/>
  <c r="K15" i="18"/>
  <c r="O13" i="18"/>
  <c r="N13" i="18"/>
  <c r="M10" i="18"/>
  <c r="M15" i="18" s="1"/>
  <c r="L10" i="18"/>
  <c r="K10" i="18"/>
  <c r="J10" i="18"/>
  <c r="O10" i="18" s="1"/>
  <c r="P9" i="18"/>
  <c r="M9" i="18"/>
  <c r="B19" i="18" s="1"/>
  <c r="L9" i="18"/>
  <c r="O9" i="18" s="1"/>
  <c r="K9" i="18"/>
  <c r="B21" i="18" s="1"/>
  <c r="J9" i="18"/>
  <c r="B22" i="18" s="1"/>
  <c r="C22" i="18" s="1"/>
  <c r="O8" i="18"/>
  <c r="N8" i="18"/>
  <c r="O7" i="18"/>
  <c r="N7" i="18"/>
  <c r="N6" i="18"/>
  <c r="C46" i="16"/>
  <c r="G27" i="16"/>
  <c r="O11" i="16"/>
  <c r="M17" i="15"/>
  <c r="L17" i="15"/>
  <c r="K17" i="15"/>
  <c r="J17" i="15"/>
  <c r="O16" i="15"/>
  <c r="N16" i="15"/>
  <c r="O15" i="15"/>
  <c r="N15" i="15"/>
  <c r="O14" i="15"/>
  <c r="N14" i="15"/>
  <c r="O13" i="15"/>
  <c r="N13" i="15"/>
  <c r="O12" i="15"/>
  <c r="N12" i="15"/>
  <c r="O11" i="15"/>
  <c r="N11" i="15"/>
  <c r="O10" i="15"/>
  <c r="N10" i="15"/>
  <c r="O9" i="15"/>
  <c r="N9" i="15"/>
  <c r="O8" i="15"/>
  <c r="N8" i="15"/>
  <c r="O7" i="15"/>
  <c r="N7" i="15"/>
  <c r="M37" i="14"/>
  <c r="L37" i="14"/>
  <c r="K37" i="14"/>
  <c r="J37" i="14"/>
  <c r="O37" i="14" s="1"/>
  <c r="K23" i="13"/>
  <c r="J23" i="13"/>
  <c r="I23" i="13"/>
  <c r="H23" i="13"/>
  <c r="G23" i="13"/>
  <c r="F23" i="13"/>
  <c r="E23" i="13"/>
  <c r="D23" i="13"/>
  <c r="C23" i="13"/>
  <c r="B23" i="13"/>
  <c r="K22" i="13"/>
  <c r="J22" i="13"/>
  <c r="I22" i="13"/>
  <c r="H22" i="13"/>
  <c r="G22" i="13"/>
  <c r="F22" i="13"/>
  <c r="E22" i="13"/>
  <c r="D22" i="13"/>
  <c r="C22" i="13"/>
  <c r="B22" i="13"/>
  <c r="D17" i="12"/>
  <c r="C17" i="12"/>
  <c r="B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C46" i="11"/>
  <c r="G43" i="11"/>
  <c r="P18" i="10"/>
  <c r="M17" i="10"/>
  <c r="B11" i="11" s="1"/>
  <c r="L17" i="10"/>
  <c r="K17" i="10"/>
  <c r="B13" i="11" s="1"/>
  <c r="O16" i="10"/>
  <c r="N16" i="10"/>
  <c r="O15" i="10"/>
  <c r="N15" i="10"/>
  <c r="O14" i="10"/>
  <c r="N14" i="10"/>
  <c r="O13" i="10"/>
  <c r="N13" i="10"/>
  <c r="O12" i="10"/>
  <c r="N12" i="10"/>
  <c r="O11" i="10"/>
  <c r="N11" i="10"/>
  <c r="O10" i="10"/>
  <c r="N10" i="10"/>
  <c r="O9" i="10"/>
  <c r="N9" i="10"/>
  <c r="N7" i="10"/>
  <c r="M72" i="9"/>
  <c r="L72" i="9"/>
  <c r="K72" i="9"/>
  <c r="J72" i="9"/>
  <c r="O72" i="9" s="1"/>
  <c r="O71" i="9"/>
  <c r="N71" i="9"/>
  <c r="O70" i="9"/>
  <c r="N70" i="9"/>
  <c r="O69" i="9"/>
  <c r="N69" i="9"/>
  <c r="O68" i="9"/>
  <c r="N68" i="9"/>
  <c r="O67" i="9"/>
  <c r="N67" i="9"/>
  <c r="O66" i="9"/>
  <c r="N66" i="9"/>
  <c r="O65" i="9"/>
  <c r="N65" i="9"/>
  <c r="O64" i="9"/>
  <c r="N64" i="9"/>
  <c r="O63" i="9"/>
  <c r="N63" i="9"/>
  <c r="O62" i="9"/>
  <c r="N62" i="9"/>
  <c r="O61" i="9"/>
  <c r="N61" i="9"/>
  <c r="O60" i="9"/>
  <c r="N60" i="9"/>
  <c r="O59" i="9"/>
  <c r="N59" i="9"/>
  <c r="O58" i="9"/>
  <c r="N58" i="9"/>
  <c r="O57" i="9"/>
  <c r="N57" i="9"/>
  <c r="O56" i="9"/>
  <c r="N56" i="9"/>
  <c r="O55" i="9"/>
  <c r="N55" i="9"/>
  <c r="O54" i="9"/>
  <c r="N54" i="9"/>
  <c r="O53" i="9"/>
  <c r="N53" i="9"/>
  <c r="O52" i="9"/>
  <c r="N52" i="9"/>
  <c r="O51" i="9"/>
  <c r="N51" i="9"/>
  <c r="O50" i="9"/>
  <c r="N50" i="9"/>
  <c r="O49" i="9"/>
  <c r="N49" i="9"/>
  <c r="O48" i="9"/>
  <c r="N48" i="9"/>
  <c r="O47" i="9"/>
  <c r="N47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O5" i="9"/>
  <c r="N5" i="9"/>
  <c r="K25" i="8"/>
  <c r="J25" i="8"/>
  <c r="I25" i="8"/>
  <c r="H25" i="8"/>
  <c r="G25" i="8"/>
  <c r="F25" i="8"/>
  <c r="E25" i="8"/>
  <c r="D25" i="8"/>
  <c r="C25" i="8"/>
  <c r="K24" i="8"/>
  <c r="J24" i="8"/>
  <c r="I24" i="8"/>
  <c r="H24" i="8"/>
  <c r="G24" i="8"/>
  <c r="F24" i="8"/>
  <c r="E24" i="8"/>
  <c r="D24" i="8"/>
  <c r="C24" i="8"/>
  <c r="B24" i="8"/>
  <c r="B17" i="8"/>
  <c r="F16" i="7"/>
  <c r="F15" i="7"/>
  <c r="F14" i="7"/>
  <c r="F13" i="7"/>
  <c r="F12" i="7"/>
  <c r="F10" i="7"/>
  <c r="F11" i="7"/>
  <c r="F7" i="7"/>
  <c r="F8" i="7"/>
  <c r="F9" i="7"/>
  <c r="G28" i="6"/>
  <c r="K27" i="6"/>
  <c r="G12" i="6"/>
  <c r="G11" i="6"/>
  <c r="M17" i="5"/>
  <c r="B11" i="6" s="1"/>
  <c r="C11" i="6" s="1"/>
  <c r="L17" i="5"/>
  <c r="K17" i="5"/>
  <c r="B13" i="6" s="1"/>
  <c r="B14" i="6"/>
  <c r="C15" i="6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N9" i="5"/>
  <c r="O8" i="5"/>
  <c r="N8" i="5"/>
  <c r="O7" i="5"/>
  <c r="N7" i="5"/>
  <c r="M220" i="4"/>
  <c r="L220" i="4"/>
  <c r="K220" i="4"/>
  <c r="J220" i="4"/>
  <c r="O218" i="4"/>
  <c r="N218" i="4"/>
  <c r="O219" i="4"/>
  <c r="N219" i="4"/>
  <c r="O215" i="4"/>
  <c r="N215" i="4"/>
  <c r="O214" i="4"/>
  <c r="N214" i="4"/>
  <c r="O213" i="4"/>
  <c r="N213" i="4"/>
  <c r="O212" i="4"/>
  <c r="N212" i="4"/>
  <c r="O211" i="4"/>
  <c r="N211" i="4"/>
  <c r="O210" i="4"/>
  <c r="N210" i="4"/>
  <c r="O207" i="4"/>
  <c r="N207" i="4"/>
  <c r="O206" i="4"/>
  <c r="N206" i="4"/>
  <c r="O205" i="4"/>
  <c r="N205" i="4"/>
  <c r="O204" i="4"/>
  <c r="N204" i="4"/>
  <c r="O203" i="4"/>
  <c r="N203" i="4"/>
  <c r="O202" i="4"/>
  <c r="N202" i="4"/>
  <c r="O201" i="4"/>
  <c r="N201" i="4"/>
  <c r="O200" i="4"/>
  <c r="N200" i="4"/>
  <c r="O199" i="4"/>
  <c r="N199" i="4"/>
  <c r="O198" i="4"/>
  <c r="N198" i="4"/>
  <c r="O196" i="4"/>
  <c r="N196" i="4"/>
  <c r="O197" i="4"/>
  <c r="N197" i="4"/>
  <c r="O195" i="4"/>
  <c r="N195" i="4"/>
  <c r="O191" i="4"/>
  <c r="N191" i="4"/>
  <c r="O190" i="4"/>
  <c r="N190" i="4"/>
  <c r="O188" i="4"/>
  <c r="N188" i="4"/>
  <c r="O187" i="4"/>
  <c r="N187" i="4"/>
  <c r="O186" i="4"/>
  <c r="N186" i="4"/>
  <c r="O185" i="4"/>
  <c r="N185" i="4"/>
  <c r="O184" i="4"/>
  <c r="N184" i="4"/>
  <c r="O183" i="4"/>
  <c r="N183" i="4"/>
  <c r="O182" i="4"/>
  <c r="N182" i="4"/>
  <c r="O181" i="4"/>
  <c r="N181" i="4"/>
  <c r="O180" i="4"/>
  <c r="N180" i="4"/>
  <c r="O178" i="4"/>
  <c r="N178" i="4"/>
  <c r="O177" i="4"/>
  <c r="N177" i="4"/>
  <c r="O176" i="4"/>
  <c r="N176" i="4"/>
  <c r="O175" i="4"/>
  <c r="N175" i="4"/>
  <c r="O174" i="4"/>
  <c r="N174" i="4"/>
  <c r="O173" i="4"/>
  <c r="N173" i="4"/>
  <c r="O172" i="4"/>
  <c r="N172" i="4"/>
  <c r="O171" i="4"/>
  <c r="N171" i="4"/>
  <c r="O170" i="4"/>
  <c r="N170" i="4"/>
  <c r="O169" i="4"/>
  <c r="N169" i="4"/>
  <c r="O168" i="4"/>
  <c r="N168" i="4"/>
  <c r="O167" i="4"/>
  <c r="N167" i="4"/>
  <c r="O166" i="4"/>
  <c r="N166" i="4"/>
  <c r="O165" i="4"/>
  <c r="N165" i="4"/>
  <c r="O164" i="4"/>
  <c r="N164" i="4"/>
  <c r="O163" i="4"/>
  <c r="N163" i="4"/>
  <c r="O146" i="4"/>
  <c r="N146" i="4"/>
  <c r="O162" i="4"/>
  <c r="N162" i="4"/>
  <c r="O161" i="4"/>
  <c r="N161" i="4"/>
  <c r="O160" i="4"/>
  <c r="N160" i="4"/>
  <c r="O159" i="4"/>
  <c r="N159" i="4"/>
  <c r="O158" i="4"/>
  <c r="N158" i="4"/>
  <c r="O155" i="4"/>
  <c r="N155" i="4"/>
  <c r="O154" i="4"/>
  <c r="N154" i="4"/>
  <c r="O153" i="4"/>
  <c r="N153" i="4"/>
  <c r="O152" i="4"/>
  <c r="N152" i="4"/>
  <c r="O151" i="4"/>
  <c r="N151" i="4"/>
  <c r="O149" i="4"/>
  <c r="N149" i="4"/>
  <c r="O147" i="4"/>
  <c r="N147" i="4"/>
  <c r="O148" i="4"/>
  <c r="N148" i="4"/>
  <c r="O145" i="4"/>
  <c r="N145" i="4"/>
  <c r="O144" i="4"/>
  <c r="N144" i="4"/>
  <c r="O143" i="4"/>
  <c r="N143" i="4"/>
  <c r="O142" i="4"/>
  <c r="N142" i="4"/>
  <c r="O141" i="4"/>
  <c r="N141" i="4"/>
  <c r="O140" i="4"/>
  <c r="N140" i="4"/>
  <c r="O139" i="4"/>
  <c r="N139" i="4"/>
  <c r="O138" i="4"/>
  <c r="N138" i="4"/>
  <c r="O137" i="4"/>
  <c r="N137" i="4"/>
  <c r="O136" i="4"/>
  <c r="N136" i="4"/>
  <c r="O135" i="4"/>
  <c r="N135" i="4"/>
  <c r="O134" i="4"/>
  <c r="N134" i="4"/>
  <c r="O133" i="4"/>
  <c r="N133" i="4"/>
  <c r="O132" i="4"/>
  <c r="N132" i="4"/>
  <c r="O131" i="4"/>
  <c r="N131" i="4"/>
  <c r="O130" i="4"/>
  <c r="N130" i="4"/>
  <c r="O128" i="4"/>
  <c r="N128" i="4"/>
  <c r="O127" i="4"/>
  <c r="N127" i="4"/>
  <c r="O126" i="4"/>
  <c r="N126" i="4"/>
  <c r="O124" i="4"/>
  <c r="N124" i="4"/>
  <c r="O123" i="4"/>
  <c r="N123" i="4"/>
  <c r="O122" i="4"/>
  <c r="N122" i="4"/>
  <c r="O121" i="4"/>
  <c r="N121" i="4"/>
  <c r="O119" i="4"/>
  <c r="N119" i="4"/>
  <c r="O118" i="4"/>
  <c r="N118" i="4"/>
  <c r="O117" i="4"/>
  <c r="N117" i="4"/>
  <c r="O116" i="4"/>
  <c r="N116" i="4"/>
  <c r="O115" i="4"/>
  <c r="N115" i="4"/>
  <c r="O114" i="4"/>
  <c r="N114" i="4"/>
  <c r="O113" i="4"/>
  <c r="N113" i="4"/>
  <c r="O112" i="4"/>
  <c r="N112" i="4"/>
  <c r="O111" i="4"/>
  <c r="N111" i="4"/>
  <c r="O110" i="4"/>
  <c r="N110" i="4"/>
  <c r="O109" i="4"/>
  <c r="N109" i="4"/>
  <c r="O107" i="4"/>
  <c r="N107" i="4"/>
  <c r="O106" i="4"/>
  <c r="N106" i="4"/>
  <c r="O105" i="4"/>
  <c r="N105" i="4"/>
  <c r="O104" i="4"/>
  <c r="N104" i="4"/>
  <c r="O101" i="4"/>
  <c r="N101" i="4"/>
  <c r="O100" i="4"/>
  <c r="N100" i="4"/>
  <c r="O99" i="4"/>
  <c r="N99" i="4"/>
  <c r="O98" i="4"/>
  <c r="N98" i="4"/>
  <c r="O97" i="4"/>
  <c r="N97" i="4"/>
  <c r="O96" i="4"/>
  <c r="N96" i="4"/>
  <c r="O95" i="4"/>
  <c r="N95" i="4"/>
  <c r="O94" i="4"/>
  <c r="N94" i="4"/>
  <c r="O93" i="4"/>
  <c r="N93" i="4"/>
  <c r="O92" i="4"/>
  <c r="N92" i="4"/>
  <c r="O91" i="4"/>
  <c r="N91" i="4"/>
  <c r="O89" i="4"/>
  <c r="N89" i="4"/>
  <c r="O88" i="4"/>
  <c r="N88" i="4"/>
  <c r="O86" i="4"/>
  <c r="N86" i="4"/>
  <c r="O87" i="4"/>
  <c r="N87" i="4"/>
  <c r="O85" i="4"/>
  <c r="N85" i="4"/>
  <c r="O84" i="4"/>
  <c r="N84" i="4"/>
  <c r="O83" i="4"/>
  <c r="N83" i="4"/>
  <c r="O77" i="4"/>
  <c r="N77" i="4"/>
  <c r="O76" i="4"/>
  <c r="N76" i="4"/>
  <c r="O75" i="4"/>
  <c r="N75" i="4"/>
  <c r="O74" i="4"/>
  <c r="N74" i="4"/>
  <c r="O73" i="4"/>
  <c r="N73" i="4"/>
  <c r="O72" i="4"/>
  <c r="N72" i="4"/>
  <c r="O71" i="4"/>
  <c r="N71" i="4"/>
  <c r="O69" i="4"/>
  <c r="N69" i="4"/>
  <c r="O68" i="4"/>
  <c r="N68" i="4"/>
  <c r="O67" i="4"/>
  <c r="N67" i="4"/>
  <c r="O66" i="4"/>
  <c r="N66" i="4"/>
  <c r="O65" i="4"/>
  <c r="N65" i="4"/>
  <c r="O64" i="4"/>
  <c r="N64" i="4"/>
  <c r="O63" i="4"/>
  <c r="N63" i="4"/>
  <c r="O62" i="4"/>
  <c r="N62" i="4"/>
  <c r="O61" i="4"/>
  <c r="N61" i="4"/>
  <c r="O60" i="4"/>
  <c r="N60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O49" i="4"/>
  <c r="N49" i="4"/>
  <c r="O48" i="4"/>
  <c r="N48" i="4"/>
  <c r="O47" i="4"/>
  <c r="N47" i="4"/>
  <c r="O46" i="4"/>
  <c r="N46" i="4"/>
  <c r="O45" i="4"/>
  <c r="N45" i="4"/>
  <c r="O44" i="4"/>
  <c r="N44" i="4"/>
  <c r="O43" i="4"/>
  <c r="N43" i="4"/>
  <c r="O42" i="4"/>
  <c r="N42" i="4"/>
  <c r="O41" i="4"/>
  <c r="N41" i="4"/>
  <c r="O40" i="4"/>
  <c r="N40" i="4"/>
  <c r="O39" i="4"/>
  <c r="N39" i="4"/>
  <c r="O37" i="4"/>
  <c r="N37" i="4"/>
  <c r="O36" i="4"/>
  <c r="N36" i="4"/>
  <c r="O35" i="4"/>
  <c r="N35" i="4"/>
  <c r="O34" i="4"/>
  <c r="N34" i="4"/>
  <c r="O33" i="4"/>
  <c r="N33" i="4"/>
  <c r="O32" i="4"/>
  <c r="N32" i="4"/>
  <c r="O29" i="4"/>
  <c r="N29" i="4"/>
  <c r="O28" i="4"/>
  <c r="N28" i="4"/>
  <c r="O27" i="4"/>
  <c r="N27" i="4"/>
  <c r="O26" i="4"/>
  <c r="N26" i="4"/>
  <c r="O25" i="4"/>
  <c r="N25" i="4"/>
  <c r="O24" i="4"/>
  <c r="N24" i="4"/>
  <c r="O22" i="4"/>
  <c r="N22" i="4"/>
  <c r="O21" i="4"/>
  <c r="N21" i="4"/>
  <c r="O20" i="4"/>
  <c r="N20" i="4"/>
  <c r="O19" i="4"/>
  <c r="N19" i="4"/>
  <c r="O18" i="4"/>
  <c r="N18" i="4"/>
  <c r="O17" i="4"/>
  <c r="N17" i="4"/>
  <c r="O16" i="4"/>
  <c r="N16" i="4"/>
  <c r="O15" i="4"/>
  <c r="N15" i="4"/>
  <c r="O14" i="4"/>
  <c r="N14" i="4"/>
  <c r="O13" i="4"/>
  <c r="N13" i="4"/>
  <c r="O11" i="4"/>
  <c r="N11" i="4"/>
  <c r="O10" i="4"/>
  <c r="N10" i="4"/>
  <c r="O9" i="4"/>
  <c r="N9" i="4"/>
  <c r="O7" i="4"/>
  <c r="N7" i="4"/>
  <c r="O6" i="4"/>
  <c r="N6" i="4"/>
  <c r="O5" i="4"/>
  <c r="N5" i="4"/>
  <c r="M11" i="3"/>
  <c r="L11" i="3"/>
  <c r="K11" i="3"/>
  <c r="J11" i="3"/>
  <c r="O10" i="3"/>
  <c r="N10" i="3"/>
  <c r="O9" i="3"/>
  <c r="N9" i="3"/>
  <c r="O8" i="3"/>
  <c r="N8" i="3"/>
  <c r="O7" i="3"/>
  <c r="N7" i="3"/>
  <c r="O6" i="3"/>
  <c r="N6" i="3"/>
  <c r="O5" i="3"/>
  <c r="N5" i="3"/>
  <c r="P24" i="2"/>
  <c r="O24" i="2"/>
  <c r="N24" i="2"/>
  <c r="M24" i="2"/>
  <c r="S24" i="2" s="1"/>
  <c r="S23" i="2"/>
  <c r="Q23" i="2"/>
  <c r="S22" i="2"/>
  <c r="Q22" i="2"/>
  <c r="S21" i="2"/>
  <c r="Q21" i="2"/>
  <c r="S20" i="2"/>
  <c r="Q20" i="2"/>
  <c r="S19" i="2"/>
  <c r="Q19" i="2"/>
  <c r="B18" i="2"/>
  <c r="B17" i="2"/>
  <c r="C8" i="2"/>
  <c r="C7" i="2"/>
  <c r="C6" i="2"/>
  <c r="C5" i="2"/>
  <c r="C45" i="16" l="1"/>
  <c r="G28" i="16"/>
  <c r="G44" i="16"/>
  <c r="C45" i="11"/>
  <c r="AF27" i="19"/>
  <c r="O12" i="11"/>
  <c r="O29" i="11"/>
  <c r="G45" i="11"/>
  <c r="G12" i="11"/>
  <c r="G14" i="6"/>
  <c r="AF39" i="19"/>
  <c r="C28" i="16"/>
  <c r="G29" i="6"/>
  <c r="G44" i="6"/>
  <c r="C29" i="6"/>
  <c r="C44" i="6"/>
  <c r="C28" i="6"/>
  <c r="C12" i="6"/>
  <c r="C14" i="6"/>
  <c r="C13" i="6"/>
  <c r="K12" i="6"/>
  <c r="B32" i="18"/>
  <c r="B31" i="18"/>
  <c r="G12" i="16"/>
  <c r="G13" i="16"/>
  <c r="N17" i="15"/>
  <c r="O17" i="10"/>
  <c r="K12" i="11"/>
  <c r="K28" i="11"/>
  <c r="K29" i="11"/>
  <c r="O13" i="11"/>
  <c r="O28" i="11"/>
  <c r="O220" i="4"/>
  <c r="G65" i="18"/>
  <c r="C65" i="18"/>
  <c r="B65" i="18"/>
  <c r="F65" i="18"/>
  <c r="N9" i="18"/>
  <c r="C13" i="16"/>
  <c r="C14" i="16"/>
  <c r="G14" i="16"/>
  <c r="O28" i="16"/>
  <c r="K27" i="16"/>
  <c r="K29" i="16"/>
  <c r="K12" i="16"/>
  <c r="C29" i="16"/>
  <c r="C30" i="16"/>
  <c r="N18" i="15"/>
  <c r="O27" i="16"/>
  <c r="C44" i="16"/>
  <c r="O12" i="16"/>
  <c r="O13" i="16"/>
  <c r="G29" i="16"/>
  <c r="G30" i="16"/>
  <c r="G45" i="16"/>
  <c r="F17" i="12"/>
  <c r="K13" i="11"/>
  <c r="K30" i="11"/>
  <c r="G28" i="11"/>
  <c r="O11" i="6"/>
  <c r="O13" i="6"/>
  <c r="N11" i="3"/>
  <c r="P9" i="3" s="1"/>
  <c r="AG47" i="19"/>
  <c r="AG39" i="19"/>
  <c r="AG33" i="19"/>
  <c r="AG27" i="19"/>
  <c r="D65" i="18"/>
  <c r="H48" i="18"/>
  <c r="N10" i="18"/>
  <c r="N15" i="18" s="1"/>
  <c r="Q8" i="18" s="1"/>
  <c r="O14" i="16"/>
  <c r="O29" i="16"/>
  <c r="G46" i="16"/>
  <c r="K14" i="16"/>
  <c r="E17" i="12"/>
  <c r="F17" i="7"/>
  <c r="K28" i="6"/>
  <c r="N17" i="5"/>
  <c r="C43" i="6"/>
  <c r="O28" i="6"/>
  <c r="O30" i="6"/>
  <c r="O17" i="5"/>
  <c r="P18" i="5"/>
  <c r="Q24" i="2"/>
  <c r="R21" i="2" s="1"/>
  <c r="K13" i="6"/>
  <c r="N72" i="9"/>
  <c r="P69" i="9" s="1"/>
  <c r="N37" i="14"/>
  <c r="P5" i="14" s="1"/>
  <c r="C12" i="11"/>
  <c r="C11" i="11"/>
  <c r="K11" i="6"/>
  <c r="N17" i="10"/>
  <c r="K13" i="16"/>
  <c r="G21" i="18"/>
  <c r="C46" i="6"/>
  <c r="C45" i="6"/>
  <c r="C28" i="11"/>
  <c r="C29" i="11"/>
  <c r="E65" i="18"/>
  <c r="AF47" i="19"/>
  <c r="C14" i="11"/>
  <c r="C13" i="11"/>
  <c r="H63" i="18"/>
  <c r="K29" i="6"/>
  <c r="C19" i="18"/>
  <c r="AF33" i="19"/>
  <c r="C7" i="19"/>
  <c r="C6" i="19"/>
  <c r="B19" i="19"/>
  <c r="O17" i="15"/>
  <c r="G45" i="6"/>
  <c r="G11" i="11"/>
  <c r="G13" i="11"/>
  <c r="G29" i="11"/>
  <c r="J15" i="18"/>
  <c r="O15" i="18" s="1"/>
  <c r="O11" i="3"/>
  <c r="C44" i="11"/>
  <c r="N220" i="4"/>
  <c r="E17" i="7"/>
  <c r="G44" i="11"/>
  <c r="G19" i="18"/>
  <c r="N100" i="19"/>
  <c r="B20" i="18"/>
  <c r="C20" i="18" s="1"/>
  <c r="P78" i="4" l="1"/>
  <c r="P79" i="4"/>
  <c r="P193" i="4"/>
  <c r="P80" i="4"/>
  <c r="P90" i="4"/>
  <c r="P209" i="4"/>
  <c r="P189" i="4"/>
  <c r="P192" i="4"/>
  <c r="P150" i="4"/>
  <c r="P179" i="4"/>
  <c r="P108" i="4"/>
  <c r="P125" i="4"/>
  <c r="P59" i="4"/>
  <c r="P102" i="4"/>
  <c r="P31" i="4"/>
  <c r="P38" i="4"/>
  <c r="P70" i="4"/>
  <c r="P156" i="4"/>
  <c r="P217" i="4"/>
  <c r="P12" i="4"/>
  <c r="P157" i="4"/>
  <c r="P216" i="4"/>
  <c r="P120" i="4"/>
  <c r="P129" i="4"/>
  <c r="P58" i="4"/>
  <c r="P82" i="4"/>
  <c r="P23" i="4"/>
  <c r="P30" i="4"/>
  <c r="P194" i="4"/>
  <c r="P208" i="4"/>
  <c r="P81" i="4"/>
  <c r="P103" i="4"/>
  <c r="P106" i="4"/>
  <c r="P8" i="4"/>
  <c r="P80" i="19"/>
  <c r="P25" i="19"/>
  <c r="P5" i="9"/>
  <c r="R19" i="2"/>
  <c r="H65" i="18"/>
  <c r="Q7" i="18"/>
  <c r="P98" i="4"/>
  <c r="P8" i="3"/>
  <c r="P6" i="3"/>
  <c r="P5" i="3"/>
  <c r="P11" i="3"/>
  <c r="P10" i="3"/>
  <c r="P7" i="3"/>
  <c r="P60" i="19"/>
  <c r="P53" i="19"/>
  <c r="P81" i="19"/>
  <c r="P35" i="19"/>
  <c r="P37" i="19"/>
  <c r="P64" i="19"/>
  <c r="P23" i="19"/>
  <c r="P69" i="19"/>
  <c r="Q13" i="18"/>
  <c r="P39" i="4"/>
  <c r="P201" i="4"/>
  <c r="P188" i="4"/>
  <c r="P164" i="4"/>
  <c r="P124" i="4"/>
  <c r="P211" i="4"/>
  <c r="P18" i="4"/>
  <c r="P41" i="4"/>
  <c r="P185" i="4"/>
  <c r="P118" i="4"/>
  <c r="P134" i="4"/>
  <c r="R20" i="2"/>
  <c r="P7" i="14"/>
  <c r="P11" i="14"/>
  <c r="P15" i="14"/>
  <c r="P19" i="14"/>
  <c r="P23" i="14"/>
  <c r="P27" i="14"/>
  <c r="P31" i="14"/>
  <c r="P35" i="14"/>
  <c r="P16" i="14"/>
  <c r="P24" i="14"/>
  <c r="P8" i="14"/>
  <c r="P28" i="14"/>
  <c r="P12" i="14"/>
  <c r="P20" i="14"/>
  <c r="P32" i="14"/>
  <c r="P36" i="14"/>
  <c r="P22" i="14"/>
  <c r="P6" i="14"/>
  <c r="P21" i="14"/>
  <c r="P34" i="14"/>
  <c r="P18" i="14"/>
  <c r="P33" i="14"/>
  <c r="P17" i="14"/>
  <c r="P30" i="14"/>
  <c r="P14" i="14"/>
  <c r="P29" i="14"/>
  <c r="P13" i="14"/>
  <c r="P26" i="14"/>
  <c r="P10" i="14"/>
  <c r="P25" i="14"/>
  <c r="P9" i="14"/>
  <c r="P45" i="9"/>
  <c r="P41" i="9"/>
  <c r="P28" i="9"/>
  <c r="P36" i="9"/>
  <c r="P49" i="9"/>
  <c r="P17" i="9"/>
  <c r="P52" i="9"/>
  <c r="P44" i="9"/>
  <c r="P13" i="9"/>
  <c r="P57" i="9"/>
  <c r="P20" i="9"/>
  <c r="P37" i="9"/>
  <c r="P53" i="9"/>
  <c r="P65" i="9"/>
  <c r="P91" i="4"/>
  <c r="P14" i="4"/>
  <c r="P161" i="4"/>
  <c r="P87" i="4"/>
  <c r="P60" i="4"/>
  <c r="P200" i="4"/>
  <c r="P163" i="4"/>
  <c r="P89" i="4"/>
  <c r="P127" i="4"/>
  <c r="P198" i="4"/>
  <c r="P205" i="4"/>
  <c r="P117" i="4"/>
  <c r="P190" i="4"/>
  <c r="P42" i="4"/>
  <c r="P49" i="4"/>
  <c r="P180" i="4"/>
  <c r="P74" i="4"/>
  <c r="P114" i="4"/>
  <c r="P155" i="4"/>
  <c r="P47" i="4"/>
  <c r="P128" i="4"/>
  <c r="P176" i="4"/>
  <c r="P151" i="4"/>
  <c r="P13" i="4"/>
  <c r="P99" i="4"/>
  <c r="P154" i="4"/>
  <c r="P144" i="4"/>
  <c r="P86" i="4"/>
  <c r="P177" i="4"/>
  <c r="P28" i="4"/>
  <c r="P19" i="4"/>
  <c r="P168" i="4"/>
  <c r="P32" i="4"/>
  <c r="P67" i="4"/>
  <c r="P105" i="4"/>
  <c r="P142" i="4"/>
  <c r="P137" i="4"/>
  <c r="P54" i="4"/>
  <c r="P145" i="4"/>
  <c r="P64" i="4"/>
  <c r="P215" i="4"/>
  <c r="P76" i="4"/>
  <c r="P50" i="4"/>
  <c r="P136" i="4"/>
  <c r="R23" i="2"/>
  <c r="R22" i="2"/>
  <c r="P46" i="19"/>
  <c r="P56" i="19"/>
  <c r="P77" i="19"/>
  <c r="P64" i="9"/>
  <c r="P56" i="9"/>
  <c r="P48" i="9"/>
  <c r="P40" i="9"/>
  <c r="P32" i="9"/>
  <c r="P24" i="9"/>
  <c r="P16" i="9"/>
  <c r="P8" i="9"/>
  <c r="P66" i="9"/>
  <c r="P58" i="9"/>
  <c r="P50" i="9"/>
  <c r="P42" i="9"/>
  <c r="P34" i="9"/>
  <c r="P26" i="9"/>
  <c r="P18" i="9"/>
  <c r="P10" i="9"/>
  <c r="P38" i="9"/>
  <c r="P22" i="9"/>
  <c r="P71" i="9"/>
  <c r="P63" i="9"/>
  <c r="P55" i="9"/>
  <c r="P47" i="9"/>
  <c r="P39" i="9"/>
  <c r="P31" i="9"/>
  <c r="P23" i="9"/>
  <c r="P15" i="9"/>
  <c r="P7" i="9"/>
  <c r="P70" i="9"/>
  <c r="P62" i="9"/>
  <c r="P54" i="9"/>
  <c r="P30" i="9"/>
  <c r="P14" i="9"/>
  <c r="P46" i="9"/>
  <c r="P6" i="9"/>
  <c r="P67" i="9"/>
  <c r="P11" i="9"/>
  <c r="P59" i="9"/>
  <c r="P51" i="9"/>
  <c r="P43" i="9"/>
  <c r="P35" i="9"/>
  <c r="P27" i="9"/>
  <c r="P19" i="9"/>
  <c r="P162" i="4"/>
  <c r="P41" i="19"/>
  <c r="P52" i="19"/>
  <c r="P48" i="19"/>
  <c r="P9" i="9"/>
  <c r="P123" i="4"/>
  <c r="P22" i="4"/>
  <c r="P39" i="19"/>
  <c r="P68" i="19"/>
  <c r="P97" i="19"/>
  <c r="P36" i="19"/>
  <c r="P152" i="4"/>
  <c r="P21" i="4"/>
  <c r="P186" i="4"/>
  <c r="P57" i="19"/>
  <c r="P24" i="19"/>
  <c r="P77" i="4"/>
  <c r="P33" i="19"/>
  <c r="P169" i="4"/>
  <c r="P93" i="19"/>
  <c r="P33" i="9"/>
  <c r="P73" i="4"/>
  <c r="P96" i="4"/>
  <c r="P27" i="4"/>
  <c r="C21" i="18"/>
  <c r="P25" i="9"/>
  <c r="P92" i="19"/>
  <c r="P110" i="4"/>
  <c r="P10" i="4"/>
  <c r="P61" i="9"/>
  <c r="P94" i="19"/>
  <c r="P34" i="19"/>
  <c r="P98" i="19"/>
  <c r="P90" i="19"/>
  <c r="P82" i="19"/>
  <c r="P74" i="19"/>
  <c r="P66" i="19"/>
  <c r="P58" i="19"/>
  <c r="P50" i="19"/>
  <c r="P40" i="19"/>
  <c r="P32" i="19"/>
  <c r="P28" i="19"/>
  <c r="P27" i="19"/>
  <c r="P78" i="19"/>
  <c r="P54" i="19"/>
  <c r="P95" i="19"/>
  <c r="P87" i="19"/>
  <c r="P79" i="19"/>
  <c r="P71" i="19"/>
  <c r="P63" i="19"/>
  <c r="P55" i="19"/>
  <c r="P47" i="19"/>
  <c r="P45" i="19"/>
  <c r="P43" i="19"/>
  <c r="P22" i="19"/>
  <c r="P62" i="19"/>
  <c r="P44" i="19"/>
  <c r="P38" i="19"/>
  <c r="P86" i="19"/>
  <c r="P70" i="19"/>
  <c r="P67" i="19"/>
  <c r="P59" i="19"/>
  <c r="P49" i="19"/>
  <c r="P51" i="19"/>
  <c r="P99" i="19"/>
  <c r="P75" i="19"/>
  <c r="P91" i="19"/>
  <c r="P83" i="19"/>
  <c r="P96" i="19"/>
  <c r="P220" i="4"/>
  <c r="P214" i="4"/>
  <c r="P204" i="4"/>
  <c r="P197" i="4"/>
  <c r="P184" i="4"/>
  <c r="P175" i="4"/>
  <c r="P167" i="4"/>
  <c r="P160" i="4"/>
  <c r="P149" i="4"/>
  <c r="P140" i="4"/>
  <c r="P132" i="4"/>
  <c r="P122" i="4"/>
  <c r="P113" i="4"/>
  <c r="P104" i="4"/>
  <c r="P94" i="4"/>
  <c r="P85" i="4"/>
  <c r="P72" i="4"/>
  <c r="P63" i="4"/>
  <c r="P53" i="4"/>
  <c r="P45" i="4"/>
  <c r="P36" i="4"/>
  <c r="P26" i="4"/>
  <c r="P17" i="4"/>
  <c r="P7" i="4"/>
  <c r="P61" i="4"/>
  <c r="P165" i="4"/>
  <c r="P119" i="4"/>
  <c r="P43" i="4"/>
  <c r="P202" i="4"/>
  <c r="P191" i="4"/>
  <c r="P100" i="4"/>
  <c r="P51" i="4"/>
  <c r="P15" i="4"/>
  <c r="P213" i="4"/>
  <c r="P203" i="4"/>
  <c r="P195" i="4"/>
  <c r="P183" i="4"/>
  <c r="P174" i="4"/>
  <c r="P166" i="4"/>
  <c r="P159" i="4"/>
  <c r="P147" i="4"/>
  <c r="P139" i="4"/>
  <c r="P131" i="4"/>
  <c r="P121" i="4"/>
  <c r="P112" i="4"/>
  <c r="P101" i="4"/>
  <c r="P93" i="4"/>
  <c r="P84" i="4"/>
  <c r="P71" i="4"/>
  <c r="P62" i="4"/>
  <c r="P52" i="4"/>
  <c r="P44" i="4"/>
  <c r="P35" i="4"/>
  <c r="P25" i="4"/>
  <c r="P16" i="4"/>
  <c r="P6" i="4"/>
  <c r="P173" i="4"/>
  <c r="P158" i="4"/>
  <c r="P138" i="4"/>
  <c r="P111" i="4"/>
  <c r="P92" i="4"/>
  <c r="P69" i="4"/>
  <c r="P24" i="4"/>
  <c r="P212" i="4"/>
  <c r="P182" i="4"/>
  <c r="P130" i="4"/>
  <c r="P34" i="4"/>
  <c r="P5" i="4"/>
  <c r="P148" i="4"/>
  <c r="P83" i="4"/>
  <c r="P187" i="4"/>
  <c r="P116" i="4"/>
  <c r="P40" i="4"/>
  <c r="P135" i="4"/>
  <c r="P56" i="4"/>
  <c r="P199" i="4"/>
  <c r="P178" i="4"/>
  <c r="P107" i="4"/>
  <c r="P29" i="4"/>
  <c r="P146" i="4"/>
  <c r="P88" i="4"/>
  <c r="P170" i="4"/>
  <c r="P97" i="4"/>
  <c r="P20" i="4"/>
  <c r="P11" i="4"/>
  <c r="P153" i="4"/>
  <c r="P75" i="4"/>
  <c r="P207" i="4"/>
  <c r="P218" i="4"/>
  <c r="P143" i="4"/>
  <c r="P66" i="4"/>
  <c r="P126" i="4"/>
  <c r="P48" i="4"/>
  <c r="P29" i="19"/>
  <c r="P109" i="4"/>
  <c r="P9" i="4"/>
  <c r="P133" i="4"/>
  <c r="P68" i="9"/>
  <c r="P219" i="4"/>
  <c r="P65" i="4"/>
  <c r="P37" i="4"/>
  <c r="P29" i="9"/>
  <c r="P68" i="4"/>
  <c r="P33" i="4"/>
  <c r="P89" i="19"/>
  <c r="P21" i="9"/>
  <c r="P42" i="19"/>
  <c r="P88" i="19"/>
  <c r="P210" i="4"/>
  <c r="P57" i="4"/>
  <c r="P76" i="19"/>
  <c r="P12" i="9"/>
  <c r="P60" i="9"/>
  <c r="P95" i="4"/>
  <c r="P141" i="4"/>
  <c r="P115" i="4"/>
  <c r="P172" i="4"/>
  <c r="P171" i="4"/>
  <c r="P31" i="19"/>
  <c r="P206" i="4"/>
  <c r="P55" i="4"/>
  <c r="P85" i="19"/>
  <c r="P30" i="19"/>
  <c r="P84" i="19"/>
  <c r="P196" i="4"/>
  <c r="P46" i="4"/>
  <c r="P65" i="19"/>
  <c r="P181" i="4"/>
  <c r="P26" i="19"/>
  <c r="P72" i="19"/>
  <c r="P73" i="19"/>
  <c r="P61" i="19"/>
  <c r="Q10" i="18" l="1"/>
  <c r="Q15" i="18" s="1"/>
  <c r="P37" i="14"/>
  <c r="R24" i="2"/>
  <c r="P72" i="9"/>
  <c r="P100" i="19"/>
</calcChain>
</file>

<file path=xl/sharedStrings.xml><?xml version="1.0" encoding="utf-8"?>
<sst xmlns="http://schemas.openxmlformats.org/spreadsheetml/2006/main" count="1016" uniqueCount="504">
  <si>
    <t>Controladoria Geral do Município - Ouvidoria Geral</t>
  </si>
  <si>
    <t>SIGRC - Sistema Integrado de Gerenciamento e Relacionamento com o Cidadão</t>
  </si>
  <si>
    <t>Meses</t>
  </si>
  <si>
    <t>Protocolos</t>
  </si>
  <si>
    <t>Variação*</t>
  </si>
  <si>
    <t>Total</t>
  </si>
  <si>
    <t>Média</t>
  </si>
  <si>
    <t>Tipo de manifestação</t>
  </si>
  <si>
    <t>%Total</t>
  </si>
  <si>
    <t>Denúncia</t>
  </si>
  <si>
    <t>* Variação percentual em relação ao mês imediatamente anterior.</t>
  </si>
  <si>
    <t>Elogio</t>
  </si>
  <si>
    <t>Reclamação</t>
  </si>
  <si>
    <t>Solicitação</t>
  </si>
  <si>
    <t>Sugestão</t>
  </si>
  <si>
    <t>Total Geral</t>
  </si>
  <si>
    <t>ATENDIMENTOS</t>
  </si>
  <si>
    <t>Carta</t>
  </si>
  <si>
    <t>Central SP156</t>
  </si>
  <si>
    <t>E-mail</t>
  </si>
  <si>
    <t>Encaminhamento de outros órgãos (Processo SEI, Memorando, Ofício, etc.)</t>
  </si>
  <si>
    <t>Portal</t>
  </si>
  <si>
    <t>Presencial</t>
  </si>
  <si>
    <t>TOTAL</t>
  </si>
  <si>
    <t>ASSUNTO (Guia Portal 156)*</t>
  </si>
  <si>
    <t>% Total</t>
  </si>
  <si>
    <t>Acessibilidade</t>
  </si>
  <si>
    <t>Acessibilidade digital</t>
  </si>
  <si>
    <t>Acessibilidade em edificações</t>
  </si>
  <si>
    <t>Adoção de animais</t>
  </si>
  <si>
    <t>Agendamento eletrônico</t>
  </si>
  <si>
    <t>Água subterrânea/Curso d'água</t>
  </si>
  <si>
    <t xml:space="preserve">Alimentação escolar </t>
  </si>
  <si>
    <t>Alistamento e Serviço Militar</t>
  </si>
  <si>
    <t>Ambulantes</t>
  </si>
  <si>
    <t>Animais que podem causar doenças e/ou agravos à saúde</t>
  </si>
  <si>
    <t>Animais silvestres</t>
  </si>
  <si>
    <t>Animal agressor e/ou invasor</t>
  </si>
  <si>
    <t>Animal em via pública</t>
  </si>
  <si>
    <t>Apoio à aprendizagem</t>
  </si>
  <si>
    <t>Apoio terapêutico</t>
  </si>
  <si>
    <t>Áreas contaminadas</t>
  </si>
  <si>
    <t>Áreas municipais</t>
  </si>
  <si>
    <t>Árvore</t>
  </si>
  <si>
    <t>Assistência a saúde na urgência e emergência (portas)</t>
  </si>
  <si>
    <t>Assistência domiciliar</t>
  </si>
  <si>
    <t>Assistência farmacêutica</t>
  </si>
  <si>
    <t>ATENDE - Transporte Pessoas com Deficiência</t>
  </si>
  <si>
    <t>Autos de Infração</t>
  </si>
  <si>
    <t>Auxílio Aluguel</t>
  </si>
  <si>
    <t>Auxílio Brasil</t>
  </si>
  <si>
    <t>Bibliotecas municipais</t>
  </si>
  <si>
    <t>Bicicleta</t>
  </si>
  <si>
    <t>Bilhete único</t>
  </si>
  <si>
    <t>Boletim e frequência escolar</t>
  </si>
  <si>
    <t>Bolsa Primeira Infância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</si>
  <si>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</si>
  <si>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</si>
  <si>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</si>
  <si>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</si>
  <si>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</si>
  <si>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</si>
  <si>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Carro híbrido</t>
  </si>
  <si>
    <t>Cartão SUS</t>
  </si>
  <si>
    <t>CCM - Cadastro de Contribuintes Mobiliários</t>
  </si>
  <si>
    <t>Cemitérios</t>
  </si>
  <si>
    <t>Central 156</t>
  </si>
  <si>
    <t>Centro de Apoio ao Trabalho e Empreendedorismo - CATe</t>
  </si>
  <si>
    <t>Centros de Referência, Convivência e Desenvolvimento</t>
  </si>
  <si>
    <t>Centros esportivos</t>
  </si>
  <si>
    <t>Certidão Ambiental</t>
  </si>
  <si>
    <t>Certidões</t>
  </si>
  <si>
    <t>Cirurgias</t>
  </si>
  <si>
    <t>COHAB</t>
  </si>
  <si>
    <t>Coleta de lixo domiciliar</t>
  </si>
  <si>
    <t>Coleta de resíduos de serviços de saúde</t>
  </si>
  <si>
    <t>Coleta seletiva</t>
  </si>
  <si>
    <t>Comida de rua e foodtruck</t>
  </si>
  <si>
    <t>Condições sanitárias inadequadas</t>
  </si>
  <si>
    <t>Conduta de funcionário da CET</t>
  </si>
  <si>
    <t>Conduta de funcionários</t>
  </si>
  <si>
    <t>Consulta de débitos e DUC</t>
  </si>
  <si>
    <t>Consultas médicas</t>
  </si>
  <si>
    <t>CPOM - cadastro de prestadores de serviços de outro município</t>
  </si>
  <si>
    <t>CRAS - Centro de Refência de Assistência Social</t>
  </si>
  <si>
    <t>Criação inadequada de animais</t>
  </si>
  <si>
    <t>Criança e adolescente</t>
  </si>
  <si>
    <t>Defesa civil</t>
  </si>
  <si>
    <t>Dengue/chikungunya/zika (mosquito aedes aegypti)</t>
  </si>
  <si>
    <t>Devoluções, restituições e indenizações</t>
  </si>
  <si>
    <t>Dívida Ativa</t>
  </si>
  <si>
    <t>Documentações de edificações</t>
  </si>
  <si>
    <t>Documentações e alvarás para obras</t>
  </si>
  <si>
    <t>Documentações de ruas e logradouros</t>
  </si>
  <si>
    <t>Drenagem de água de chuva</t>
  </si>
  <si>
    <t>Elevador, escada rolante, esteira rolante, plataforma de elevação</t>
  </si>
  <si>
    <t>Empreenda fácil</t>
  </si>
  <si>
    <t>Esgoto e água usada</t>
  </si>
  <si>
    <t>Estabelecimentos comerciais, indústrias e serviços</t>
  </si>
  <si>
    <t>Estacionamento</t>
  </si>
  <si>
    <t>Eutanásia</t>
  </si>
  <si>
    <t>Eventos</t>
  </si>
  <si>
    <t>Exames, vacinas e castração</t>
  </si>
  <si>
    <t>Exumação e translado/transferência de corpos</t>
  </si>
  <si>
    <t>Feira livre</t>
  </si>
  <si>
    <t>Ferro velho</t>
  </si>
  <si>
    <t>Fiscalização de obras</t>
  </si>
  <si>
    <t>Grande gerador de resíduos (serviço, comércio, indústria)</t>
  </si>
  <si>
    <t>Guarda Civil Metropolitana</t>
  </si>
  <si>
    <t>Guias rebaixadas</t>
  </si>
  <si>
    <t>Habite-se</t>
  </si>
  <si>
    <t>Heliponto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</si>
  <si>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</si>
  <si>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</si>
  <si>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</si>
  <si>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</si>
  <si>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</si>
  <si>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IPREM</t>
  </si>
  <si>
    <t>IPTU - Imposto Predial e Territorial Urbano</t>
  </si>
  <si>
    <t>ISS - Imposto Sobre Serviços</t>
  </si>
  <si>
    <t>ITBI -  Imposto sobre a Transmissão de Bens Imóveis</t>
  </si>
  <si>
    <t>Lei Aldir Blanc - apoio emergencial a cultura</t>
  </si>
  <si>
    <t>Leve leite</t>
  </si>
  <si>
    <t>Licenciamento Ambiental</t>
  </si>
  <si>
    <t>Lixeiras públicas</t>
  </si>
  <si>
    <t>Locais com lotação superior a 250 pessoas (cinemas, teatros, casas de shows)</t>
  </si>
  <si>
    <t>Material e uniforme escolar</t>
  </si>
  <si>
    <t>Matrícula e transferência escolar</t>
  </si>
  <si>
    <t>Mediação de conflitos</t>
  </si>
  <si>
    <t>Medicamento de controle especial</t>
  </si>
  <si>
    <t xml:space="preserve">Mercados e Sacolões </t>
  </si>
  <si>
    <t>Microempreendedor Individual - MEI</t>
  </si>
  <si>
    <t>Moto frete</t>
  </si>
  <si>
    <t>Multa ambiental</t>
  </si>
  <si>
    <t>Multas de trânsito</t>
  </si>
  <si>
    <t>Multas e contestações</t>
  </si>
  <si>
    <t>Não identificado***</t>
  </si>
  <si>
    <t>Nota do Milhão</t>
  </si>
  <si>
    <t>Numeração de imóveis</t>
  </si>
  <si>
    <t>Obras no viário</t>
  </si>
  <si>
    <t>Ocupação irregular</t>
  </si>
  <si>
    <t>Ônibus</t>
  </si>
  <si>
    <t>Organizações da Sociedade Civil</t>
  </si>
  <si>
    <t>Ônibus fretado</t>
  </si>
  <si>
    <t>Órgão externo</t>
  </si>
  <si>
    <t>Pandemia - COVID 19</t>
  </si>
  <si>
    <t>Parques</t>
  </si>
  <si>
    <t>Patrimônio histórico e cultural</t>
  </si>
  <si>
    <t>Pedido de orientação ou informação</t>
  </si>
  <si>
    <t>Pessoa idosa</t>
  </si>
  <si>
    <t>Placas com nome de rua</t>
  </si>
  <si>
    <t>Planetário</t>
  </si>
  <si>
    <t>Poluição do ar</t>
  </si>
  <si>
    <t>Poluição sonora - PSIU</t>
  </si>
  <si>
    <t>Ponto viciado, entulho e caçamba de entulho</t>
  </si>
  <si>
    <t>População ou pessoa em situação de rua</t>
  </si>
  <si>
    <t>Portal SP156</t>
  </si>
  <si>
    <t>Praças</t>
  </si>
  <si>
    <t>Precatórios</t>
  </si>
  <si>
    <t>Processo Administrativo</t>
  </si>
  <si>
    <t>Programa Ação Jovem</t>
  </si>
  <si>
    <t>Programa Bolsa Família</t>
  </si>
  <si>
    <t>Programa Bolsa Trabalho</t>
  </si>
  <si>
    <t>Programa Cidade Solidária</t>
  </si>
  <si>
    <t>Programa Operação Trabalho - POT</t>
  </si>
  <si>
    <t>Programa Renda Cidadã</t>
  </si>
  <si>
    <t>Programa Renda Mínima</t>
  </si>
  <si>
    <t>Publicidade e poluição visual</t>
  </si>
  <si>
    <t>Qualidade de atendimento</t>
  </si>
  <si>
    <t>RBE - Regularizar situação do RG ou RNE</t>
  </si>
  <si>
    <t>Reciclagem</t>
  </si>
  <si>
    <t>Registro de animais - RGA</t>
  </si>
  <si>
    <t>Regularização de imóveis</t>
  </si>
  <si>
    <t>Remoção de grandes objetos</t>
  </si>
  <si>
    <t>Renda Básica Emergencial</t>
  </si>
  <si>
    <t>Reparação de danos</t>
  </si>
  <si>
    <t>Rios e córregos</t>
  </si>
  <si>
    <t>Ruas, vilas, vielas e escadarias</t>
  </si>
  <si>
    <t>Saúde bucal</t>
  </si>
  <si>
    <t>SAV - Solução de Atendimento Eletrônico</t>
  </si>
  <si>
    <t>Seguro desemprego</t>
  </si>
  <si>
    <t>Segurança de edificação</t>
  </si>
  <si>
    <t>Senha Web</t>
  </si>
  <si>
    <t>Serviços de apoio terapêutico</t>
  </si>
  <si>
    <t>Sinalização e Circulação de veículos e Pedestres</t>
  </si>
  <si>
    <t>Solicitação de callback durante atendimento receptivo</t>
  </si>
  <si>
    <t>Solicitar que acesso ao processo da OGM seja público*****</t>
  </si>
  <si>
    <t>Taxas mobiliárias</t>
  </si>
  <si>
    <t>Táxi e App</t>
  </si>
  <si>
    <t>Telecentro</t>
  </si>
  <si>
    <t>Terrenos e imóveis</t>
  </si>
  <si>
    <t>Transporte Escolar</t>
  </si>
  <si>
    <t>Unidade habitacional</t>
  </si>
  <si>
    <t>Unidades escolares</t>
  </si>
  <si>
    <t>Urgências e Emergências</t>
  </si>
  <si>
    <t>Vacinação</t>
  </si>
  <si>
    <t>Varrição e limpeza urbana</t>
  </si>
  <si>
    <t>Veículos abandonados</t>
  </si>
  <si>
    <t>Zona Azul</t>
  </si>
  <si>
    <t>WiFi Livre SP</t>
  </si>
  <si>
    <t xml:space="preserve">* Em decorrência da troca de sistema ocorrida em Dez/2016, a metodologia atualmente aplicada para a classificação dos assuntos é a Guia de Serviços do Portal 156.  
</t>
  </si>
  <si>
    <t>**Os assunto "colmeia e vespeiro, pernilongo e mosquito"  passou a ser classificado como um serviço dentro do assunto "animais que podem causar doenças e agravos à saúde"  no portal 156 a partir de maio/2018</t>
  </si>
  <si>
    <t>***Os protocolos classificadas como assunto não especificado, são reclamações recebidas no sistema sem que se tenha o registro do assunto demandado.</t>
  </si>
  <si>
    <t>****Em decorrência a atualização da Guia de Serviços no Portal 156, o serviço "Matricula e transferência"  passou a ser classificado como assunto a partir de Julho/2018</t>
  </si>
  <si>
    <t>*****O assunto "Solicitar que acesso ao processo da OGM seja público" passou a ser classificado após implantação de formulário SIGRC.</t>
  </si>
  <si>
    <t>Assuntos - 10 mais demandados de 2023 (Média)</t>
  </si>
  <si>
    <t>Unidades PMSP</t>
  </si>
  <si>
    <t>Outros</t>
  </si>
  <si>
    <t>%total</t>
  </si>
  <si>
    <t>Assuntos - variação dos 10 mais demandados de 2023 (MÉDIA)</t>
  </si>
  <si>
    <t>*Protocolos - valores absolutos do mês</t>
  </si>
  <si>
    <t>** Variação percentual em relação ao mês imediatamente anterior.</t>
  </si>
  <si>
    <t>Protocolos*</t>
  </si>
  <si>
    <t>Variação**</t>
  </si>
  <si>
    <t>Assuntos - 10 mais demandados dos 3 últimos meses (Média)</t>
  </si>
  <si>
    <t xml:space="preserve">Agência Reguladora de Serviços Públicos do Município de São Paulo** </t>
  </si>
  <si>
    <t>Casa Civil</t>
  </si>
  <si>
    <t>Companhia de Engenharia de Tráfego - CET</t>
  </si>
  <si>
    <t>Companhia Metropolitana de Habitação - COHAB</t>
  </si>
  <si>
    <t>Controladoria Geral do Município</t>
  </si>
  <si>
    <t>Não identificado</t>
  </si>
  <si>
    <t>Procuradoria Geral do Município</t>
  </si>
  <si>
    <t>São Paulo Obras - SPObras</t>
  </si>
  <si>
    <t>São Paulo Transportes - SPTRANS</t>
  </si>
  <si>
    <t>Secretaria de Relações Institucionais</t>
  </si>
  <si>
    <t>Secretaria de Relações Internacionais</t>
  </si>
  <si>
    <t>Secretaria do Governo Municipal</t>
  </si>
  <si>
    <t>Secretaria Executiva de Limpeza Urbana**</t>
  </si>
  <si>
    <t>Secretaria Municipal da Fazenda</t>
  </si>
  <si>
    <t>Secretaria Municipal da Pessoa com Deficiência</t>
  </si>
  <si>
    <t>Secretaria Municipal da Saúde</t>
  </si>
  <si>
    <t>Secretaria Municipal das Subprefeituras</t>
  </si>
  <si>
    <t>Secretaria Municipal de Assistência e Desenvolvimento Social</t>
  </si>
  <si>
    <t>Secretaria Municipal de Cultura</t>
  </si>
  <si>
    <t>Secretaria Municipal de Desenvolvimento Econômico e Trabalho</t>
  </si>
  <si>
    <t>Secretaria Municipal de Direitos Humanos e Cidadania</t>
  </si>
  <si>
    <t>Secretaria Municipal de Educação</t>
  </si>
  <si>
    <t>Secretaria Municipal de Esportes e Lazer</t>
  </si>
  <si>
    <t>Secretaria Municipal de Gestão</t>
  </si>
  <si>
    <t>Secretaria Municipal de Habitação</t>
  </si>
  <si>
    <t>Secretaria Municipal de Infraestrutura Urbana e Obras</t>
  </si>
  <si>
    <t>Secretaria Municipal de Inovação e Tecnologia</t>
  </si>
  <si>
    <t>Secretaria Municipal de Justiça</t>
  </si>
  <si>
    <t>Secretaria Municipal de Mobilidade e Trânsito</t>
  </si>
  <si>
    <t>Secretaria Municipal de Segurança Urbana</t>
  </si>
  <si>
    <t>Secretaria Municipal de Turismo</t>
  </si>
  <si>
    <t>Secretaria Municipal de Urbanismo e Licenciamento*</t>
  </si>
  <si>
    <t>Secretaria Municipal do Verde e Meio Ambiente</t>
  </si>
  <si>
    <t>Serviço Funerário do Município de São Paulo - SFMSP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</si>
  <si>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</si>
  <si>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</si>
  <si>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</si>
  <si>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</si>
  <si>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</si>
  <si>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</si>
  <si>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</si>
  <si>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</si>
  <si>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</si>
  <si>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</si>
  <si>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</si>
  <si>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</si>
  <si>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</si>
  <si>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</si>
  <si>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</si>
  <si>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</si>
  <si>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M'Boi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</si>
  <si>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</si>
  <si>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</si>
  <si>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</si>
  <si>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</si>
  <si>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</si>
  <si>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</si>
  <si>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</si>
  <si>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</si>
  <si>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</si>
  <si>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</si>
  <si>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</si>
  <si>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</si>
  <si>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</si>
  <si>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</si>
  <si>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</si>
  <si>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*Em 2021 ILUME passou para a competencia de SMUL</t>
  </si>
  <si>
    <t>Unidades - 10 mais demandadas de 2023 (Média)</t>
  </si>
  <si>
    <t>Unidades - variação dos 10 mais demandados de 2023 (MÉDIA)</t>
  </si>
  <si>
    <t>Unidades - 10 mais demandadas dos 3 últimos meses (Média)</t>
  </si>
  <si>
    <t>P3A19:U38</t>
  </si>
  <si>
    <t>% Total dentre as subprefeituras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</si>
  <si>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</si>
  <si>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</si>
  <si>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</si>
  <si>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</si>
  <si>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</si>
  <si>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</si>
  <si>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</si>
  <si>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</si>
  <si>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</si>
  <si>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</si>
  <si>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</si>
  <si>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</si>
  <si>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</si>
  <si>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</si>
  <si>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</si>
  <si>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</si>
  <si>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M'Boi Mirim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</si>
  <si>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</si>
  <si>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</si>
  <si>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</si>
  <si>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</si>
  <si>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</si>
  <si>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</si>
  <si>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</si>
  <si>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</si>
  <si>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</si>
  <si>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 Paulista</t>
  </si>
  <si>
    <t>Sapopemba</t>
  </si>
  <si>
    <t>Sé</t>
  </si>
  <si>
    <t>Vila Maria/Vila Guilherme</t>
  </si>
  <si>
    <t>Vila Mariana</t>
  </si>
  <si>
    <t>Vila Prudente</t>
  </si>
  <si>
    <t>Subprefeituras - 10 mais demandados de 2023 (Média)</t>
  </si>
  <si>
    <t>Subprefeituras - variação dos 10 mais demandados de 2023 (MÉDIA)</t>
  </si>
  <si>
    <t xml:space="preserve">Total </t>
  </si>
  <si>
    <t>Média anual</t>
  </si>
  <si>
    <t>% Total 2023</t>
  </si>
  <si>
    <t>Denúncias</t>
  </si>
  <si>
    <t>Deferidas</t>
  </si>
  <si>
    <t>Indeferidas</t>
  </si>
  <si>
    <t>Canceladas</t>
  </si>
  <si>
    <t>Total de denúncias *(exceto canceladas)</t>
  </si>
  <si>
    <t xml:space="preserve"> </t>
  </si>
  <si>
    <t>Total denúncias</t>
  </si>
  <si>
    <t>Reclassificadas</t>
  </si>
  <si>
    <t>Denúncias* (exceto canceladas)</t>
  </si>
  <si>
    <t>Assédio moral</t>
  </si>
  <si>
    <t>Assédio sexual</t>
  </si>
  <si>
    <t>Desvio de verbas, materiais e bens públicos</t>
  </si>
  <si>
    <t>Irregularidade da contratação e/ou gestão de serviço público</t>
  </si>
  <si>
    <t>Total indeferidas</t>
  </si>
  <si>
    <t>Total deferidas</t>
  </si>
  <si>
    <t>Pedidos e-SIC</t>
  </si>
  <si>
    <t>Órgão</t>
  </si>
  <si>
    <t>SITUAÇÃO</t>
  </si>
  <si>
    <t>ADE SAMPA - Agência São Paulo de Desenvolvimento</t>
  </si>
  <si>
    <t>AMLURB - Autoridade Municipal de Limpeza Urbana</t>
  </si>
  <si>
    <t>Pedidos registrados</t>
  </si>
  <si>
    <t>CET - Companhia de Engenharia de Tráfego</t>
  </si>
  <si>
    <t>CGM - Controladoria Geral do Município</t>
  </si>
  <si>
    <t>Decisões iniciais</t>
  </si>
  <si>
    <t>COHAB - Companhia Metropolitana de Habitação</t>
  </si>
  <si>
    <t>Total (decisões iniciais)</t>
  </si>
  <si>
    <t>FPETC_ Fundação Paulistana de Educação, Tecnologia e Cultura</t>
  </si>
  <si>
    <t>Atendidos</t>
  </si>
  <si>
    <t>FTMSP - Fundação Theatro Municipal de São Paulo</t>
  </si>
  <si>
    <t>Indeferidos</t>
  </si>
  <si>
    <t>HSPM - Hospital do Servidor Público Municipal</t>
  </si>
  <si>
    <t>IPREM - Instituto de Previdência Municipal de São Paulo</t>
  </si>
  <si>
    <t>1ª instância</t>
  </si>
  <si>
    <t>PGM - Procuradoria Geral do Município</t>
  </si>
  <si>
    <t>Solicitações</t>
  </si>
  <si>
    <t>Prodam-Empresa de Tecnologia da Informação e Comunicação do Munic.SP</t>
  </si>
  <si>
    <t>Total (decisões 1ª instância)</t>
  </si>
  <si>
    <t>SPTrans - São Paulo Transportes S/A</t>
  </si>
  <si>
    <t>Deferidos</t>
  </si>
  <si>
    <t>SECOM - Secretaria Especial de Comunicação</t>
  </si>
  <si>
    <t>SEGES - Secretaria Executiva de Gestão</t>
  </si>
  <si>
    <t>SEHAB - Secretaria Municipal de Habitação</t>
  </si>
  <si>
    <t>2ª instância</t>
  </si>
  <si>
    <t>SEME - Secretaria Municipal de Esportes e Lazer</t>
  </si>
  <si>
    <t>SERI – Secretaria Executiva de Relações Institucionais</t>
  </si>
  <si>
    <t>Total (decisões 2ª instância)</t>
  </si>
  <si>
    <t>SF - Secretaria Municipal da Fazenda</t>
  </si>
  <si>
    <t>SFMSP - Serviço Funerário</t>
  </si>
  <si>
    <t>SGM - Secretaria de Governo Municipal</t>
  </si>
  <si>
    <t>Recurso de Ofício (RO)</t>
  </si>
  <si>
    <t>SIURB - Secretaria Municipal de Infraestrutura Urbana e Obras</t>
  </si>
  <si>
    <t>Encaminhado para o órgão para complemento</t>
  </si>
  <si>
    <t>SMADS - Secretaria Municipal de Assistência e Desenvolvimento Social</t>
  </si>
  <si>
    <t>SMC - Secretaria Municipal de Cultura</t>
  </si>
  <si>
    <t>3ª instância</t>
  </si>
  <si>
    <t>SMDET - Secretaria Municipal de Desenvolvimento Econômico e Trabalho</t>
  </si>
  <si>
    <t>SMDHC - Secretaria Municipal de Direitos Humanos e Cidadania</t>
  </si>
  <si>
    <t>Total (decisões 3ª instância)</t>
  </si>
  <si>
    <t>SME - Secretaria Municipal de Educação</t>
  </si>
  <si>
    <t>SMIT - Secretaria Municipal de Inovação e Tecnologia</t>
  </si>
  <si>
    <t>SMJ - Secretaria Municipal de Justiça</t>
  </si>
  <si>
    <t>SMPED - Secretaria Municipal da Pessoa com Deficiência</t>
  </si>
  <si>
    <t>SMRI - Secretaria Municipal de Relações Internacionais</t>
  </si>
  <si>
    <t>SMS - Secretaria Municipal da Saúde</t>
  </si>
  <si>
    <t>SMSU - Secretaria Municipal de Segurança Urbana</t>
  </si>
  <si>
    <t>SMSUB - Secretaria Municipal das Subprefeituras</t>
  </si>
  <si>
    <t>SMT - Secretaria Municipal de Mobilidade e Transportes</t>
  </si>
  <si>
    <t>SMTUR - Secretaria Municipal de Turismo</t>
  </si>
  <si>
    <t>SMUL - Secretaria Municipal de Urbanismo e Licenciamento</t>
  </si>
  <si>
    <t>SP CINE - Empresa de Cinema e Audiovisual de São Paulo</t>
  </si>
  <si>
    <t>SP OBRAS - São Paulo Obras</t>
  </si>
  <si>
    <t>São Paulo Parcerias S/A</t>
  </si>
  <si>
    <t>SP Regula - Agência Reguladora de Serviços Públicos do Município de São Paulo</t>
  </si>
  <si>
    <t>SP URBANISMO - São Paulo Urbanismo</t>
  </si>
  <si>
    <t>SPDA - Companhia São Paulo de Desenvolvimento e Mobilização de Ativos</t>
  </si>
  <si>
    <t>SPSEC - Companhia Paulistana de Securitização</t>
  </si>
  <si>
    <t>SPTURIS - São Paulo Turismo S/A</t>
  </si>
  <si>
    <t>Subprefeitura Aricanduva/Formosa/Carrão</t>
  </si>
  <si>
    <t>Subprefeitura Casa Verde/Cachoeirinha</t>
  </si>
  <si>
    <t>Subprefeitura Freguesia / Brasilândia</t>
  </si>
  <si>
    <t>Subprefeitura M’ Boi Mirim</t>
  </si>
  <si>
    <t>SVMA - Secretaria Municipal do Verde e do Meio Ambiente</t>
  </si>
  <si>
    <t>SMS</t>
  </si>
  <si>
    <t>CET</t>
  </si>
  <si>
    <t>SME</t>
  </si>
  <si>
    <t>SPTrans</t>
  </si>
  <si>
    <t>SF</t>
  </si>
  <si>
    <t>SMSUB</t>
  </si>
  <si>
    <t>SMT</t>
  </si>
  <si>
    <t>SEGES</t>
  </si>
  <si>
    <t>Serviço</t>
  </si>
  <si>
    <t>Quantidade</t>
  </si>
  <si>
    <t>Alimentação escolar</t>
  </si>
  <si>
    <t>Denunciar estabelecimento que não fornece álcool em gel ou permite entrada sem máscara durante a crise do Coronavírus</t>
  </si>
  <si>
    <t>Denunciar estabelecimento que não segue as regras de funcionamento previstas durante a pandemia do Coronavírus</t>
  </si>
  <si>
    <t>Material escolar</t>
  </si>
  <si>
    <t>Manifestação livre</t>
  </si>
  <si>
    <t xml:space="preserve">Renda Básica Emergencial </t>
  </si>
  <si>
    <t>Vacinas</t>
  </si>
  <si>
    <t>Denunciar irregularidade da contratação e/ou gestão de serviço público</t>
  </si>
  <si>
    <t>Janeiro</t>
  </si>
  <si>
    <t>Fevereiro</t>
  </si>
  <si>
    <t>Março</t>
  </si>
  <si>
    <t>Abril</t>
  </si>
  <si>
    <t>Maio</t>
  </si>
  <si>
    <t>Junho</t>
  </si>
  <si>
    <t>FINALIZADA</t>
  </si>
  <si>
    <t>CANCELADA</t>
  </si>
  <si>
    <t>PORTAL</t>
  </si>
  <si>
    <t>Julho</t>
  </si>
  <si>
    <t>DEFERIDAS</t>
  </si>
  <si>
    <t>INDEFERIDAS</t>
  </si>
  <si>
    <t>AHMSP Autarquia Hospitalar Municipal</t>
  </si>
  <si>
    <t>Secretaria Executiva de Comunicação</t>
  </si>
  <si>
    <t>SMC</t>
  </si>
  <si>
    <t>Acesso à informação</t>
  </si>
  <si>
    <t>Descomplica SP - Capela do Socorro</t>
  </si>
  <si>
    <t>Faixas exclusivas e corredores de ônibus</t>
  </si>
  <si>
    <t>Saúde mental</t>
  </si>
  <si>
    <t>EM ANDAMENTO</t>
  </si>
  <si>
    <t>Agosto</t>
  </si>
  <si>
    <t>Áreas de pedestre (calçadões)</t>
  </si>
  <si>
    <t>Atendimento especializado para defesa de direitos</t>
  </si>
  <si>
    <t>Certidões de trânsito</t>
  </si>
  <si>
    <t>Descomplica SP - São Mateus</t>
  </si>
  <si>
    <t>ISS – Construção Civil</t>
  </si>
  <si>
    <t>Manutenção da sinalização de trânsito</t>
  </si>
  <si>
    <t>Pessoa desaparecida</t>
  </si>
  <si>
    <t>Vigilância Sanitária</t>
  </si>
  <si>
    <t>Vista de Processos - Secretaria Municipal da Fazenda</t>
  </si>
  <si>
    <t>Ecoponto</t>
  </si>
  <si>
    <t>Parcelamento de tributos</t>
  </si>
  <si>
    <t>Regimes Especiais de Tributação</t>
  </si>
  <si>
    <t>PROCON Cidade de São Paulo</t>
  </si>
  <si>
    <t>Setembro</t>
  </si>
  <si>
    <t>Exames em atenção especializada ambulatorial / básica em saúde</t>
  </si>
  <si>
    <t>Ônibus e Ponto de ônibus</t>
  </si>
  <si>
    <t>CANCELADAS</t>
  </si>
  <si>
    <t>SMUL</t>
  </si>
  <si>
    <t>** A partir de março_22 AMLURB desmembrada em SPRegula e SELimp</t>
  </si>
  <si>
    <t>ASSUNTO -  Buraco e Pavimentação (Guia Portal 156)*</t>
  </si>
  <si>
    <t xml:space="preserve">TOTAL </t>
  </si>
  <si>
    <t>Buraco e Pavimentação</t>
  </si>
  <si>
    <t>****** O assunto "Transtorno do espectro do autismo (TEA)" passou a compor os assuntos com  a atualização da carta de serviços do Portal 156</t>
  </si>
  <si>
    <t>Transtorno do espectro do autismo (TEA)******</t>
  </si>
  <si>
    <r>
      <rPr>
        <b/>
        <sz val="11"/>
        <color rgb="FF000000"/>
        <rFont val="Calibri"/>
        <family val="2"/>
      </rPr>
      <t>Tapa buraco - Secretaria Municipal das Subprefeituras</t>
    </r>
    <r>
      <rPr>
        <sz val="11"/>
        <color rgb="FF000000"/>
        <rFont val="Calibri"/>
        <family val="2"/>
      </rPr>
      <t>: https://sp156.prefeitura.sp.gov.br/portal/servicos/informacao?servico=952</t>
    </r>
  </si>
  <si>
    <r>
      <rPr>
        <b/>
        <sz val="11"/>
        <color rgb="FF000000"/>
        <rFont val="Calibri"/>
        <family val="2"/>
      </rPr>
      <t>Solicitar vistoria e reparo em pontes e viadutos - Secretaria Municipal de Infraestrutura Urbana e Obras</t>
    </r>
    <r>
      <rPr>
        <sz val="11"/>
        <color rgb="FF000000"/>
        <rFont val="Calibri"/>
        <family val="2"/>
      </rPr>
      <t>: https://sp156.prefeitura.sp.gov.br/portal/servicos/informacao?servico=3381</t>
    </r>
  </si>
  <si>
    <t>São Paulo Transportes - SPTrans</t>
  </si>
  <si>
    <t>Subprefeituras</t>
  </si>
  <si>
    <r>
      <rPr>
        <b/>
        <sz val="11"/>
        <color rgb="FF000000"/>
        <rFont val="Calibri"/>
        <family val="2"/>
      </rPr>
      <t>Tapa Buraco em faixa exlusiva de ônibus - São Paulo Transportes:</t>
    </r>
    <r>
      <rPr>
        <sz val="11"/>
        <color rgb="FF000000"/>
        <rFont val="Calibri"/>
        <family val="2"/>
      </rPr>
      <t xml:space="preserve"> https://sp156.prefeitura.sp.gov.br/portal/servicos/informacao?servico=3170</t>
    </r>
  </si>
  <si>
    <t>Álcool e outras drogas</t>
  </si>
  <si>
    <t>Consulta em atenção básica</t>
  </si>
  <si>
    <t>Pessoa com Deficiência</t>
  </si>
  <si>
    <t>Outubro</t>
  </si>
  <si>
    <t>Autorização para eventos e locais de reunião</t>
  </si>
  <si>
    <t>Bolsas e Programas de Qualificação</t>
  </si>
  <si>
    <t>CEUS</t>
  </si>
  <si>
    <t>Fab Lab</t>
  </si>
  <si>
    <t>Gratuidades</t>
  </si>
  <si>
    <t>Licenciamento Industrial</t>
  </si>
  <si>
    <t>Ouvidoria SUS</t>
  </si>
  <si>
    <t>Qualificação profissional</t>
  </si>
  <si>
    <t>Rua de Lazer</t>
  </si>
  <si>
    <t>Saúde da pessoa com deficiência</t>
  </si>
  <si>
    <t>Novembro</t>
  </si>
  <si>
    <t>Denúncia Fiscal</t>
  </si>
  <si>
    <t>Descomplica SP - Butantã</t>
  </si>
  <si>
    <t>Descomplica SP - Campo Limpo</t>
  </si>
  <si>
    <t>Educação ambiental</t>
  </si>
  <si>
    <t>Saúde da pessoa idosa</t>
  </si>
  <si>
    <t>Turismo</t>
  </si>
  <si>
    <t>% Canais de entrada DEZ/23</t>
  </si>
  <si>
    <t>% em relação ao todo de DEZ/23 (exetuando-se denúncias)</t>
  </si>
  <si>
    <t>10 assuntos mais demandados de DEZEMBRO/2023</t>
  </si>
  <si>
    <t>10 unidades mais demandadas de DEZEMBRO/23</t>
  </si>
  <si>
    <t>Dezembro</t>
  </si>
  <si>
    <t>Denunciar conduta inadequada de Agente Público</t>
  </si>
  <si>
    <t>Ilegalidade na gestão pública municipal</t>
  </si>
  <si>
    <t>% Total DEZ/23 dentro do STATUS</t>
  </si>
  <si>
    <t>Unidades PMSP - DEZEMBRO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</si>
</sst>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0.0"/>
    <numFmt numFmtId="166" formatCode="&quot; &quot;#,##0.00&quot; &quot;;&quot;-&quot;#,##0.00&quot; &quot;;&quot; -&quot;00&quot; &quot;;&quot; &quot;@&quot; &quot;"/>
    <numFmt numFmtId="167" formatCode="0.000"/>
  </numFmts>
  <fonts count="60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44546A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 "/>
    </font>
    <font>
      <sz val="11"/>
      <color rgb="FF000000"/>
      <name val="Arial "/>
    </font>
    <font>
      <b/>
      <sz val="11"/>
      <color rgb="FF000000"/>
      <name val="Arial "/>
    </font>
    <font>
      <sz val="11"/>
      <color rgb="FFFFFFFF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  <font>
      <sz val="10"/>
      <color theme="0"/>
      <name val="Calibri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sz val="8"/>
      <color theme="0"/>
      <name val="Arial"/>
      <family val="2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1"/>
      <name val="Calibri"/>
      <family val="2"/>
    </font>
    <font>
      <b/>
      <sz val="8"/>
      <name val="Calibri"/>
      <family val="2"/>
    </font>
    <font>
      <sz val="12"/>
      <color theme="0"/>
      <name val="Arial "/>
    </font>
    <font>
      <b/>
      <sz val="11"/>
      <name val="Arial"/>
      <family val="2"/>
    </font>
    <font>
      <b/>
      <sz val="9"/>
      <name val="Arial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9FFCC"/>
        <bgColor rgb="FF99FFCC"/>
      </patternFill>
    </fill>
    <fill>
      <patternFill patternType="solid">
        <fgColor rgb="FFBF8F00"/>
        <bgColor rgb="FFBF8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CC00CC"/>
        <bgColor rgb="FFCC00CC"/>
      </patternFill>
    </fill>
    <fill>
      <patternFill patternType="solid">
        <fgColor rgb="FFFF3399"/>
        <bgColor rgb="FFFF3399"/>
      </patternFill>
    </fill>
    <fill>
      <patternFill patternType="solid">
        <fgColor rgb="FFFFCCCC"/>
        <bgColor rgb="FFFFCCCC"/>
      </patternFill>
    </fill>
    <fill>
      <patternFill patternType="solid">
        <fgColor rgb="FF3333CC"/>
        <bgColor rgb="FF3333CC"/>
      </patternFill>
    </fill>
    <fill>
      <patternFill patternType="solid">
        <fgColor rgb="FF6699FF"/>
        <bgColor rgb="FF6699FF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30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548235"/>
      </bottom>
      <diagonal/>
    </border>
    <border>
      <left style="medium">
        <color rgb="FF548235"/>
      </left>
      <right/>
      <top style="medium">
        <color rgb="FF548235"/>
      </top>
      <bottom style="medium">
        <color rgb="FF548235"/>
      </bottom>
      <diagonal/>
    </border>
    <border>
      <left style="thin">
        <color rgb="FF548235"/>
      </left>
      <right/>
      <top style="medium">
        <color rgb="FF548235"/>
      </top>
      <bottom style="medium">
        <color rgb="FF548235"/>
      </bottom>
      <diagonal/>
    </border>
    <border>
      <left style="medium">
        <color rgb="FF000000"/>
      </left>
      <right style="medium">
        <color rgb="FF548235"/>
      </right>
      <top style="medium">
        <color rgb="FF548235"/>
      </top>
      <bottom style="thin">
        <color rgb="FF548235"/>
      </bottom>
      <diagonal/>
    </border>
    <border>
      <left style="medium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/>
      <diagonal/>
    </border>
    <border>
      <left style="thin">
        <color rgb="FF548235"/>
      </left>
      <right/>
      <top/>
      <bottom style="thin">
        <color rgb="FF548235"/>
      </bottom>
      <diagonal/>
    </border>
    <border>
      <left style="medium">
        <color rgb="FF000000"/>
      </left>
      <right style="medium">
        <color rgb="FF548235"/>
      </right>
      <top style="thin">
        <color rgb="FF548235"/>
      </top>
      <bottom style="medium">
        <color rgb="FF548235"/>
      </bottom>
      <diagonal/>
    </border>
    <border>
      <left style="medium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medium">
        <color rgb="FF548235"/>
      </bottom>
      <diagonal/>
    </border>
    <border>
      <left style="thin">
        <color rgb="FF548235"/>
      </left>
      <right/>
      <top/>
      <bottom style="medium">
        <color rgb="FF54823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806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0066"/>
      </bottom>
      <diagonal/>
    </border>
    <border>
      <left style="medium">
        <color rgb="FF000000"/>
      </left>
      <right/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/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medium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/>
      <diagonal/>
    </border>
    <border>
      <left style="thin">
        <color rgb="FFFF0066"/>
      </left>
      <right/>
      <top/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medium">
        <color rgb="FFFF0066"/>
      </bottom>
      <diagonal/>
    </border>
    <border>
      <left/>
      <right style="thin">
        <color rgb="FFFF0066"/>
      </right>
      <top/>
      <bottom/>
      <diagonal/>
    </border>
    <border>
      <left style="thin">
        <color rgb="FFFF0066"/>
      </left>
      <right style="thin">
        <color rgb="FFFF0066"/>
      </right>
      <top style="thin">
        <color rgb="FFFF0066"/>
      </top>
      <bottom style="medium">
        <color rgb="FFFF0066"/>
      </bottom>
      <diagonal/>
    </border>
    <border>
      <left style="thin">
        <color rgb="FFFF0066"/>
      </left>
      <right/>
      <top/>
      <bottom/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/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/>
      <top/>
      <bottom style="medium">
        <color rgb="FFFF006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00"/>
      </right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 style="medium">
        <color rgb="FF000000"/>
      </left>
      <right style="medium">
        <color rgb="FF0000FF"/>
      </right>
      <top style="thin">
        <color rgb="FF0000FF"/>
      </top>
      <bottom style="medium">
        <color rgb="FF00000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/>
      <top/>
      <bottom style="medium">
        <color rgb="FF000000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806000"/>
      </left>
      <right/>
      <top style="medium">
        <color rgb="FF806000"/>
      </top>
      <bottom/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/>
      <diagonal/>
    </border>
    <border>
      <left/>
      <right style="thin">
        <color rgb="FF806000"/>
      </right>
      <top style="medium">
        <color rgb="FF806000"/>
      </top>
      <bottom/>
      <diagonal/>
    </border>
    <border>
      <left style="thin">
        <color rgb="FF806000"/>
      </left>
      <right style="thin">
        <color rgb="FF806000"/>
      </right>
      <top style="medium">
        <color rgb="FF806000"/>
      </top>
      <bottom/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medium">
        <color indexed="64"/>
      </bottom>
      <diagonal/>
    </border>
    <border>
      <left style="thin">
        <color rgb="FF806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thin">
        <color rgb="FF806000"/>
      </bottom>
      <diagonal/>
    </border>
    <border>
      <left style="medium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 style="thin">
        <color rgb="FF806000"/>
      </bottom>
      <diagonal/>
    </border>
    <border>
      <left/>
      <right style="thin">
        <color rgb="FF806000"/>
      </right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/>
      <diagonal/>
    </border>
    <border>
      <left style="thin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806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thin">
        <color rgb="FF806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5" fillId="0" borderId="1" applyNumberFormat="0" applyFill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0" fontId="1" fillId="0" borderId="0" applyNumberFormat="0" applyFont="0" applyBorder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6">
    <xf numFmtId="0" fontId="0" fillId="0" borderId="0" xfId="0"/>
    <xf numFmtId="0" fontId="6" fillId="0" borderId="0" xfId="0" applyFont="1"/>
    <xf numFmtId="1" fontId="0" fillId="0" borderId="0" xfId="0" applyNumberFormat="1"/>
    <xf numFmtId="165" fontId="0" fillId="0" borderId="0" xfId="0" applyNumberFormat="1"/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7" fontId="6" fillId="0" borderId="4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17" fontId="6" fillId="0" borderId="6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/>
    <xf numFmtId="165" fontId="7" fillId="0" borderId="0" xfId="0" applyNumberFormat="1" applyFont="1" applyAlignment="1">
      <alignment horizontal="center"/>
    </xf>
    <xf numFmtId="3" fontId="7" fillId="0" borderId="7" xfId="0" applyNumberFormat="1" applyFont="1" applyBorder="1" applyAlignment="1">
      <alignment horizontal="center"/>
    </xf>
    <xf numFmtId="2" fontId="0" fillId="0" borderId="0" xfId="0" applyNumberFormat="1"/>
    <xf numFmtId="17" fontId="6" fillId="0" borderId="8" xfId="0" applyNumberFormat="1" applyFont="1" applyBorder="1" applyAlignment="1">
      <alignment horizontal="center"/>
    </xf>
    <xf numFmtId="0" fontId="8" fillId="0" borderId="10" xfId="0" applyFont="1" applyBorder="1" applyAlignment="1">
      <alignment horizontal="right"/>
    </xf>
    <xf numFmtId="3" fontId="7" fillId="0" borderId="11" xfId="0" applyNumberFormat="1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3" fontId="7" fillId="0" borderId="12" xfId="0" applyNumberFormat="1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17" fontId="6" fillId="5" borderId="3" xfId="0" applyNumberFormat="1" applyFont="1" applyFill="1" applyBorder="1" applyAlignment="1">
      <alignment horizontal="center" vertical="center"/>
    </xf>
    <xf numFmtId="17" fontId="6" fillId="5" borderId="2" xfId="0" applyNumberFormat="1" applyFont="1" applyFill="1" applyBorder="1" applyAlignment="1">
      <alignment horizontal="center" vertical="center"/>
    </xf>
    <xf numFmtId="17" fontId="6" fillId="5" borderId="13" xfId="0" applyNumberFormat="1" applyFont="1" applyFill="1" applyBorder="1" applyAlignment="1">
      <alignment horizontal="center" vertical="center"/>
    </xf>
    <xf numFmtId="17" fontId="6" fillId="5" borderId="14" xfId="0" applyNumberFormat="1" applyFont="1" applyFill="1" applyBorder="1" applyAlignment="1">
      <alignment horizontal="center" vertical="center"/>
    </xf>
    <xf numFmtId="165" fontId="6" fillId="5" borderId="2" xfId="0" applyNumberFormat="1" applyFont="1" applyFill="1" applyBorder="1" applyAlignment="1">
      <alignment horizontal="center" vertical="center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 vertical="top"/>
    </xf>
    <xf numFmtId="0" fontId="7" fillId="0" borderId="2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5" fontId="6" fillId="0" borderId="16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0" fontId="6" fillId="0" borderId="6" xfId="0" applyFont="1" applyBorder="1"/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" fontId="6" fillId="0" borderId="28" xfId="0" applyNumberFormat="1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1" fontId="6" fillId="5" borderId="3" xfId="0" applyNumberFormat="1" applyFont="1" applyFill="1" applyBorder="1" applyAlignment="1">
      <alignment horizontal="center"/>
    </xf>
    <xf numFmtId="17" fontId="6" fillId="5" borderId="31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65" fontId="10" fillId="5" borderId="2" xfId="0" applyNumberFormat="1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left"/>
    </xf>
    <xf numFmtId="1" fontId="7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165" fontId="6" fillId="5" borderId="4" xfId="0" applyNumberFormat="1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left"/>
    </xf>
    <xf numFmtId="1" fontId="7" fillId="0" borderId="20" xfId="0" applyNumberFormat="1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 vertical="center"/>
    </xf>
    <xf numFmtId="0" fontId="8" fillId="0" borderId="36" xfId="0" applyFont="1" applyBorder="1" applyAlignment="1">
      <alignment horizontal="left"/>
    </xf>
    <xf numFmtId="1" fontId="7" fillId="0" borderId="38" xfId="0" applyNumberFormat="1" applyFont="1" applyBorder="1" applyAlignment="1">
      <alignment horizontal="center" vertical="center"/>
    </xf>
    <xf numFmtId="1" fontId="7" fillId="0" borderId="40" xfId="0" applyNumberFormat="1" applyFont="1" applyBorder="1" applyAlignment="1">
      <alignment horizontal="center"/>
    </xf>
    <xf numFmtId="0" fontId="12" fillId="5" borderId="41" xfId="0" applyFont="1" applyFill="1" applyBorder="1" applyAlignment="1">
      <alignment horizontal="left" vertical="center"/>
    </xf>
    <xf numFmtId="3" fontId="6" fillId="5" borderId="3" xfId="0" applyNumberFormat="1" applyFont="1" applyFill="1" applyBorder="1" applyAlignment="1">
      <alignment horizontal="center" vertical="center"/>
    </xf>
    <xf numFmtId="3" fontId="6" fillId="5" borderId="12" xfId="0" applyNumberFormat="1" applyFont="1" applyFill="1" applyBorder="1" applyAlignment="1">
      <alignment horizontal="center" vertical="center"/>
    </xf>
    <xf numFmtId="3" fontId="6" fillId="5" borderId="1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0" fontId="14" fillId="0" borderId="0" xfId="0" applyFont="1"/>
    <xf numFmtId="3" fontId="14" fillId="0" borderId="0" xfId="0" applyNumberFormat="1" applyFont="1"/>
    <xf numFmtId="3" fontId="13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" fillId="6" borderId="3" xfId="0" applyFont="1" applyFill="1" applyBorder="1" applyAlignment="1">
      <alignment horizontal="center"/>
    </xf>
    <xf numFmtId="17" fontId="6" fillId="6" borderId="30" xfId="0" applyNumberFormat="1" applyFont="1" applyFill="1" applyBorder="1" applyAlignment="1">
      <alignment horizontal="center" vertical="center"/>
    </xf>
    <xf numFmtId="17" fontId="6" fillId="6" borderId="3" xfId="0" applyNumberFormat="1" applyFont="1" applyFill="1" applyBorder="1" applyAlignment="1">
      <alignment horizontal="center" vertical="center"/>
    </xf>
    <xf numFmtId="17" fontId="6" fillId="6" borderId="11" xfId="0" applyNumberFormat="1" applyFont="1" applyFill="1" applyBorder="1" applyAlignment="1">
      <alignment horizontal="center" vertical="center"/>
    </xf>
    <xf numFmtId="17" fontId="6" fillId="6" borderId="29" xfId="0" applyNumberFormat="1" applyFont="1" applyFill="1" applyBorder="1" applyAlignment="1">
      <alignment horizontal="center" vertical="center"/>
    </xf>
    <xf numFmtId="17" fontId="6" fillId="5" borderId="11" xfId="0" applyNumberFormat="1" applyFont="1" applyFill="1" applyBorder="1" applyAlignment="1">
      <alignment horizontal="center" vertical="center"/>
    </xf>
    <xf numFmtId="1" fontId="6" fillId="5" borderId="29" xfId="0" applyNumberFormat="1" applyFont="1" applyFill="1" applyBorder="1" applyAlignment="1">
      <alignment horizontal="center" vertical="center"/>
    </xf>
    <xf numFmtId="0" fontId="0" fillId="0" borderId="0" xfId="4" applyFont="1"/>
    <xf numFmtId="0" fontId="8" fillId="6" borderId="41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29" xfId="4" applyFont="1" applyFill="1" applyBorder="1" applyAlignment="1">
      <alignment horizontal="center" vertical="center"/>
    </xf>
    <xf numFmtId="1" fontId="8" fillId="5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justify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6" fillId="0" borderId="0" xfId="8" applyFont="1"/>
    <xf numFmtId="0" fontId="6" fillId="0" borderId="0" xfId="8" applyFont="1" applyAlignment="1">
      <alignment horizontal="center" vertical="center"/>
    </xf>
    <xf numFmtId="1" fontId="7" fillId="0" borderId="0" xfId="0" applyNumberFormat="1" applyFont="1"/>
    <xf numFmtId="0" fontId="15" fillId="0" borderId="0" xfId="0" applyFont="1"/>
    <xf numFmtId="0" fontId="7" fillId="0" borderId="0" xfId="0" applyFont="1" applyAlignment="1">
      <alignment horizontal="center" vertical="center"/>
    </xf>
    <xf numFmtId="1" fontId="10" fillId="5" borderId="3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" fontId="6" fillId="0" borderId="44" xfId="0" applyNumberFormat="1" applyFont="1" applyBorder="1" applyAlignment="1">
      <alignment horizontal="center"/>
    </xf>
    <xf numFmtId="2" fontId="6" fillId="5" borderId="4" xfId="0" applyNumberFormat="1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/>
    </xf>
    <xf numFmtId="0" fontId="6" fillId="5" borderId="3" xfId="0" applyFont="1" applyFill="1" applyBorder="1" applyAlignment="1">
      <alignment horizontal="right"/>
    </xf>
    <xf numFmtId="1" fontId="6" fillId="5" borderId="29" xfId="0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35" xfId="0" applyFont="1" applyBorder="1"/>
    <xf numFmtId="1" fontId="7" fillId="0" borderId="20" xfId="0" applyNumberFormat="1" applyFont="1" applyBorder="1"/>
    <xf numFmtId="0" fontId="7" fillId="0" borderId="20" xfId="0" applyFont="1" applyBorder="1"/>
    <xf numFmtId="0" fontId="7" fillId="0" borderId="23" xfId="0" applyFont="1" applyBorder="1"/>
    <xf numFmtId="0" fontId="7" fillId="0" borderId="0" xfId="0" applyFont="1" applyAlignment="1">
      <alignment vertical="center"/>
    </xf>
    <xf numFmtId="0" fontId="6" fillId="4" borderId="10" xfId="0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47" xfId="0" applyFont="1" applyFill="1" applyBorder="1" applyAlignment="1">
      <alignment horizontal="center"/>
    </xf>
    <xf numFmtId="17" fontId="6" fillId="6" borderId="29" xfId="0" applyNumberFormat="1" applyFont="1" applyFill="1" applyBorder="1" applyAlignment="1">
      <alignment horizontal="center"/>
    </xf>
    <xf numFmtId="17" fontId="6" fillId="5" borderId="3" xfId="0" applyNumberFormat="1" applyFont="1" applyFill="1" applyBorder="1"/>
    <xf numFmtId="1" fontId="6" fillId="5" borderId="3" xfId="0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right"/>
    </xf>
    <xf numFmtId="1" fontId="8" fillId="5" borderId="29" xfId="0" applyNumberFormat="1" applyFont="1" applyFill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4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0" fontId="16" fillId="0" borderId="0" xfId="0" applyFont="1"/>
    <xf numFmtId="17" fontId="6" fillId="5" borderId="3" xfId="0" applyNumberFormat="1" applyFont="1" applyFill="1" applyBorder="1" applyAlignment="1">
      <alignment horizontal="center"/>
    </xf>
    <xf numFmtId="0" fontId="16" fillId="0" borderId="0" xfId="4" applyFont="1"/>
    <xf numFmtId="0" fontId="8" fillId="0" borderId="0" xfId="0" applyFont="1"/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6" fillId="0" borderId="0" xfId="8" applyFont="1" applyAlignment="1">
      <alignment horizontal="center"/>
    </xf>
    <xf numFmtId="0" fontId="6" fillId="0" borderId="0" xfId="0" applyFont="1" applyAlignment="1">
      <alignment horizontal="left"/>
    </xf>
    <xf numFmtId="0" fontId="6" fillId="5" borderId="3" xfId="0" applyFont="1" applyFill="1" applyBorder="1" applyAlignment="1">
      <alignment horizontal="left"/>
    </xf>
    <xf numFmtId="17" fontId="6" fillId="5" borderId="14" xfId="0" applyNumberFormat="1" applyFont="1" applyFill="1" applyBorder="1" applyAlignment="1">
      <alignment horizontal="center"/>
    </xf>
    <xf numFmtId="17" fontId="6" fillId="5" borderId="31" xfId="0" applyNumberFormat="1" applyFont="1" applyFill="1" applyBorder="1" applyAlignment="1">
      <alignment horizontal="center"/>
    </xf>
    <xf numFmtId="17" fontId="6" fillId="5" borderId="30" xfId="0" applyNumberFormat="1" applyFont="1" applyFill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49" xfId="0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22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7" fillId="0" borderId="43" xfId="0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26" xfId="0" applyFont="1" applyBorder="1" applyAlignment="1">
      <alignment horizontal="left"/>
    </xf>
    <xf numFmtId="0" fontId="7" fillId="0" borderId="50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8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/>
    </xf>
    <xf numFmtId="1" fontId="6" fillId="0" borderId="25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1" fontId="6" fillId="5" borderId="51" xfId="0" applyNumberFormat="1" applyFont="1" applyFill="1" applyBorder="1" applyAlignment="1">
      <alignment horizontal="center"/>
    </xf>
    <xf numFmtId="2" fontId="6" fillId="5" borderId="11" xfId="0" applyNumberFormat="1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/>
    <xf numFmtId="17" fontId="6" fillId="5" borderId="30" xfId="0" applyNumberFormat="1" applyFont="1" applyFill="1" applyBorder="1" applyAlignment="1">
      <alignment horizontal="center" vertical="center"/>
    </xf>
    <xf numFmtId="1" fontId="7" fillId="0" borderId="19" xfId="0" applyNumberFormat="1" applyFont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1" fontId="7" fillId="0" borderId="20" xfId="0" applyNumberFormat="1" applyFont="1" applyBorder="1" applyAlignment="1">
      <alignment horizontal="center"/>
    </xf>
    <xf numFmtId="1" fontId="7" fillId="0" borderId="26" xfId="0" applyNumberFormat="1" applyFont="1" applyBorder="1" applyAlignment="1">
      <alignment horizontal="center"/>
    </xf>
    <xf numFmtId="1" fontId="6" fillId="5" borderId="11" xfId="0" applyNumberFormat="1" applyFont="1" applyFill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0" fontId="6" fillId="5" borderId="29" xfId="0" applyFont="1" applyFill="1" applyBorder="1" applyAlignment="1">
      <alignment horizontal="center"/>
    </xf>
    <xf numFmtId="1" fontId="6" fillId="0" borderId="42" xfId="0" applyNumberFormat="1" applyFont="1" applyBorder="1" applyAlignment="1">
      <alignment horizontal="center"/>
    </xf>
    <xf numFmtId="1" fontId="6" fillId="0" borderId="54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5" borderId="10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1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8" applyFont="1" applyAlignment="1">
      <alignment horizontal="left"/>
    </xf>
    <xf numFmtId="0" fontId="0" fillId="0" borderId="0" xfId="0" applyAlignment="1">
      <alignment horizontal="left"/>
    </xf>
    <xf numFmtId="17" fontId="10" fillId="5" borderId="3" xfId="0" applyNumberFormat="1" applyFont="1" applyFill="1" applyBorder="1" applyAlignment="1">
      <alignment horizontal="center" vertical="center"/>
    </xf>
    <xf numFmtId="17" fontId="10" fillId="5" borderId="11" xfId="0" applyNumberFormat="1" applyFont="1" applyFill="1" applyBorder="1" applyAlignment="1">
      <alignment horizontal="center" vertical="center"/>
    </xf>
    <xf numFmtId="17" fontId="10" fillId="5" borderId="30" xfId="0" applyNumberFormat="1" applyFont="1" applyFill="1" applyBorder="1" applyAlignment="1">
      <alignment horizontal="center" vertical="center"/>
    </xf>
    <xf numFmtId="165" fontId="10" fillId="5" borderId="31" xfId="0" applyNumberFormat="1" applyFont="1" applyFill="1" applyBorder="1" applyAlignment="1">
      <alignment horizontal="center" wrapText="1"/>
    </xf>
    <xf numFmtId="0" fontId="7" fillId="0" borderId="55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55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0" fontId="6" fillId="5" borderId="29" xfId="0" applyFont="1" applyFill="1" applyBorder="1" applyAlignment="1">
      <alignment horizontal="left"/>
    </xf>
    <xf numFmtId="1" fontId="6" fillId="5" borderId="11" xfId="0" applyNumberFormat="1" applyFont="1" applyFill="1" applyBorder="1" applyAlignment="1">
      <alignment horizontal="center" vertical="center"/>
    </xf>
    <xf numFmtId="1" fontId="6" fillId="5" borderId="30" xfId="0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17" fontId="6" fillId="5" borderId="56" xfId="0" applyNumberFormat="1" applyFont="1" applyFill="1" applyBorder="1" applyAlignment="1">
      <alignment horizontal="center" vertical="center"/>
    </xf>
    <xf numFmtId="17" fontId="6" fillId="5" borderId="57" xfId="0" applyNumberFormat="1" applyFont="1" applyFill="1" applyBorder="1" applyAlignment="1">
      <alignment horizontal="center" vertical="center"/>
    </xf>
    <xf numFmtId="1" fontId="16" fillId="0" borderId="0" xfId="0" applyNumberFormat="1" applyFont="1"/>
    <xf numFmtId="0" fontId="22" fillId="0" borderId="0" xfId="0" applyFont="1"/>
    <xf numFmtId="3" fontId="7" fillId="0" borderId="32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1" fontId="7" fillId="0" borderId="34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23" fillId="0" borderId="61" xfId="0" applyFont="1" applyBorder="1" applyAlignment="1">
      <alignment horizontal="center" vertical="center" wrapText="1"/>
    </xf>
    <xf numFmtId="17" fontId="10" fillId="6" borderId="2" xfId="0" applyNumberFormat="1" applyFont="1" applyFill="1" applyBorder="1" applyAlignment="1">
      <alignment horizontal="center" vertical="center" wrapText="1"/>
    </xf>
    <xf numFmtId="17" fontId="10" fillId="6" borderId="13" xfId="0" applyNumberFormat="1" applyFont="1" applyFill="1" applyBorder="1" applyAlignment="1">
      <alignment horizontal="center" vertical="center" wrapText="1"/>
    </xf>
    <xf numFmtId="17" fontId="10" fillId="6" borderId="31" xfId="0" applyNumberFormat="1" applyFont="1" applyFill="1" applyBorder="1" applyAlignment="1">
      <alignment horizontal="center" vertical="center" wrapText="1"/>
    </xf>
    <xf numFmtId="17" fontId="10" fillId="5" borderId="2" xfId="0" applyNumberFormat="1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2" fontId="24" fillId="5" borderId="2" xfId="0" applyNumberFormat="1" applyFont="1" applyFill="1" applyBorder="1" applyAlignment="1">
      <alignment horizontal="center" vertical="center" wrapText="1"/>
    </xf>
    <xf numFmtId="2" fontId="10" fillId="5" borderId="2" xfId="0" applyNumberFormat="1" applyFont="1" applyFill="1" applyBorder="1" applyAlignment="1">
      <alignment horizontal="center" vertical="center" wrapText="1"/>
    </xf>
    <xf numFmtId="0" fontId="23" fillId="0" borderId="61" xfId="0" applyFont="1" applyBorder="1" applyAlignment="1">
      <alignment horizontal="center"/>
    </xf>
    <xf numFmtId="0" fontId="25" fillId="7" borderId="62" xfId="0" applyFont="1" applyFill="1" applyBorder="1"/>
    <xf numFmtId="0" fontId="25" fillId="7" borderId="59" xfId="0" applyFont="1" applyFill="1" applyBorder="1"/>
    <xf numFmtId="0" fontId="25" fillId="7" borderId="2" xfId="0" applyFont="1" applyFill="1" applyBorder="1"/>
    <xf numFmtId="1" fontId="25" fillId="7" borderId="14" xfId="0" applyNumberFormat="1" applyFont="1" applyFill="1" applyBorder="1"/>
    <xf numFmtId="2" fontId="25" fillId="7" borderId="2" xfId="0" applyNumberFormat="1" applyFont="1" applyFill="1" applyBorder="1"/>
    <xf numFmtId="2" fontId="25" fillId="7" borderId="31" xfId="0" applyNumberFormat="1" applyFont="1" applyFill="1" applyBorder="1"/>
    <xf numFmtId="0" fontId="25" fillId="0" borderId="32" xfId="0" applyFont="1" applyBorder="1" applyAlignment="1">
      <alignment vertical="center"/>
    </xf>
    <xf numFmtId="0" fontId="25" fillId="0" borderId="33" xfId="0" applyFont="1" applyBorder="1"/>
    <xf numFmtId="0" fontId="25" fillId="0" borderId="18" xfId="0" applyFont="1" applyBorder="1"/>
    <xf numFmtId="0" fontId="25" fillId="0" borderId="21" xfId="0" applyFont="1" applyBorder="1"/>
    <xf numFmtId="0" fontId="23" fillId="0" borderId="32" xfId="0" applyFont="1" applyBorder="1"/>
    <xf numFmtId="1" fontId="23" fillId="0" borderId="4" xfId="0" applyNumberFormat="1" applyFont="1" applyBorder="1"/>
    <xf numFmtId="2" fontId="23" fillId="0" borderId="5" xfId="0" applyNumberFormat="1" applyFont="1" applyBorder="1"/>
    <xf numFmtId="0" fontId="25" fillId="0" borderId="24" xfId="0" applyFont="1" applyBorder="1" applyAlignment="1">
      <alignment vertical="center"/>
    </xf>
    <xf numFmtId="0" fontId="25" fillId="0" borderId="35" xfId="0" applyFont="1" applyBorder="1"/>
    <xf numFmtId="0" fontId="25" fillId="0" borderId="20" xfId="0" applyFont="1" applyBorder="1"/>
    <xf numFmtId="0" fontId="25" fillId="0" borderId="24" xfId="0" applyFont="1" applyBorder="1"/>
    <xf numFmtId="0" fontId="23" fillId="0" borderId="34" xfId="0" applyFont="1" applyBorder="1"/>
    <xf numFmtId="1" fontId="23" fillId="0" borderId="6" xfId="0" applyNumberFormat="1" applyFont="1" applyBorder="1"/>
    <xf numFmtId="2" fontId="23" fillId="0" borderId="63" xfId="0" applyNumberFormat="1" applyFont="1" applyBorder="1"/>
    <xf numFmtId="0" fontId="25" fillId="0" borderId="64" xfId="0" applyFont="1" applyBorder="1" applyAlignment="1">
      <alignment horizontal="left"/>
    </xf>
    <xf numFmtId="0" fontId="25" fillId="0" borderId="37" xfId="0" applyFont="1" applyBorder="1"/>
    <xf numFmtId="0" fontId="25" fillId="0" borderId="38" xfId="0" applyFont="1" applyBorder="1"/>
    <xf numFmtId="0" fontId="25" fillId="0" borderId="39" xfId="0" applyFont="1" applyBorder="1"/>
    <xf numFmtId="0" fontId="23" fillId="0" borderId="36" xfId="0" applyFont="1" applyBorder="1"/>
    <xf numFmtId="1" fontId="23" fillId="0" borderId="8" xfId="0" applyNumberFormat="1" applyFont="1" applyBorder="1"/>
    <xf numFmtId="2" fontId="23" fillId="7" borderId="15" xfId="0" applyNumberFormat="1" applyFont="1" applyFill="1" applyBorder="1"/>
    <xf numFmtId="0" fontId="26" fillId="5" borderId="3" xfId="0" applyFont="1" applyFill="1" applyBorder="1" applyAlignment="1">
      <alignment horizontal="left" wrapText="1"/>
    </xf>
    <xf numFmtId="0" fontId="25" fillId="5" borderId="65" xfId="0" applyFont="1" applyFill="1" applyBorder="1"/>
    <xf numFmtId="0" fontId="25" fillId="5" borderId="66" xfId="0" applyFont="1" applyFill="1" applyBorder="1"/>
    <xf numFmtId="0" fontId="25" fillId="5" borderId="41" xfId="0" applyFont="1" applyFill="1" applyBorder="1"/>
    <xf numFmtId="1" fontId="23" fillId="8" borderId="3" xfId="0" applyNumberFormat="1" applyFont="1" applyFill="1" applyBorder="1"/>
    <xf numFmtId="2" fontId="23" fillId="5" borderId="63" xfId="0" applyNumberFormat="1" applyFont="1" applyFill="1" applyBorder="1"/>
    <xf numFmtId="2" fontId="23" fillId="7" borderId="63" xfId="0" applyNumberFormat="1" applyFont="1" applyFill="1" applyBorder="1"/>
    <xf numFmtId="0" fontId="23" fillId="9" borderId="3" xfId="0" applyFont="1" applyFill="1" applyBorder="1" applyAlignment="1">
      <alignment horizontal="left"/>
    </xf>
    <xf numFmtId="0" fontId="23" fillId="9" borderId="66" xfId="0" applyFont="1" applyFill="1" applyBorder="1"/>
    <xf numFmtId="0" fontId="23" fillId="0" borderId="10" xfId="0" applyFont="1" applyBorder="1"/>
    <xf numFmtId="1" fontId="23" fillId="0" borderId="0" xfId="0" applyNumberFormat="1" applyFont="1"/>
    <xf numFmtId="2" fontId="23" fillId="7" borderId="3" xfId="0" applyNumberFormat="1" applyFont="1" applyFill="1" applyBorder="1"/>
    <xf numFmtId="0" fontId="25" fillId="7" borderId="64" xfId="0" applyFont="1" applyFill="1" applyBorder="1"/>
    <xf numFmtId="0" fontId="25" fillId="7" borderId="15" xfId="0" applyFont="1" applyFill="1" applyBorder="1"/>
    <xf numFmtId="0" fontId="25" fillId="7" borderId="0" xfId="0" applyFont="1" applyFill="1"/>
    <xf numFmtId="0" fontId="25" fillId="7" borderId="42" xfId="0" applyFont="1" applyFill="1" applyBorder="1"/>
    <xf numFmtId="1" fontId="25" fillId="7" borderId="55" xfId="0" applyNumberFormat="1" applyFont="1" applyFill="1" applyBorder="1"/>
    <xf numFmtId="2" fontId="25" fillId="7" borderId="42" xfId="0" applyNumberFormat="1" applyFont="1" applyFill="1" applyBorder="1"/>
    <xf numFmtId="2" fontId="25" fillId="7" borderId="54" xfId="0" applyNumberFormat="1" applyFont="1" applyFill="1" applyBorder="1"/>
    <xf numFmtId="0" fontId="23" fillId="0" borderId="3" xfId="0" applyFont="1" applyBorder="1" applyAlignment="1">
      <alignment horizontal="center"/>
    </xf>
    <xf numFmtId="0" fontId="25" fillId="7" borderId="31" xfId="0" applyFont="1" applyFill="1" applyBorder="1"/>
    <xf numFmtId="0" fontId="25" fillId="7" borderId="6" xfId="0" applyFont="1" applyFill="1" applyBorder="1"/>
    <xf numFmtId="1" fontId="25" fillId="7" borderId="22" xfId="0" applyNumberFormat="1" applyFont="1" applyFill="1" applyBorder="1"/>
    <xf numFmtId="2" fontId="25" fillId="7" borderId="6" xfId="0" applyNumberFormat="1" applyFont="1" applyFill="1" applyBorder="1"/>
    <xf numFmtId="2" fontId="25" fillId="7" borderId="7" xfId="0" applyNumberFormat="1" applyFont="1" applyFill="1" applyBorder="1"/>
    <xf numFmtId="0" fontId="25" fillId="0" borderId="64" xfId="0" applyFont="1" applyBorder="1"/>
    <xf numFmtId="0" fontId="25" fillId="0" borderId="56" xfId="0" applyFont="1" applyBorder="1"/>
    <xf numFmtId="0" fontId="25" fillId="0" borderId="57" xfId="0" applyFont="1" applyBorder="1"/>
    <xf numFmtId="0" fontId="25" fillId="0" borderId="58" xfId="0" applyFont="1" applyBorder="1"/>
    <xf numFmtId="0" fontId="23" fillId="0" borderId="63" xfId="0" applyFont="1" applyBorder="1"/>
    <xf numFmtId="1" fontId="23" fillId="0" borderId="25" xfId="0" applyNumberFormat="1" applyFont="1" applyBorder="1"/>
    <xf numFmtId="2" fontId="23" fillId="7" borderId="28" xfId="0" applyNumberFormat="1" applyFont="1" applyFill="1" applyBorder="1"/>
    <xf numFmtId="0" fontId="23" fillId="7" borderId="42" xfId="0" applyFont="1" applyFill="1" applyBorder="1"/>
    <xf numFmtId="1" fontId="23" fillId="7" borderId="0" xfId="0" applyNumberFormat="1" applyFont="1" applyFill="1"/>
    <xf numFmtId="2" fontId="23" fillId="7" borderId="47" xfId="0" applyNumberFormat="1" applyFont="1" applyFill="1" applyBorder="1"/>
    <xf numFmtId="2" fontId="23" fillId="7" borderId="54" xfId="0" applyNumberFormat="1" applyFont="1" applyFill="1" applyBorder="1"/>
    <xf numFmtId="0" fontId="23" fillId="0" borderId="8" xfId="0" applyFont="1" applyBorder="1"/>
    <xf numFmtId="1" fontId="23" fillId="0" borderId="3" xfId="0" applyNumberFormat="1" applyFont="1" applyBorder="1"/>
    <xf numFmtId="2" fontId="23" fillId="0" borderId="9" xfId="0" applyNumberFormat="1" applyFont="1" applyBorder="1"/>
    <xf numFmtId="0" fontId="25" fillId="0" borderId="0" xfId="0" applyFont="1"/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17" fontId="10" fillId="4" borderId="4" xfId="0" applyNumberFormat="1" applyFont="1" applyFill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7" fontId="10" fillId="4" borderId="6" xfId="0" applyNumberFormat="1" applyFont="1" applyFill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17" fontId="10" fillId="4" borderId="8" xfId="0" applyNumberFormat="1" applyFont="1" applyFill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8" fillId="5" borderId="10" xfId="0" applyFont="1" applyFill="1" applyBorder="1" applyAlignment="1">
      <alignment horizontal="right"/>
    </xf>
    <xf numFmtId="3" fontId="8" fillId="0" borderId="3" xfId="0" applyNumberFormat="1" applyFont="1" applyBorder="1"/>
    <xf numFmtId="2" fontId="4" fillId="0" borderId="0" xfId="0" applyNumberFormat="1" applyFont="1" applyAlignment="1">
      <alignment horizontal="center"/>
    </xf>
    <xf numFmtId="0" fontId="8" fillId="5" borderId="29" xfId="0" applyFont="1" applyFill="1" applyBorder="1" applyAlignment="1">
      <alignment horizontal="right"/>
    </xf>
    <xf numFmtId="0" fontId="25" fillId="0" borderId="0" xfId="0" applyFont="1" applyAlignment="1">
      <alignment wrapText="1"/>
    </xf>
    <xf numFmtId="0" fontId="23" fillId="0" borderId="56" xfId="0" applyFont="1" applyBorder="1" applyAlignment="1">
      <alignment horizontal="left" wrapText="1"/>
    </xf>
    <xf numFmtId="0" fontId="23" fillId="0" borderId="57" xfId="0" applyFont="1" applyBorder="1" applyAlignment="1">
      <alignment horizontal="left" wrapText="1"/>
    </xf>
    <xf numFmtId="0" fontId="23" fillId="0" borderId="67" xfId="0" applyFont="1" applyBorder="1" applyAlignment="1">
      <alignment horizontal="left" wrapText="1"/>
    </xf>
    <xf numFmtId="0" fontId="23" fillId="0" borderId="3" xfId="0" applyFont="1" applyBorder="1" applyAlignment="1">
      <alignment wrapText="1"/>
    </xf>
    <xf numFmtId="0" fontId="27" fillId="9" borderId="2" xfId="0" applyFont="1" applyFill="1" applyBorder="1" applyAlignment="1">
      <alignment horizontal="center" wrapText="1"/>
    </xf>
    <xf numFmtId="0" fontId="25" fillId="7" borderId="68" xfId="0" applyFont="1" applyFill="1" applyBorder="1" applyAlignment="1">
      <alignment horizontal="left" wrapText="1"/>
    </xf>
    <xf numFmtId="0" fontId="25" fillId="7" borderId="69" xfId="0" applyFont="1" applyFill="1" applyBorder="1" applyAlignment="1">
      <alignment horizontal="left" wrapText="1"/>
    </xf>
    <xf numFmtId="0" fontId="25" fillId="7" borderId="69" xfId="0" applyFont="1" applyFill="1" applyBorder="1" applyAlignment="1">
      <alignment wrapText="1"/>
    </xf>
    <xf numFmtId="17" fontId="23" fillId="9" borderId="4" xfId="0" applyNumberFormat="1" applyFont="1" applyFill="1" applyBorder="1" applyAlignment="1">
      <alignment horizontal="center" wrapText="1"/>
    </xf>
    <xf numFmtId="0" fontId="25" fillId="0" borderId="49" xfId="0" applyFont="1" applyBorder="1" applyAlignment="1">
      <alignment horizontal="center" wrapText="1"/>
    </xf>
    <xf numFmtId="0" fontId="25" fillId="0" borderId="18" xfId="0" applyFont="1" applyBorder="1" applyAlignment="1">
      <alignment horizontal="center" wrapText="1"/>
    </xf>
    <xf numFmtId="0" fontId="25" fillId="0" borderId="21" xfId="0" applyFont="1" applyBorder="1" applyAlignment="1">
      <alignment horizontal="center" wrapText="1"/>
    </xf>
    <xf numFmtId="0" fontId="25" fillId="0" borderId="4" xfId="0" applyFont="1" applyBorder="1" applyAlignment="1">
      <alignment wrapText="1"/>
    </xf>
    <xf numFmtId="17" fontId="23" fillId="9" borderId="6" xfId="0" applyNumberFormat="1" applyFont="1" applyFill="1" applyBorder="1" applyAlignment="1">
      <alignment horizontal="center" wrapText="1"/>
    </xf>
    <xf numFmtId="0" fontId="25" fillId="0" borderId="45" xfId="0" applyFont="1" applyBorder="1" applyAlignment="1">
      <alignment horizontal="center" wrapText="1"/>
    </xf>
    <xf numFmtId="0" fontId="25" fillId="0" borderId="20" xfId="0" applyFont="1" applyBorder="1" applyAlignment="1">
      <alignment horizontal="center" wrapText="1"/>
    </xf>
    <xf numFmtId="0" fontId="25" fillId="0" borderId="24" xfId="0" applyFont="1" applyBorder="1" applyAlignment="1">
      <alignment horizontal="center" wrapText="1"/>
    </xf>
    <xf numFmtId="0" fontId="25" fillId="0" borderId="6" xfId="0" applyFont="1" applyBorder="1" applyAlignment="1">
      <alignment wrapText="1"/>
    </xf>
    <xf numFmtId="17" fontId="23" fillId="9" borderId="8" xfId="0" applyNumberFormat="1" applyFont="1" applyFill="1" applyBorder="1" applyAlignment="1">
      <alignment horizontal="center" wrapText="1"/>
    </xf>
    <xf numFmtId="0" fontId="25" fillId="0" borderId="50" xfId="0" applyFont="1" applyBorder="1" applyAlignment="1">
      <alignment horizontal="center" wrapText="1"/>
    </xf>
    <xf numFmtId="0" fontId="25" fillId="0" borderId="38" xfId="0" applyFont="1" applyBorder="1" applyAlignment="1">
      <alignment horizontal="center" wrapText="1"/>
    </xf>
    <xf numFmtId="0" fontId="25" fillId="0" borderId="39" xfId="0" applyFont="1" applyBorder="1" applyAlignment="1">
      <alignment horizontal="center" wrapText="1"/>
    </xf>
    <xf numFmtId="0" fontId="25" fillId="0" borderId="8" xfId="0" applyFont="1" applyBorder="1" applyAlignment="1">
      <alignment wrapText="1"/>
    </xf>
    <xf numFmtId="0" fontId="23" fillId="5" borderId="41" xfId="0" applyFont="1" applyFill="1" applyBorder="1" applyAlignment="1">
      <alignment horizontal="right" wrapText="1"/>
    </xf>
    <xf numFmtId="0" fontId="23" fillId="5" borderId="56" xfId="0" applyFont="1" applyFill="1" applyBorder="1" applyAlignment="1">
      <alignment horizontal="center"/>
    </xf>
    <xf numFmtId="0" fontId="23" fillId="5" borderId="10" xfId="0" applyFont="1" applyFill="1" applyBorder="1" applyAlignment="1">
      <alignment horizontal="center"/>
    </xf>
    <xf numFmtId="0" fontId="25" fillId="7" borderId="19" xfId="0" applyFont="1" applyFill="1" applyBorder="1"/>
    <xf numFmtId="0" fontId="25" fillId="7" borderId="48" xfId="0" applyFont="1" applyFill="1" applyBorder="1"/>
    <xf numFmtId="0" fontId="25" fillId="7" borderId="26" xfId="0" applyFont="1" applyFill="1" applyBorder="1"/>
    <xf numFmtId="0" fontId="25" fillId="0" borderId="49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5" fillId="0" borderId="4" xfId="0" applyFont="1" applyBorder="1"/>
    <xf numFmtId="0" fontId="25" fillId="0" borderId="45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5" fillId="0" borderId="6" xfId="0" applyFont="1" applyBorder="1"/>
    <xf numFmtId="0" fontId="25" fillId="0" borderId="50" xfId="0" applyFont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39" xfId="0" applyFont="1" applyBorder="1" applyAlignment="1">
      <alignment horizontal="center"/>
    </xf>
    <xf numFmtId="0" fontId="25" fillId="0" borderId="8" xfId="0" applyFont="1" applyBorder="1"/>
    <xf numFmtId="0" fontId="23" fillId="5" borderId="10" xfId="0" applyFont="1" applyFill="1" applyBorder="1" applyAlignment="1">
      <alignment horizontal="right" vertical="center" wrapText="1"/>
    </xf>
    <xf numFmtId="0" fontId="23" fillId="5" borderId="70" xfId="0" applyFont="1" applyFill="1" applyBorder="1" applyAlignment="1">
      <alignment horizontal="center"/>
    </xf>
    <xf numFmtId="0" fontId="23" fillId="5" borderId="51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/>
    </xf>
    <xf numFmtId="0" fontId="25" fillId="7" borderId="69" xfId="0" applyFont="1" applyFill="1" applyBorder="1"/>
    <xf numFmtId="0" fontId="27" fillId="4" borderId="3" xfId="0" applyFont="1" applyFill="1" applyBorder="1" applyAlignment="1">
      <alignment horizontal="right" vertical="center" wrapText="1"/>
    </xf>
    <xf numFmtId="0" fontId="23" fillId="10" borderId="56" xfId="0" applyFont="1" applyFill="1" applyBorder="1" applyAlignment="1">
      <alignment horizontal="center"/>
    </xf>
    <xf numFmtId="0" fontId="23" fillId="10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17" fontId="6" fillId="9" borderId="4" xfId="0" applyNumberFormat="1" applyFont="1" applyFill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17" fontId="6" fillId="9" borderId="6" xfId="0" applyNumberFormat="1" applyFont="1" applyFill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17" fontId="6" fillId="9" borderId="8" xfId="0" applyNumberFormat="1" applyFont="1" applyFill="1" applyBorder="1" applyAlignment="1">
      <alignment horizontal="center"/>
    </xf>
    <xf numFmtId="3" fontId="7" fillId="0" borderId="60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29" xfId="0" applyFont="1" applyBorder="1" applyAlignment="1">
      <alignment horizontal="right"/>
    </xf>
    <xf numFmtId="0" fontId="28" fillId="5" borderId="3" xfId="0" applyFont="1" applyFill="1" applyBorder="1" applyAlignment="1">
      <alignment horizontal="left" vertical="center" wrapText="1"/>
    </xf>
    <xf numFmtId="17" fontId="28" fillId="5" borderId="3" xfId="0" applyNumberFormat="1" applyFont="1" applyFill="1" applyBorder="1" applyAlignment="1">
      <alignment horizontal="center" vertical="center" wrapText="1"/>
    </xf>
    <xf numFmtId="1" fontId="28" fillId="5" borderId="29" xfId="0" applyNumberFormat="1" applyFont="1" applyFill="1" applyBorder="1" applyAlignment="1">
      <alignment horizontal="center" vertical="center" wrapText="1"/>
    </xf>
    <xf numFmtId="165" fontId="28" fillId="5" borderId="3" xfId="0" applyNumberFormat="1" applyFont="1" applyFill="1" applyBorder="1" applyAlignment="1">
      <alignment horizontal="center" vertical="center" wrapText="1"/>
    </xf>
    <xf numFmtId="165" fontId="28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43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wrapText="1"/>
    </xf>
    <xf numFmtId="0" fontId="26" fillId="11" borderId="19" xfId="0" applyFont="1" applyFill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1" fontId="26" fillId="0" borderId="55" xfId="0" applyNumberFormat="1" applyFont="1" applyBorder="1" applyAlignment="1">
      <alignment horizontal="center" vertical="center"/>
    </xf>
    <xf numFmtId="165" fontId="26" fillId="0" borderId="42" xfId="0" applyNumberFormat="1" applyFont="1" applyBorder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0" fontId="30" fillId="7" borderId="71" xfId="0" applyFont="1" applyFill="1" applyBorder="1" applyAlignment="1">
      <alignment horizontal="center" vertical="center" wrapText="1"/>
    </xf>
    <xf numFmtId="17" fontId="30" fillId="0" borderId="69" xfId="0" applyNumberFormat="1" applyFont="1" applyBorder="1" applyAlignment="1">
      <alignment horizontal="center" vertical="center" wrapText="1"/>
    </xf>
    <xf numFmtId="17" fontId="8" fillId="0" borderId="52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0" fontId="26" fillId="0" borderId="6" xfId="10" applyFont="1" applyBorder="1" applyAlignment="1" applyProtection="1">
      <alignment horizontal="center" wrapText="1"/>
    </xf>
    <xf numFmtId="0" fontId="26" fillId="0" borderId="20" xfId="0" applyFont="1" applyBorder="1" applyAlignment="1">
      <alignment horizontal="center" vertical="center" wrapText="1"/>
    </xf>
    <xf numFmtId="0" fontId="26" fillId="11" borderId="20" xfId="0" applyFont="1" applyFill="1" applyBorder="1" applyAlignment="1">
      <alignment horizontal="center" vertical="center"/>
    </xf>
    <xf numFmtId="0" fontId="0" fillId="7" borderId="72" xfId="0" applyFill="1" applyBorder="1"/>
    <xf numFmtId="1" fontId="0" fillId="7" borderId="73" xfId="0" applyNumberFormat="1" applyFill="1" applyBorder="1"/>
    <xf numFmtId="0" fontId="26" fillId="0" borderId="45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11" borderId="20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1" fontId="26" fillId="0" borderId="22" xfId="0" applyNumberFormat="1" applyFont="1" applyBorder="1" applyAlignment="1">
      <alignment horizontal="center" vertical="center"/>
    </xf>
    <xf numFmtId="165" fontId="26" fillId="0" borderId="6" xfId="0" applyNumberFormat="1" applyFont="1" applyBorder="1" applyAlignment="1">
      <alignment horizontal="center" vertical="center"/>
    </xf>
    <xf numFmtId="0" fontId="30" fillId="5" borderId="72" xfId="0" applyFont="1" applyFill="1" applyBorder="1" applyAlignment="1">
      <alignment horizontal="justify" vertical="center" wrapText="1"/>
    </xf>
    <xf numFmtId="0" fontId="30" fillId="5" borderId="19" xfId="0" applyFont="1" applyFill="1" applyBorder="1" applyAlignment="1">
      <alignment horizontal="center" vertical="center" wrapText="1"/>
    </xf>
    <xf numFmtId="0" fontId="30" fillId="5" borderId="53" xfId="0" applyFont="1" applyFill="1" applyBorder="1" applyAlignment="1">
      <alignment horizontal="center" vertical="center" wrapText="1"/>
    </xf>
    <xf numFmtId="0" fontId="0" fillId="0" borderId="34" xfId="0" applyBorder="1"/>
    <xf numFmtId="1" fontId="0" fillId="0" borderId="3" xfId="0" applyNumberFormat="1" applyBorder="1"/>
    <xf numFmtId="0" fontId="0" fillId="7" borderId="35" xfId="0" applyFill="1" applyBorder="1"/>
    <xf numFmtId="0" fontId="0" fillId="7" borderId="20" xfId="0" applyFill="1" applyBorder="1"/>
    <xf numFmtId="0" fontId="0" fillId="7" borderId="24" xfId="0" applyFill="1" applyBorder="1"/>
    <xf numFmtId="0" fontId="0" fillId="7" borderId="45" xfId="0" applyFill="1" applyBorder="1"/>
    <xf numFmtId="1" fontId="0" fillId="7" borderId="74" xfId="0" applyNumberFormat="1" applyFill="1" applyBorder="1"/>
    <xf numFmtId="0" fontId="31" fillId="0" borderId="0" xfId="0" applyFont="1" applyAlignment="1">
      <alignment horizontal="center" vertical="center"/>
    </xf>
    <xf numFmtId="0" fontId="0" fillId="7" borderId="75" xfId="0" applyFill="1" applyBorder="1"/>
    <xf numFmtId="1" fontId="0" fillId="7" borderId="76" xfId="0" applyNumberFormat="1" applyFill="1" applyBorder="1"/>
    <xf numFmtId="0" fontId="30" fillId="13" borderId="77" xfId="0" applyFont="1" applyFill="1" applyBorder="1" applyAlignment="1">
      <alignment horizontal="justify" vertical="center" wrapText="1"/>
    </xf>
    <xf numFmtId="0" fontId="30" fillId="13" borderId="78" xfId="0" applyFont="1" applyFill="1" applyBorder="1" applyAlignment="1">
      <alignment horizontal="center" vertical="center" wrapText="1"/>
    </xf>
    <xf numFmtId="0" fontId="30" fillId="13" borderId="79" xfId="0" applyFont="1" applyFill="1" applyBorder="1" applyAlignment="1">
      <alignment horizontal="center" vertical="center" wrapText="1"/>
    </xf>
    <xf numFmtId="0" fontId="0" fillId="0" borderId="29" xfId="0" applyBorder="1"/>
    <xf numFmtId="0" fontId="32" fillId="13" borderId="80" xfId="0" applyFont="1" applyFill="1" applyBorder="1" applyAlignment="1">
      <alignment horizontal="right" vertical="center" wrapText="1"/>
    </xf>
    <xf numFmtId="0" fontId="32" fillId="13" borderId="81" xfId="0" applyFont="1" applyFill="1" applyBorder="1" applyAlignment="1">
      <alignment horizontal="center" vertical="center" wrapText="1"/>
    </xf>
    <xf numFmtId="0" fontId="32" fillId="13" borderId="82" xfId="0" applyFont="1" applyFill="1" applyBorder="1" applyAlignment="1">
      <alignment horizontal="center" vertical="center" wrapText="1"/>
    </xf>
    <xf numFmtId="0" fontId="32" fillId="13" borderId="83" xfId="0" applyFont="1" applyFill="1" applyBorder="1" applyAlignment="1">
      <alignment horizontal="center" vertical="center" wrapText="1"/>
    </xf>
    <xf numFmtId="0" fontId="32" fillId="13" borderId="84" xfId="0" applyFont="1" applyFill="1" applyBorder="1" applyAlignment="1">
      <alignment horizontal="center" vertical="center" wrapText="1"/>
    </xf>
    <xf numFmtId="0" fontId="0" fillId="0" borderId="32" xfId="0" applyBorder="1"/>
    <xf numFmtId="1" fontId="0" fillId="0" borderId="47" xfId="0" applyNumberFormat="1" applyBorder="1"/>
    <xf numFmtId="0" fontId="32" fillId="13" borderId="85" xfId="0" applyFont="1" applyFill="1" applyBorder="1" applyAlignment="1">
      <alignment horizontal="right" vertical="center" wrapText="1"/>
    </xf>
    <xf numFmtId="0" fontId="32" fillId="13" borderId="86" xfId="0" applyFont="1" applyFill="1" applyBorder="1" applyAlignment="1">
      <alignment horizontal="center" vertical="center" wrapText="1"/>
    </xf>
    <xf numFmtId="0" fontId="32" fillId="13" borderId="87" xfId="0" applyFont="1" applyFill="1" applyBorder="1" applyAlignment="1">
      <alignment horizontal="center" vertical="center" wrapText="1"/>
    </xf>
    <xf numFmtId="0" fontId="32" fillId="13" borderId="88" xfId="0" applyFont="1" applyFill="1" applyBorder="1" applyAlignment="1">
      <alignment horizontal="center" vertical="center" wrapText="1"/>
    </xf>
    <xf numFmtId="0" fontId="32" fillId="13" borderId="89" xfId="0" applyFont="1" applyFill="1" applyBorder="1" applyAlignment="1">
      <alignment horizontal="center" vertical="center" wrapText="1"/>
    </xf>
    <xf numFmtId="0" fontId="0" fillId="0" borderId="44" xfId="0" applyBorder="1"/>
    <xf numFmtId="1" fontId="0" fillId="0" borderId="8" xfId="0" applyNumberFormat="1" applyBorder="1"/>
    <xf numFmtId="0" fontId="26" fillId="0" borderId="6" xfId="0" applyFont="1" applyBorder="1" applyAlignment="1">
      <alignment horizontal="center" vertical="center" wrapText="1"/>
    </xf>
    <xf numFmtId="0" fontId="0" fillId="7" borderId="71" xfId="0" applyFill="1" applyBorder="1"/>
    <xf numFmtId="0" fontId="0" fillId="7" borderId="69" xfId="0" applyFill="1" applyBorder="1"/>
    <xf numFmtId="0" fontId="0" fillId="7" borderId="52" xfId="0" applyFill="1" applyBorder="1"/>
    <xf numFmtId="0" fontId="26" fillId="0" borderId="6" xfId="10" applyFont="1" applyBorder="1" applyAlignment="1" applyProtection="1">
      <alignment horizontal="center" vertical="center" wrapText="1"/>
    </xf>
    <xf numFmtId="0" fontId="30" fillId="18" borderId="92" xfId="0" applyFont="1" applyFill="1" applyBorder="1" applyAlignment="1">
      <alignment horizontal="justify" vertical="center" wrapText="1"/>
    </xf>
    <xf numFmtId="0" fontId="30" fillId="18" borderId="93" xfId="0" applyFont="1" applyFill="1" applyBorder="1" applyAlignment="1">
      <alignment horizontal="center" vertical="center" wrapText="1"/>
    </xf>
    <xf numFmtId="0" fontId="30" fillId="18" borderId="94" xfId="0" applyFont="1" applyFill="1" applyBorder="1" applyAlignment="1">
      <alignment horizontal="center" vertical="center" wrapText="1"/>
    </xf>
    <xf numFmtId="0" fontId="30" fillId="18" borderId="95" xfId="0" applyFont="1" applyFill="1" applyBorder="1" applyAlignment="1">
      <alignment horizontal="center" vertical="center" wrapText="1"/>
    </xf>
    <xf numFmtId="0" fontId="0" fillId="0" borderId="3" xfId="0" applyBorder="1"/>
    <xf numFmtId="0" fontId="30" fillId="19" borderId="96" xfId="0" applyFont="1" applyFill="1" applyBorder="1" applyAlignment="1">
      <alignment horizontal="justify" vertical="center" wrapText="1"/>
    </xf>
    <xf numFmtId="0" fontId="30" fillId="19" borderId="94" xfId="0" applyFont="1" applyFill="1" applyBorder="1" applyAlignment="1">
      <alignment horizontal="center" vertical="center" wrapText="1"/>
    </xf>
    <xf numFmtId="0" fontId="30" fillId="19" borderId="95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right"/>
    </xf>
    <xf numFmtId="1" fontId="0" fillId="0" borderId="3" xfId="0" applyNumberFormat="1" applyBorder="1" applyAlignment="1">
      <alignment horizontal="right"/>
    </xf>
    <xf numFmtId="0" fontId="32" fillId="19" borderId="97" xfId="0" applyFont="1" applyFill="1" applyBorder="1" applyAlignment="1">
      <alignment horizontal="right" vertical="center" wrapText="1"/>
    </xf>
    <xf numFmtId="0" fontId="32" fillId="19" borderId="98" xfId="0" applyFont="1" applyFill="1" applyBorder="1" applyAlignment="1">
      <alignment horizontal="center" vertical="center" wrapText="1"/>
    </xf>
    <xf numFmtId="0" fontId="32" fillId="19" borderId="99" xfId="0" applyFont="1" applyFill="1" applyBorder="1" applyAlignment="1">
      <alignment horizontal="center" vertical="center" wrapText="1"/>
    </xf>
    <xf numFmtId="0" fontId="32" fillId="19" borderId="100" xfId="0" applyFont="1" applyFill="1" applyBorder="1" applyAlignment="1">
      <alignment horizontal="center" vertical="center" wrapText="1"/>
    </xf>
    <xf numFmtId="0" fontId="32" fillId="19" borderId="101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right"/>
    </xf>
    <xf numFmtId="1" fontId="0" fillId="0" borderId="42" xfId="0" applyNumberFormat="1" applyBorder="1" applyAlignment="1">
      <alignment horizontal="right"/>
    </xf>
    <xf numFmtId="0" fontId="32" fillId="19" borderId="102" xfId="0" applyFont="1" applyFill="1" applyBorder="1" applyAlignment="1">
      <alignment horizontal="right" vertical="center" wrapText="1"/>
    </xf>
    <xf numFmtId="0" fontId="32" fillId="19" borderId="103" xfId="0" applyFont="1" applyFill="1" applyBorder="1" applyAlignment="1">
      <alignment horizontal="center" vertical="center" wrapText="1"/>
    </xf>
    <xf numFmtId="0" fontId="32" fillId="19" borderId="104" xfId="0" applyFont="1" applyFill="1" applyBorder="1" applyAlignment="1">
      <alignment horizontal="center" vertical="center" wrapText="1"/>
    </xf>
    <xf numFmtId="0" fontId="32" fillId="19" borderId="105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30" fillId="18" borderId="10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right"/>
    </xf>
    <xf numFmtId="1" fontId="0" fillId="0" borderId="15" xfId="0" applyNumberFormat="1" applyBorder="1" applyAlignment="1">
      <alignment horizontal="right"/>
    </xf>
    <xf numFmtId="0" fontId="33" fillId="18" borderId="107" xfId="0" applyFont="1" applyFill="1" applyBorder="1" applyAlignment="1">
      <alignment vertical="center" wrapText="1"/>
    </xf>
    <xf numFmtId="0" fontId="0" fillId="18" borderId="108" xfId="0" applyFill="1" applyBorder="1" applyAlignment="1">
      <alignment horizontal="center"/>
    </xf>
    <xf numFmtId="0" fontId="0" fillId="18" borderId="109" xfId="0" applyFill="1" applyBorder="1" applyAlignment="1">
      <alignment horizontal="center"/>
    </xf>
    <xf numFmtId="0" fontId="0" fillId="18" borderId="110" xfId="0" applyFill="1" applyBorder="1" applyAlignment="1">
      <alignment horizontal="center"/>
    </xf>
    <xf numFmtId="0" fontId="0" fillId="0" borderId="44" xfId="0" applyBorder="1" applyAlignment="1">
      <alignment horizontal="right"/>
    </xf>
    <xf numFmtId="0" fontId="0" fillId="7" borderId="19" xfId="0" applyFill="1" applyBorder="1"/>
    <xf numFmtId="0" fontId="0" fillId="7" borderId="53" xfId="0" applyFill="1" applyBorder="1"/>
    <xf numFmtId="0" fontId="0" fillId="7" borderId="75" xfId="0" applyFill="1" applyBorder="1" applyAlignment="1">
      <alignment horizontal="right"/>
    </xf>
    <xf numFmtId="1" fontId="0" fillId="7" borderId="73" xfId="0" applyNumberFormat="1" applyFill="1" applyBorder="1" applyAlignment="1">
      <alignment horizontal="right"/>
    </xf>
    <xf numFmtId="0" fontId="0" fillId="7" borderId="56" xfId="0" applyFill="1" applyBorder="1" applyAlignment="1">
      <alignment horizontal="right"/>
    </xf>
    <xf numFmtId="1" fontId="0" fillId="7" borderId="58" xfId="0" applyNumberFormat="1" applyFill="1" applyBorder="1" applyAlignment="1">
      <alignment horizontal="right"/>
    </xf>
    <xf numFmtId="0" fontId="30" fillId="21" borderId="112" xfId="0" applyFont="1" applyFill="1" applyBorder="1" applyAlignment="1">
      <alignment horizontal="justify" vertical="center" wrapText="1"/>
    </xf>
    <xf numFmtId="0" fontId="30" fillId="21" borderId="113" xfId="0" applyFont="1" applyFill="1" applyBorder="1" applyAlignment="1">
      <alignment horizontal="center" vertical="center" wrapText="1"/>
    </xf>
    <xf numFmtId="0" fontId="30" fillId="21" borderId="114" xfId="0" applyFont="1" applyFill="1" applyBorder="1" applyAlignment="1">
      <alignment horizontal="center" vertical="center" wrapText="1"/>
    </xf>
    <xf numFmtId="0" fontId="30" fillId="21" borderId="11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30" fillId="22" borderId="116" xfId="0" applyFont="1" applyFill="1" applyBorder="1" applyAlignment="1">
      <alignment horizontal="justify" vertical="center" wrapText="1"/>
    </xf>
    <xf numFmtId="0" fontId="30" fillId="22" borderId="115" xfId="0" applyFont="1" applyFill="1" applyBorder="1" applyAlignment="1">
      <alignment horizontal="center" vertical="center" wrapText="1"/>
    </xf>
    <xf numFmtId="0" fontId="30" fillId="22" borderId="117" xfId="0" applyFont="1" applyFill="1" applyBorder="1" applyAlignment="1">
      <alignment horizontal="center" vertical="center" wrapText="1"/>
    </xf>
    <xf numFmtId="0" fontId="30" fillId="22" borderId="118" xfId="0" applyFont="1" applyFill="1" applyBorder="1" applyAlignment="1">
      <alignment horizontal="center" vertical="center" wrapText="1"/>
    </xf>
    <xf numFmtId="0" fontId="32" fillId="22" borderId="119" xfId="0" applyFont="1" applyFill="1" applyBorder="1" applyAlignment="1">
      <alignment horizontal="right" vertical="center" wrapText="1"/>
    </xf>
    <xf numFmtId="0" fontId="32" fillId="22" borderId="120" xfId="0" applyFont="1" applyFill="1" applyBorder="1" applyAlignment="1">
      <alignment horizontal="center" vertical="center" wrapText="1"/>
    </xf>
    <xf numFmtId="0" fontId="32" fillId="22" borderId="121" xfId="0" applyFont="1" applyFill="1" applyBorder="1" applyAlignment="1">
      <alignment horizontal="center" vertical="center" wrapText="1"/>
    </xf>
    <xf numFmtId="0" fontId="32" fillId="22" borderId="122" xfId="0" applyFont="1" applyFill="1" applyBorder="1" applyAlignment="1">
      <alignment horizontal="center" vertical="center" wrapText="1"/>
    </xf>
    <xf numFmtId="0" fontId="32" fillId="22" borderId="123" xfId="0" applyFont="1" applyFill="1" applyBorder="1" applyAlignment="1">
      <alignment horizontal="center" vertical="center" wrapText="1"/>
    </xf>
    <xf numFmtId="0" fontId="32" fillId="22" borderId="124" xfId="0" applyFont="1" applyFill="1" applyBorder="1" applyAlignment="1">
      <alignment horizontal="right" vertical="center" wrapText="1"/>
    </xf>
    <xf numFmtId="0" fontId="32" fillId="22" borderId="125" xfId="0" applyFont="1" applyFill="1" applyBorder="1" applyAlignment="1">
      <alignment horizontal="center" vertical="center" wrapText="1"/>
    </xf>
    <xf numFmtId="0" fontId="32" fillId="22" borderId="126" xfId="0" applyFont="1" applyFill="1" applyBorder="1" applyAlignment="1">
      <alignment horizontal="center" vertical="center" wrapText="1"/>
    </xf>
    <xf numFmtId="0" fontId="32" fillId="22" borderId="127" xfId="0" applyFont="1" applyFill="1" applyBorder="1" applyAlignment="1">
      <alignment horizontal="center" vertical="center" wrapText="1"/>
    </xf>
    <xf numFmtId="0" fontId="32" fillId="22" borderId="128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wrapText="1"/>
    </xf>
    <xf numFmtId="0" fontId="26" fillId="0" borderId="6" xfId="0" applyFont="1" applyBorder="1" applyAlignment="1">
      <alignment horizontal="left" vertical="center" wrapText="1"/>
    </xf>
    <xf numFmtId="17" fontId="8" fillId="0" borderId="0" xfId="0" applyNumberFormat="1" applyFont="1" applyAlignment="1">
      <alignment horizontal="center"/>
    </xf>
    <xf numFmtId="0" fontId="26" fillId="0" borderId="6" xfId="0" applyFont="1" applyBorder="1" applyAlignment="1">
      <alignment horizontal="center"/>
    </xf>
    <xf numFmtId="1" fontId="26" fillId="0" borderId="25" xfId="0" applyNumberFormat="1" applyFont="1" applyBorder="1" applyAlignment="1">
      <alignment horizontal="center" vertical="center"/>
    </xf>
    <xf numFmtId="165" fontId="26" fillId="0" borderId="28" xfId="0" applyNumberFormat="1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 wrapText="1"/>
    </xf>
    <xf numFmtId="0" fontId="26" fillId="11" borderId="26" xfId="0" applyFont="1" applyFill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1" fontId="26" fillId="0" borderId="60" xfId="0" applyNumberFormat="1" applyFont="1" applyBorder="1" applyAlignment="1">
      <alignment horizontal="center" vertical="center"/>
    </xf>
    <xf numFmtId="165" fontId="26" fillId="0" borderId="8" xfId="0" applyNumberFormat="1" applyFont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/>
    </xf>
    <xf numFmtId="0" fontId="28" fillId="5" borderId="10" xfId="0" applyFont="1" applyFill="1" applyBorder="1" applyAlignment="1">
      <alignment horizontal="right" vertical="center" wrapText="1"/>
    </xf>
    <xf numFmtId="0" fontId="28" fillId="5" borderId="10" xfId="0" applyFont="1" applyFill="1" applyBorder="1" applyAlignment="1">
      <alignment horizontal="center" vertical="center"/>
    </xf>
    <xf numFmtId="0" fontId="28" fillId="5" borderId="3" xfId="0" applyFont="1" applyFill="1" applyBorder="1" applyAlignment="1">
      <alignment horizontal="center" vertical="center"/>
    </xf>
    <xf numFmtId="1" fontId="28" fillId="5" borderId="60" xfId="0" applyNumberFormat="1" applyFont="1" applyFill="1" applyBorder="1" applyAlignment="1">
      <alignment horizontal="center" vertical="center"/>
    </xf>
    <xf numFmtId="165" fontId="28" fillId="5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1" fontId="0" fillId="0" borderId="0" xfId="0" applyNumberForma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8" fillId="23" borderId="129" xfId="0" applyFont="1" applyFill="1" applyBorder="1" applyAlignment="1">
      <alignment wrapText="1"/>
    </xf>
    <xf numFmtId="0" fontId="8" fillId="23" borderId="129" xfId="0" applyFont="1" applyFill="1" applyBorder="1"/>
    <xf numFmtId="0" fontId="5" fillId="9" borderId="1" xfId="1" applyFill="1" applyAlignment="1">
      <alignment horizontal="left" wrapText="1"/>
    </xf>
    <xf numFmtId="0" fontId="5" fillId="9" borderId="1" xfId="1" applyFill="1"/>
    <xf numFmtId="0" fontId="5" fillId="0" borderId="1" xfId="1" applyAlignment="1">
      <alignment horizontal="left" wrapText="1"/>
    </xf>
    <xf numFmtId="0" fontId="5" fillId="8" borderId="1" xfId="1" applyFill="1" applyAlignment="1">
      <alignment horizontal="left" wrapText="1"/>
    </xf>
    <xf numFmtId="0" fontId="8" fillId="23" borderId="130" xfId="0" applyFont="1" applyFill="1" applyBorder="1" applyAlignment="1">
      <alignment horizontal="left" wrapText="1"/>
    </xf>
    <xf numFmtId="0" fontId="8" fillId="23" borderId="130" xfId="0" applyFont="1" applyFill="1" applyBorder="1"/>
    <xf numFmtId="2" fontId="6" fillId="5" borderId="29" xfId="0" applyNumberFormat="1" applyFont="1" applyFill="1" applyBorder="1" applyAlignment="1">
      <alignment horizontal="center" vertical="center"/>
    </xf>
    <xf numFmtId="0" fontId="7" fillId="0" borderId="132" xfId="0" applyFont="1" applyBorder="1" applyAlignment="1">
      <alignment horizontal="center" vertical="center"/>
    </xf>
    <xf numFmtId="0" fontId="7" fillId="0" borderId="132" xfId="0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 vertical="center"/>
    </xf>
    <xf numFmtId="2" fontId="6" fillId="5" borderId="131" xfId="0" applyNumberFormat="1" applyFont="1" applyFill="1" applyBorder="1" applyAlignment="1">
      <alignment horizontal="center" vertical="center"/>
    </xf>
    <xf numFmtId="1" fontId="19" fillId="0" borderId="0" xfId="0" applyNumberFormat="1" applyFont="1"/>
    <xf numFmtId="0" fontId="21" fillId="0" borderId="0" xfId="0" applyFont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center" vertical="center"/>
    </xf>
    <xf numFmtId="1" fontId="35" fillId="0" borderId="0" xfId="0" applyNumberFormat="1" applyFont="1"/>
    <xf numFmtId="0" fontId="36" fillId="0" borderId="0" xfId="0" applyFont="1" applyAlignment="1">
      <alignment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1" fontId="35" fillId="0" borderId="0" xfId="0" applyNumberFormat="1" applyFont="1" applyAlignment="1">
      <alignment horizontal="center"/>
    </xf>
    <xf numFmtId="0" fontId="38" fillId="0" borderId="0" xfId="0" applyFont="1"/>
    <xf numFmtId="17" fontId="35" fillId="0" borderId="0" xfId="0" applyNumberFormat="1" applyFont="1"/>
    <xf numFmtId="2" fontId="35" fillId="0" borderId="0" xfId="0" applyNumberFormat="1" applyFont="1" applyAlignment="1">
      <alignment horizontal="center"/>
    </xf>
    <xf numFmtId="0" fontId="39" fillId="0" borderId="0" xfId="0" applyFont="1"/>
    <xf numFmtId="0" fontId="39" fillId="0" borderId="0" xfId="0" applyFont="1" applyAlignment="1">
      <alignment horizontal="center" vertical="center"/>
    </xf>
    <xf numFmtId="2" fontId="39" fillId="0" borderId="0" xfId="0" applyNumberFormat="1" applyFont="1"/>
    <xf numFmtId="0" fontId="6" fillId="5" borderId="131" xfId="0" applyFont="1" applyFill="1" applyBorder="1" applyAlignment="1">
      <alignment horizontal="right"/>
    </xf>
    <xf numFmtId="0" fontId="40" fillId="0" borderId="0" xfId="0" applyFont="1" applyAlignment="1">
      <alignment wrapText="1"/>
    </xf>
    <xf numFmtId="0" fontId="41" fillId="0" borderId="0" xfId="0" applyFont="1" applyAlignment="1">
      <alignment wrapText="1"/>
    </xf>
    <xf numFmtId="3" fontId="39" fillId="0" borderId="0" xfId="0" applyNumberFormat="1" applyFont="1"/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1" fontId="39" fillId="0" borderId="0" xfId="0" applyNumberFormat="1" applyFont="1" applyAlignment="1">
      <alignment horizontal="center"/>
    </xf>
    <xf numFmtId="0" fontId="41" fillId="0" borderId="0" xfId="0" applyFont="1"/>
    <xf numFmtId="0" fontId="40" fillId="0" borderId="0" xfId="0" applyFont="1"/>
    <xf numFmtId="1" fontId="40" fillId="0" borderId="0" xfId="0" applyNumberFormat="1" applyFont="1"/>
    <xf numFmtId="2" fontId="40" fillId="0" borderId="0" xfId="0" applyNumberFormat="1" applyFont="1"/>
    <xf numFmtId="0" fontId="40" fillId="0" borderId="0" xfId="0" applyFont="1" applyAlignment="1">
      <alignment horizontal="center" vertical="center"/>
    </xf>
    <xf numFmtId="0" fontId="40" fillId="0" borderId="0" xfId="4" applyFont="1" applyAlignment="1">
      <alignment horizontal="center" vertical="center"/>
    </xf>
    <xf numFmtId="0" fontId="0" fillId="24" borderId="0" xfId="0" applyFill="1"/>
    <xf numFmtId="0" fontId="41" fillId="0" borderId="0" xfId="0" applyFont="1" applyAlignment="1">
      <alignment horizontal="center" vertical="center" wrapText="1"/>
    </xf>
    <xf numFmtId="1" fontId="39" fillId="0" borderId="0" xfId="0" applyNumberFormat="1" applyFont="1"/>
    <xf numFmtId="0" fontId="41" fillId="0" borderId="0" xfId="0" applyFont="1" applyAlignment="1">
      <alignment horizontal="center" vertical="center"/>
    </xf>
    <xf numFmtId="0" fontId="45" fillId="0" borderId="0" xfId="0" applyFont="1"/>
    <xf numFmtId="17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41" fillId="0" borderId="0" xfId="0" applyFont="1" applyAlignment="1">
      <alignment horizontal="center" wrapText="1"/>
    </xf>
    <xf numFmtId="1" fontId="7" fillId="0" borderId="21" xfId="0" applyNumberFormat="1" applyFont="1" applyBorder="1" applyAlignment="1">
      <alignment horizontal="center" vertical="center"/>
    </xf>
    <xf numFmtId="1" fontId="7" fillId="0" borderId="24" xfId="0" applyNumberFormat="1" applyFont="1" applyBorder="1" applyAlignment="1">
      <alignment horizontal="center" vertical="center"/>
    </xf>
    <xf numFmtId="1" fontId="7" fillId="0" borderId="39" xfId="0" applyNumberFormat="1" applyFont="1" applyBorder="1" applyAlignment="1">
      <alignment horizontal="center" vertical="center"/>
    </xf>
    <xf numFmtId="0" fontId="7" fillId="0" borderId="132" xfId="4" applyFont="1" applyFill="1" applyBorder="1" applyAlignment="1">
      <alignment horizontal="center" vertical="center"/>
    </xf>
    <xf numFmtId="0" fontId="7" fillId="0" borderId="132" xfId="0" applyFont="1" applyFill="1" applyBorder="1" applyAlignment="1">
      <alignment horizontal="center" vertical="center"/>
    </xf>
    <xf numFmtId="0" fontId="7" fillId="0" borderId="132" xfId="0" applyFont="1" applyFill="1" applyBorder="1" applyAlignment="1">
      <alignment horizontal="center"/>
    </xf>
    <xf numFmtId="0" fontId="46" fillId="0" borderId="0" xfId="0" applyFont="1" applyAlignment="1">
      <alignment horizontal="right"/>
    </xf>
    <xf numFmtId="0" fontId="46" fillId="0" borderId="0" xfId="0" applyFont="1"/>
    <xf numFmtId="0" fontId="40" fillId="0" borderId="0" xfId="4" applyFont="1"/>
    <xf numFmtId="0" fontId="7" fillId="0" borderId="135" xfId="0" applyFont="1" applyBorder="1" applyAlignment="1">
      <alignment horizontal="left"/>
    </xf>
    <xf numFmtId="0" fontId="7" fillId="0" borderId="136" xfId="0" applyFont="1" applyBorder="1" applyAlignment="1">
      <alignment horizontal="left"/>
    </xf>
    <xf numFmtId="0" fontId="7" fillId="0" borderId="137" xfId="0" applyFont="1" applyBorder="1" applyAlignment="1">
      <alignment horizontal="center"/>
    </xf>
    <xf numFmtId="0" fontId="47" fillId="0" borderId="0" xfId="0" applyFont="1" applyAlignment="1">
      <alignment horizontal="right"/>
    </xf>
    <xf numFmtId="0" fontId="47" fillId="0" borderId="0" xfId="0" applyFont="1" applyAlignment="1">
      <alignment horizontal="center"/>
    </xf>
    <xf numFmtId="2" fontId="7" fillId="0" borderId="138" xfId="0" applyNumberFormat="1" applyFont="1" applyBorder="1" applyAlignment="1">
      <alignment horizontal="center"/>
    </xf>
    <xf numFmtId="2" fontId="7" fillId="0" borderId="139" xfId="0" applyNumberFormat="1" applyFont="1" applyBorder="1" applyAlignment="1">
      <alignment horizontal="center"/>
    </xf>
    <xf numFmtId="2" fontId="7" fillId="0" borderId="140" xfId="0" applyNumberFormat="1" applyFont="1" applyBorder="1" applyAlignment="1">
      <alignment horizontal="center"/>
    </xf>
    <xf numFmtId="0" fontId="6" fillId="0" borderId="14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6" fillId="26" borderId="142" xfId="0" applyFont="1" applyFill="1" applyBorder="1" applyAlignment="1">
      <alignment horizontal="center"/>
    </xf>
    <xf numFmtId="0" fontId="48" fillId="27" borderId="133" xfId="0" applyFont="1" applyFill="1" applyBorder="1" applyAlignment="1">
      <alignment horizontal="center"/>
    </xf>
    <xf numFmtId="0" fontId="48" fillId="27" borderId="143" xfId="0" applyFont="1" applyFill="1" applyBorder="1" applyAlignment="1">
      <alignment horizontal="center"/>
    </xf>
    <xf numFmtId="0" fontId="48" fillId="27" borderId="134" xfId="0" applyFont="1" applyFill="1" applyBorder="1" applyAlignment="1">
      <alignment horizontal="center"/>
    </xf>
    <xf numFmtId="0" fontId="7" fillId="0" borderId="144" xfId="0" applyFont="1" applyBorder="1" applyAlignment="1"/>
    <xf numFmtId="0" fontId="0" fillId="0" borderId="144" xfId="0" applyBorder="1" applyAlignment="1">
      <alignment horizontal="center"/>
    </xf>
    <xf numFmtId="0" fontId="0" fillId="0" borderId="132" xfId="0" applyBorder="1" applyAlignment="1">
      <alignment horizontal="left"/>
    </xf>
    <xf numFmtId="0" fontId="0" fillId="0" borderId="132" xfId="0" applyBorder="1" applyAlignment="1">
      <alignment horizontal="center"/>
    </xf>
    <xf numFmtId="0" fontId="7" fillId="0" borderId="132" xfId="0" applyFont="1" applyBorder="1" applyAlignment="1"/>
    <xf numFmtId="0" fontId="7" fillId="0" borderId="145" xfId="0" applyFont="1" applyBorder="1" applyAlignment="1"/>
    <xf numFmtId="0" fontId="0" fillId="0" borderId="145" xfId="0" applyBorder="1" applyAlignment="1">
      <alignment horizontal="center"/>
    </xf>
    <xf numFmtId="0" fontId="49" fillId="0" borderId="132" xfId="0" applyFont="1" applyBorder="1" applyAlignment="1">
      <alignment horizontal="left"/>
    </xf>
    <xf numFmtId="0" fontId="7" fillId="0" borderId="132" xfId="0" applyFont="1" applyFill="1" applyBorder="1" applyAlignment="1"/>
    <xf numFmtId="0" fontId="6" fillId="26" borderId="144" xfId="0" applyFont="1" applyFill="1" applyBorder="1" applyAlignment="1">
      <alignment horizontal="center"/>
    </xf>
    <xf numFmtId="0" fontId="48" fillId="27" borderId="144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 wrapText="1"/>
    </xf>
    <xf numFmtId="17" fontId="42" fillId="0" borderId="0" xfId="0" applyNumberFormat="1" applyFont="1" applyFill="1" applyBorder="1"/>
    <xf numFmtId="17" fontId="42" fillId="0" borderId="0" xfId="0" applyNumberFormat="1" applyFont="1" applyFill="1" applyBorder="1" applyAlignment="1">
      <alignment horizontal="center" vertical="center"/>
    </xf>
    <xf numFmtId="17" fontId="42" fillId="0" borderId="0" xfId="0" applyNumberFormat="1" applyFont="1" applyFill="1" applyBorder="1" applyAlignment="1">
      <alignment horizontal="center" vertical="center" wrapText="1"/>
    </xf>
    <xf numFmtId="1" fontId="42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 wrapText="1"/>
    </xf>
    <xf numFmtId="167" fontId="42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/>
    <xf numFmtId="0" fontId="42" fillId="0" borderId="0" xfId="0" applyFont="1" applyFill="1" applyBorder="1" applyAlignment="1">
      <alignment horizontal="center"/>
    </xf>
    <xf numFmtId="1" fontId="42" fillId="0" borderId="0" xfId="0" applyNumberFormat="1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0" fontId="28" fillId="5" borderId="41" xfId="0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8" fillId="5" borderId="131" xfId="0" applyFont="1" applyFill="1" applyBorder="1" applyAlignment="1">
      <alignment horizontal="center" vertical="center"/>
    </xf>
    <xf numFmtId="0" fontId="39" fillId="0" borderId="0" xfId="0" applyFont="1" applyFill="1"/>
    <xf numFmtId="1" fontId="39" fillId="0" borderId="0" xfId="0" applyNumberFormat="1" applyFont="1" applyFill="1"/>
    <xf numFmtId="0" fontId="37" fillId="0" borderId="0" xfId="0" applyFont="1"/>
    <xf numFmtId="17" fontId="50" fillId="0" borderId="0" xfId="0" applyNumberFormat="1" applyFont="1" applyBorder="1" applyAlignment="1">
      <alignment horizontal="center" vertical="center"/>
    </xf>
    <xf numFmtId="0" fontId="50" fillId="0" borderId="0" xfId="0" applyNumberFormat="1" applyFont="1" applyBorder="1" applyAlignment="1">
      <alignment horizontal="center" vertical="center"/>
    </xf>
    <xf numFmtId="3" fontId="50" fillId="0" borderId="0" xfId="0" applyNumberFormat="1" applyFont="1" applyBorder="1" applyAlignment="1">
      <alignment horizontal="center" vertical="center"/>
    </xf>
    <xf numFmtId="17" fontId="50" fillId="0" borderId="0" xfId="0" applyNumberFormat="1" applyFont="1" applyFill="1" applyBorder="1" applyAlignment="1">
      <alignment horizontal="center" vertical="center"/>
    </xf>
    <xf numFmtId="0" fontId="50" fillId="0" borderId="0" xfId="0" applyNumberFormat="1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8" fillId="27" borderId="132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1" fontId="37" fillId="0" borderId="0" xfId="0" applyNumberFormat="1" applyFont="1" applyAlignment="1">
      <alignment horizontal="center" vertical="center"/>
    </xf>
    <xf numFmtId="165" fontId="37" fillId="0" borderId="0" xfId="0" applyNumberFormat="1" applyFont="1" applyAlignment="1">
      <alignment horizontal="center" vertical="center"/>
    </xf>
    <xf numFmtId="165" fontId="52" fillId="0" borderId="0" xfId="0" applyNumberFormat="1" applyFont="1" applyAlignment="1">
      <alignment horizontal="center" vertical="center"/>
    </xf>
    <xf numFmtId="0" fontId="37" fillId="0" borderId="0" xfId="0" applyFont="1" applyFill="1" applyBorder="1"/>
    <xf numFmtId="165" fontId="37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 vertical="center"/>
    </xf>
    <xf numFmtId="1" fontId="37" fillId="0" borderId="0" xfId="0" applyNumberFormat="1" applyFont="1" applyFill="1" applyBorder="1" applyAlignment="1">
      <alignment horizontal="center" vertical="center"/>
    </xf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1" fontId="37" fillId="0" borderId="0" xfId="0" applyNumberFormat="1" applyFont="1" applyBorder="1" applyAlignment="1">
      <alignment horizontal="center" vertical="center"/>
    </xf>
    <xf numFmtId="165" fontId="37" fillId="0" borderId="0" xfId="0" applyNumberFormat="1" applyFont="1" applyBorder="1" applyAlignment="1">
      <alignment horizontal="center" vertical="center"/>
    </xf>
    <xf numFmtId="0" fontId="37" fillId="0" borderId="6" xfId="0" applyFont="1" applyBorder="1" applyAlignment="1">
      <alignment horizontal="left"/>
    </xf>
    <xf numFmtId="0" fontId="37" fillId="0" borderId="20" xfId="0" applyFont="1" applyBorder="1" applyAlignment="1">
      <alignment horizontal="center" vertical="center"/>
    </xf>
    <xf numFmtId="0" fontId="37" fillId="0" borderId="6" xfId="0" applyFont="1" applyBorder="1"/>
    <xf numFmtId="0" fontId="37" fillId="0" borderId="20" xfId="0" applyFont="1" applyFill="1" applyBorder="1" applyAlignment="1">
      <alignment horizontal="center"/>
    </xf>
    <xf numFmtId="3" fontId="53" fillId="0" borderId="0" xfId="0" applyNumberFormat="1" applyFont="1" applyAlignment="1">
      <alignment horizontal="center" vertical="center"/>
    </xf>
    <xf numFmtId="165" fontId="40" fillId="0" borderId="0" xfId="0" applyNumberFormat="1" applyFont="1"/>
    <xf numFmtId="3" fontId="40" fillId="0" borderId="0" xfId="0" applyNumberFormat="1" applyFont="1"/>
    <xf numFmtId="0" fontId="26" fillId="0" borderId="50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0" fillId="0" borderId="38" xfId="0" applyFont="1" applyBorder="1" applyAlignment="1">
      <alignment horizontal="center" vertical="center"/>
    </xf>
    <xf numFmtId="0" fontId="7" fillId="0" borderId="132" xfId="0" applyFont="1" applyBorder="1" applyAlignment="1">
      <alignment horizontal="left"/>
    </xf>
    <xf numFmtId="0" fontId="7" fillId="0" borderId="132" xfId="4" applyFont="1" applyBorder="1" applyAlignment="1">
      <alignment horizontal="left"/>
    </xf>
    <xf numFmtId="0" fontId="37" fillId="0" borderId="42" xfId="0" applyFont="1" applyBorder="1"/>
    <xf numFmtId="0" fontId="37" fillId="0" borderId="19" xfId="0" applyFont="1" applyBorder="1" applyAlignment="1">
      <alignment horizontal="center" vertical="center"/>
    </xf>
    <xf numFmtId="0" fontId="37" fillId="0" borderId="53" xfId="4" applyFont="1" applyBorder="1" applyAlignment="1">
      <alignment horizontal="center" vertical="center"/>
    </xf>
    <xf numFmtId="0" fontId="37" fillId="0" borderId="24" xfId="4" applyFont="1" applyBorder="1" applyAlignment="1">
      <alignment horizontal="center" vertical="center"/>
    </xf>
    <xf numFmtId="0" fontId="34" fillId="0" borderId="148" xfId="0" applyFont="1" applyBorder="1" applyAlignment="1">
      <alignment horizontal="center"/>
    </xf>
    <xf numFmtId="0" fontId="34" fillId="0" borderId="149" xfId="0" applyFont="1" applyBorder="1" applyAlignment="1">
      <alignment horizontal="center"/>
    </xf>
    <xf numFmtId="0" fontId="34" fillId="0" borderId="150" xfId="0" applyFont="1" applyBorder="1" applyAlignment="1">
      <alignment horizontal="center"/>
    </xf>
    <xf numFmtId="1" fontId="8" fillId="0" borderId="148" xfId="0" applyNumberFormat="1" applyFont="1" applyBorder="1" applyAlignment="1">
      <alignment horizontal="center" vertical="center"/>
    </xf>
    <xf numFmtId="1" fontId="8" fillId="0" borderId="149" xfId="0" applyNumberFormat="1" applyFont="1" applyBorder="1" applyAlignment="1">
      <alignment horizontal="center" vertical="center"/>
    </xf>
    <xf numFmtId="1" fontId="8" fillId="0" borderId="150" xfId="0" applyNumberFormat="1" applyFont="1" applyBorder="1" applyAlignment="1">
      <alignment horizontal="center" vertical="center"/>
    </xf>
    <xf numFmtId="0" fontId="40" fillId="0" borderId="0" xfId="0" applyFont="1" applyFill="1"/>
    <xf numFmtId="0" fontId="40" fillId="0" borderId="0" xfId="0" applyFont="1" applyFill="1" applyAlignment="1">
      <alignment wrapText="1"/>
    </xf>
    <xf numFmtId="0" fontId="7" fillId="0" borderId="153" xfId="0" applyFont="1" applyBorder="1" applyAlignment="1">
      <alignment horizontal="center"/>
    </xf>
    <xf numFmtId="0" fontId="6" fillId="5" borderId="154" xfId="0" applyFont="1" applyFill="1" applyBorder="1" applyAlignment="1">
      <alignment horizontal="center" vertical="center"/>
    </xf>
    <xf numFmtId="17" fontId="6" fillId="5" borderId="155" xfId="0" applyNumberFormat="1" applyFont="1" applyFill="1" applyBorder="1" applyAlignment="1">
      <alignment horizontal="center" vertical="center"/>
    </xf>
    <xf numFmtId="17" fontId="6" fillId="5" borderId="156" xfId="0" applyNumberFormat="1" applyFont="1" applyFill="1" applyBorder="1" applyAlignment="1">
      <alignment horizontal="center" vertical="center"/>
    </xf>
    <xf numFmtId="17" fontId="6" fillId="5" borderId="157" xfId="0" applyNumberFormat="1" applyFont="1" applyFill="1" applyBorder="1" applyAlignment="1">
      <alignment horizontal="center" vertical="center"/>
    </xf>
    <xf numFmtId="17" fontId="6" fillId="5" borderId="158" xfId="0" applyNumberFormat="1" applyFont="1" applyFill="1" applyBorder="1" applyAlignment="1">
      <alignment horizontal="center" vertical="center"/>
    </xf>
    <xf numFmtId="17" fontId="6" fillId="5" borderId="159" xfId="0" applyNumberFormat="1" applyFont="1" applyFill="1" applyBorder="1" applyAlignment="1">
      <alignment horizontal="center" vertical="center"/>
    </xf>
    <xf numFmtId="1" fontId="20" fillId="5" borderId="160" xfId="0" applyNumberFormat="1" applyFont="1" applyFill="1" applyBorder="1" applyAlignment="1">
      <alignment horizontal="center" vertical="center" wrapText="1"/>
    </xf>
    <xf numFmtId="2" fontId="6" fillId="5" borderId="161" xfId="0" applyNumberFormat="1" applyFont="1" applyFill="1" applyBorder="1" applyAlignment="1">
      <alignment horizontal="center" vertical="center"/>
    </xf>
    <xf numFmtId="0" fontId="6" fillId="5" borderId="163" xfId="0" applyFont="1" applyFill="1" applyBorder="1" applyAlignment="1">
      <alignment horizontal="center" vertical="center"/>
    </xf>
    <xf numFmtId="1" fontId="6" fillId="5" borderId="163" xfId="0" applyNumberFormat="1" applyFont="1" applyFill="1" applyBorder="1" applyAlignment="1">
      <alignment horizontal="center" vertical="center"/>
    </xf>
    <xf numFmtId="1" fontId="6" fillId="5" borderId="162" xfId="0" applyNumberFormat="1" applyFont="1" applyFill="1" applyBorder="1" applyAlignment="1">
      <alignment horizontal="center"/>
    </xf>
    <xf numFmtId="1" fontId="6" fillId="5" borderId="164" xfId="0" applyNumberFormat="1" applyFont="1" applyFill="1" applyBorder="1" applyAlignment="1">
      <alignment horizontal="center"/>
    </xf>
    <xf numFmtId="1" fontId="6" fillId="5" borderId="152" xfId="0" applyNumberFormat="1" applyFont="1" applyFill="1" applyBorder="1" applyAlignment="1">
      <alignment horizontal="center"/>
    </xf>
    <xf numFmtId="17" fontId="54" fillId="5" borderId="57" xfId="0" applyNumberFormat="1" applyFont="1" applyFill="1" applyBorder="1" applyAlignment="1">
      <alignment horizontal="center" vertical="center"/>
    </xf>
    <xf numFmtId="17" fontId="54" fillId="5" borderId="58" xfId="0" applyNumberFormat="1" applyFont="1" applyFill="1" applyBorder="1" applyAlignment="1">
      <alignment horizontal="center" vertical="center"/>
    </xf>
    <xf numFmtId="1" fontId="54" fillId="0" borderId="4" xfId="0" applyNumberFormat="1" applyFont="1" applyBorder="1" applyAlignment="1">
      <alignment horizontal="center" vertical="center"/>
    </xf>
    <xf numFmtId="2" fontId="51" fillId="5" borderId="4" xfId="0" applyNumberFormat="1" applyFont="1" applyFill="1" applyBorder="1" applyAlignment="1">
      <alignment horizontal="center" vertical="center"/>
    </xf>
    <xf numFmtId="1" fontId="54" fillId="0" borderId="6" xfId="0" applyNumberFormat="1" applyFont="1" applyBorder="1" applyAlignment="1">
      <alignment horizontal="center" vertical="center"/>
    </xf>
    <xf numFmtId="1" fontId="54" fillId="0" borderId="22" xfId="0" applyNumberFormat="1" applyFont="1" applyBorder="1" applyAlignment="1">
      <alignment horizontal="center" vertical="center"/>
    </xf>
    <xf numFmtId="1" fontId="54" fillId="0" borderId="8" xfId="0" applyNumberFormat="1" applyFont="1" applyBorder="1" applyAlignment="1">
      <alignment horizontal="center" vertical="center"/>
    </xf>
    <xf numFmtId="1" fontId="54" fillId="0" borderId="60" xfId="0" applyNumberFormat="1" applyFont="1" applyBorder="1" applyAlignment="1">
      <alignment horizontal="center" vertical="center"/>
    </xf>
    <xf numFmtId="2" fontId="51" fillId="5" borderId="2" xfId="0" applyNumberFormat="1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horizontal="center"/>
    </xf>
    <xf numFmtId="1" fontId="54" fillId="5" borderId="11" xfId="0" applyNumberFormat="1" applyFont="1" applyFill="1" applyBorder="1" applyAlignment="1">
      <alignment horizontal="center"/>
    </xf>
    <xf numFmtId="1" fontId="54" fillId="5" borderId="51" xfId="0" applyNumberFormat="1" applyFont="1" applyFill="1" applyBorder="1" applyAlignment="1">
      <alignment horizontal="center" vertical="center"/>
    </xf>
    <xf numFmtId="1" fontId="54" fillId="5" borderId="29" xfId="0" applyNumberFormat="1" applyFont="1" applyFill="1" applyBorder="1" applyAlignment="1">
      <alignment horizontal="center" vertical="center"/>
    </xf>
    <xf numFmtId="2" fontId="51" fillId="5" borderId="131" xfId="0" applyNumberFormat="1" applyFont="1" applyFill="1" applyBorder="1" applyAlignment="1">
      <alignment horizontal="center" vertical="center"/>
    </xf>
    <xf numFmtId="1" fontId="37" fillId="0" borderId="0" xfId="0" applyNumberFormat="1" applyFont="1"/>
    <xf numFmtId="0" fontId="7" fillId="0" borderId="0" xfId="0" applyFont="1" applyBorder="1" applyAlignment="1">
      <alignment horizontal="left"/>
    </xf>
    <xf numFmtId="2" fontId="8" fillId="5" borderId="10" xfId="4" applyNumberFormat="1" applyFont="1" applyFill="1" applyBorder="1" applyAlignment="1">
      <alignment horizontal="center" vertical="center"/>
    </xf>
    <xf numFmtId="3" fontId="50" fillId="0" borderId="0" xfId="0" applyNumberFormat="1" applyFont="1" applyFill="1" applyBorder="1" applyAlignment="1">
      <alignment horizontal="center" vertical="center"/>
    </xf>
    <xf numFmtId="0" fontId="37" fillId="0" borderId="45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/>
    </xf>
    <xf numFmtId="0" fontId="37" fillId="0" borderId="20" xfId="4" applyFont="1" applyFill="1" applyBorder="1" applyAlignment="1">
      <alignment horizontal="center" vertical="center"/>
    </xf>
    <xf numFmtId="0" fontId="51" fillId="0" borderId="6" xfId="4" applyFont="1" applyFill="1" applyBorder="1" applyAlignment="1">
      <alignment horizontal="center" vertical="center"/>
    </xf>
    <xf numFmtId="1" fontId="51" fillId="0" borderId="34" xfId="0" applyNumberFormat="1" applyFont="1" applyFill="1" applyBorder="1" applyAlignment="1">
      <alignment horizontal="center" vertical="center"/>
    </xf>
    <xf numFmtId="2" fontId="51" fillId="0" borderId="165" xfId="4" applyNumberFormat="1" applyFont="1" applyFill="1" applyBorder="1" applyAlignment="1">
      <alignment horizontal="center" vertical="center"/>
    </xf>
    <xf numFmtId="0" fontId="0" fillId="0" borderId="0" xfId="0" applyFill="1"/>
    <xf numFmtId="0" fontId="26" fillId="0" borderId="48" xfId="0" applyFont="1" applyBorder="1" applyAlignment="1">
      <alignment horizontal="center" vertical="center"/>
    </xf>
    <xf numFmtId="165" fontId="56" fillId="0" borderId="0" xfId="0" applyNumberFormat="1" applyFont="1" applyFill="1" applyBorder="1" applyAlignment="1">
      <alignment horizontal="center" vertical="center"/>
    </xf>
    <xf numFmtId="165" fontId="56" fillId="0" borderId="0" xfId="0" applyNumberFormat="1" applyFont="1" applyFill="1" applyBorder="1" applyAlignment="1">
      <alignment horizontal="center"/>
    </xf>
    <xf numFmtId="0" fontId="43" fillId="0" borderId="0" xfId="10" applyFont="1" applyFill="1" applyBorder="1" applyAlignment="1" applyProtection="1">
      <alignment horizontal="center" wrapText="1"/>
    </xf>
    <xf numFmtId="1" fontId="43" fillId="0" borderId="0" xfId="0" applyNumberFormat="1" applyFont="1" applyFill="1" applyBorder="1" applyAlignment="1">
      <alignment horizontal="center" vertical="center"/>
    </xf>
    <xf numFmtId="0" fontId="30" fillId="15" borderId="167" xfId="0" applyFont="1" applyFill="1" applyBorder="1" applyAlignment="1">
      <alignment horizontal="left" vertical="center"/>
    </xf>
    <xf numFmtId="0" fontId="30" fillId="15" borderId="168" xfId="0" applyFont="1" applyFill="1" applyBorder="1" applyAlignment="1">
      <alignment horizontal="center" vertical="center"/>
    </xf>
    <xf numFmtId="0" fontId="30" fillId="15" borderId="169" xfId="0" applyFont="1" applyFill="1" applyBorder="1" applyAlignment="1">
      <alignment horizontal="center" vertical="center"/>
    </xf>
    <xf numFmtId="0" fontId="30" fillId="15" borderId="169" xfId="0" applyFont="1" applyFill="1" applyBorder="1" applyAlignment="1">
      <alignment horizontal="center" vertical="center" wrapText="1"/>
    </xf>
    <xf numFmtId="0" fontId="30" fillId="15" borderId="166" xfId="0" applyFont="1" applyFill="1" applyBorder="1" applyAlignment="1">
      <alignment horizontal="center" vertical="center" wrapText="1"/>
    </xf>
    <xf numFmtId="0" fontId="0" fillId="0" borderId="13" xfId="0" applyBorder="1"/>
    <xf numFmtId="1" fontId="0" fillId="0" borderId="2" xfId="0" applyNumberFormat="1" applyBorder="1"/>
    <xf numFmtId="0" fontId="30" fillId="16" borderId="170" xfId="0" applyFont="1" applyFill="1" applyBorder="1" applyAlignment="1">
      <alignment horizontal="justify" vertical="center" wrapText="1"/>
    </xf>
    <xf numFmtId="0" fontId="30" fillId="16" borderId="171" xfId="0" applyFont="1" applyFill="1" applyBorder="1" applyAlignment="1">
      <alignment horizontal="center" vertical="center" wrapText="1"/>
    </xf>
    <xf numFmtId="0" fontId="0" fillId="0" borderId="172" xfId="0" applyBorder="1"/>
    <xf numFmtId="1" fontId="0" fillId="0" borderId="173" xfId="0" applyNumberFormat="1" applyBorder="1"/>
    <xf numFmtId="0" fontId="32" fillId="16" borderId="174" xfId="0" applyFont="1" applyFill="1" applyBorder="1" applyAlignment="1">
      <alignment horizontal="right" vertical="center" wrapText="1"/>
    </xf>
    <xf numFmtId="0" fontId="32" fillId="16" borderId="175" xfId="0" applyFont="1" applyFill="1" applyBorder="1" applyAlignment="1">
      <alignment horizontal="center" vertical="center" wrapText="1"/>
    </xf>
    <xf numFmtId="0" fontId="32" fillId="16" borderId="176" xfId="0" applyFont="1" applyFill="1" applyBorder="1" applyAlignment="1">
      <alignment horizontal="center" vertical="center" wrapText="1"/>
    </xf>
    <xf numFmtId="0" fontId="32" fillId="16" borderId="177" xfId="0" applyFont="1" applyFill="1" applyBorder="1" applyAlignment="1">
      <alignment horizontal="center" vertical="center" wrapText="1"/>
    </xf>
    <xf numFmtId="0" fontId="32" fillId="16" borderId="178" xfId="0" applyFont="1" applyFill="1" applyBorder="1" applyAlignment="1">
      <alignment horizontal="center" vertical="center" wrapText="1"/>
    </xf>
    <xf numFmtId="0" fontId="32" fillId="16" borderId="179" xfId="0" applyFont="1" applyFill="1" applyBorder="1" applyAlignment="1">
      <alignment horizontal="center" vertical="center" wrapText="1"/>
    </xf>
    <xf numFmtId="0" fontId="32" fillId="25" borderId="180" xfId="0" applyFont="1" applyFill="1" applyBorder="1" applyAlignment="1">
      <alignment horizontal="center" vertical="center" wrapText="1"/>
    </xf>
    <xf numFmtId="0" fontId="32" fillId="16" borderId="181" xfId="0" applyFont="1" applyFill="1" applyBorder="1" applyAlignment="1">
      <alignment horizontal="center" vertical="center" wrapText="1"/>
    </xf>
    <xf numFmtId="0" fontId="0" fillId="0" borderId="182" xfId="0" applyBorder="1"/>
    <xf numFmtId="1" fontId="0" fillId="0" borderId="183" xfId="0" applyNumberFormat="1" applyBorder="1"/>
    <xf numFmtId="0" fontId="32" fillId="16" borderId="184" xfId="0" applyFont="1" applyFill="1" applyBorder="1" applyAlignment="1">
      <alignment horizontal="right" vertical="center" wrapText="1"/>
    </xf>
    <xf numFmtId="0" fontId="32" fillId="16" borderId="185" xfId="0" applyFont="1" applyFill="1" applyBorder="1" applyAlignment="1">
      <alignment horizontal="center" vertical="center" wrapText="1"/>
    </xf>
    <xf numFmtId="0" fontId="32" fillId="16" borderId="186" xfId="0" applyFont="1" applyFill="1" applyBorder="1" applyAlignment="1">
      <alignment horizontal="center" vertical="center" wrapText="1"/>
    </xf>
    <xf numFmtId="0" fontId="32" fillId="16" borderId="187" xfId="0" applyFont="1" applyFill="1" applyBorder="1" applyAlignment="1">
      <alignment horizontal="center" vertical="center" wrapText="1"/>
    </xf>
    <xf numFmtId="0" fontId="32" fillId="16" borderId="188" xfId="0" applyFont="1" applyFill="1" applyBorder="1" applyAlignment="1">
      <alignment horizontal="center" vertical="center" wrapText="1"/>
    </xf>
    <xf numFmtId="0" fontId="32" fillId="25" borderId="189" xfId="0" applyFont="1" applyFill="1" applyBorder="1" applyAlignment="1">
      <alignment horizontal="center" vertical="center" wrapText="1"/>
    </xf>
    <xf numFmtId="0" fontId="32" fillId="16" borderId="190" xfId="0" applyFont="1" applyFill="1" applyBorder="1" applyAlignment="1">
      <alignment horizontal="center" vertical="center" wrapText="1"/>
    </xf>
    <xf numFmtId="0" fontId="0" fillId="0" borderId="191" xfId="0" applyBorder="1"/>
    <xf numFmtId="1" fontId="0" fillId="0" borderId="192" xfId="0" applyNumberFormat="1" applyBorder="1"/>
    <xf numFmtId="0" fontId="0" fillId="0" borderId="0" xfId="0" applyAlignment="1">
      <alignment horizontal="left" vertical="top" wrapText="1"/>
    </xf>
    <xf numFmtId="0" fontId="0" fillId="0" borderId="0" xfId="0" applyBorder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17" fontId="6" fillId="5" borderId="29" xfId="0" applyNumberFormat="1" applyFont="1" applyFill="1" applyBorder="1"/>
    <xf numFmtId="17" fontId="6" fillId="5" borderId="193" xfId="0" applyNumberFormat="1" applyFont="1" applyFill="1" applyBorder="1" applyAlignment="1">
      <alignment horizontal="center" vertical="center"/>
    </xf>
    <xf numFmtId="1" fontId="6" fillId="5" borderId="173" xfId="0" applyNumberFormat="1" applyFont="1" applyFill="1" applyBorder="1" applyAlignment="1">
      <alignment horizontal="center" vertical="center"/>
    </xf>
    <xf numFmtId="0" fontId="8" fillId="5" borderId="193" xfId="4" applyFont="1" applyFill="1" applyBorder="1" applyAlignment="1">
      <alignment horizontal="center" vertical="center"/>
    </xf>
    <xf numFmtId="1" fontId="8" fillId="5" borderId="194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 wrapText="1"/>
    </xf>
    <xf numFmtId="2" fontId="6" fillId="5" borderId="195" xfId="0" applyNumberFormat="1" applyFont="1" applyFill="1" applyBorder="1" applyAlignment="1">
      <alignment horizontal="center" vertical="center"/>
    </xf>
    <xf numFmtId="0" fontId="24" fillId="4" borderId="29" xfId="0" applyFont="1" applyFill="1" applyBorder="1" applyAlignment="1">
      <alignment horizontal="center"/>
    </xf>
    <xf numFmtId="2" fontId="7" fillId="0" borderId="42" xfId="0" applyNumberFormat="1" applyFont="1" applyBorder="1" applyAlignment="1">
      <alignment horizontal="center"/>
    </xf>
    <xf numFmtId="0" fontId="24" fillId="4" borderId="131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right" vertical="center" wrapText="1"/>
    </xf>
    <xf numFmtId="0" fontId="52" fillId="0" borderId="0" xfId="0" applyFont="1" applyFill="1" applyBorder="1" applyAlignment="1">
      <alignment horizontal="center" vertical="center"/>
    </xf>
    <xf numFmtId="1" fontId="52" fillId="0" borderId="0" xfId="0" applyNumberFormat="1" applyFont="1" applyFill="1" applyBorder="1" applyAlignment="1">
      <alignment horizontal="center" vertical="center"/>
    </xf>
    <xf numFmtId="0" fontId="37" fillId="0" borderId="45" xfId="4" applyFont="1" applyFill="1" applyBorder="1" applyAlignment="1">
      <alignment horizontal="center" vertical="center"/>
    </xf>
    <xf numFmtId="0" fontId="0" fillId="0" borderId="0" xfId="4" applyFont="1" applyFill="1"/>
    <xf numFmtId="0" fontId="6" fillId="5" borderId="131" xfId="0" applyFont="1" applyFill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7" fillId="0" borderId="138" xfId="0" applyFont="1" applyBorder="1" applyAlignment="1">
      <alignment horizontal="center"/>
    </xf>
    <xf numFmtId="0" fontId="7" fillId="0" borderId="139" xfId="0" applyFont="1" applyBorder="1" applyAlignment="1">
      <alignment horizontal="center"/>
    </xf>
    <xf numFmtId="0" fontId="7" fillId="0" borderId="140" xfId="0" applyFont="1" applyBorder="1" applyAlignment="1">
      <alignment horizontal="center"/>
    </xf>
    <xf numFmtId="0" fontId="7" fillId="0" borderId="27" xfId="0" applyFont="1" applyBorder="1" applyAlignment="1">
      <alignment horizontal="left"/>
    </xf>
    <xf numFmtId="0" fontId="6" fillId="5" borderId="131" xfId="0" applyFont="1" applyFill="1" applyBorder="1" applyAlignment="1">
      <alignment horizontal="left"/>
    </xf>
    <xf numFmtId="0" fontId="7" fillId="0" borderId="53" xfId="0" applyFont="1" applyBorder="1" applyAlignment="1">
      <alignment horizontal="left"/>
    </xf>
    <xf numFmtId="0" fontId="7" fillId="0" borderId="165" xfId="0" applyFont="1" applyBorder="1" applyAlignment="1">
      <alignment horizontal="center"/>
    </xf>
    <xf numFmtId="0" fontId="6" fillId="6" borderId="196" xfId="0" applyFont="1" applyFill="1" applyBorder="1" applyAlignment="1">
      <alignment horizontal="center"/>
    </xf>
    <xf numFmtId="0" fontId="37" fillId="0" borderId="165" xfId="4" applyFont="1" applyFill="1" applyBorder="1"/>
    <xf numFmtId="0" fontId="37" fillId="0" borderId="139" xfId="4" applyFont="1" applyFill="1" applyBorder="1"/>
    <xf numFmtId="0" fontId="37" fillId="0" borderId="139" xfId="0" applyFont="1" applyFill="1" applyBorder="1" applyAlignment="1">
      <alignment horizontal="left"/>
    </xf>
    <xf numFmtId="0" fontId="37" fillId="0" borderId="139" xfId="0" applyFont="1" applyFill="1" applyBorder="1"/>
    <xf numFmtId="0" fontId="37" fillId="0" borderId="139" xfId="14" applyNumberFormat="1" applyFont="1" applyFill="1" applyBorder="1" applyAlignment="1">
      <alignment horizontal="left"/>
    </xf>
    <xf numFmtId="0" fontId="37" fillId="0" borderId="197" xfId="0" applyFont="1" applyFill="1" applyBorder="1"/>
    <xf numFmtId="0" fontId="37" fillId="0" borderId="140" xfId="0" applyFont="1" applyFill="1" applyBorder="1"/>
    <xf numFmtId="165" fontId="6" fillId="5" borderId="2" xfId="0" applyNumberFormat="1" applyFont="1" applyFill="1" applyBorder="1" applyAlignment="1">
      <alignment horizontal="center" vertical="center" wrapText="1"/>
    </xf>
    <xf numFmtId="165" fontId="6" fillId="5" borderId="131" xfId="0" applyNumberFormat="1" applyFont="1" applyFill="1" applyBorder="1" applyAlignment="1">
      <alignment horizontal="center" vertical="center" wrapText="1"/>
    </xf>
    <xf numFmtId="0" fontId="37" fillId="0" borderId="0" xfId="0" applyFont="1" applyFill="1"/>
    <xf numFmtId="0" fontId="37" fillId="0" borderId="165" xfId="0" applyFont="1" applyBorder="1" applyAlignment="1">
      <alignment horizontal="center"/>
    </xf>
    <xf numFmtId="0" fontId="37" fillId="0" borderId="139" xfId="0" applyFont="1" applyBorder="1" applyAlignment="1">
      <alignment horizontal="center"/>
    </xf>
    <xf numFmtId="0" fontId="37" fillId="0" borderId="140" xfId="0" applyFont="1" applyBorder="1" applyAlignment="1">
      <alignment horizontal="center"/>
    </xf>
    <xf numFmtId="0" fontId="6" fillId="6" borderId="198" xfId="0" applyFont="1" applyFill="1" applyBorder="1" applyAlignment="1">
      <alignment horizontal="center"/>
    </xf>
    <xf numFmtId="0" fontId="37" fillId="0" borderId="199" xfId="0" applyFont="1" applyFill="1" applyBorder="1"/>
    <xf numFmtId="0" fontId="37" fillId="0" borderId="200" xfId="0" applyFont="1" applyFill="1" applyBorder="1"/>
    <xf numFmtId="0" fontId="37" fillId="0" borderId="200" xfId="0" applyFont="1" applyFill="1" applyBorder="1" applyAlignment="1">
      <alignment horizontal="left"/>
    </xf>
    <xf numFmtId="0" fontId="8" fillId="5" borderId="152" xfId="0" applyFont="1" applyFill="1" applyBorder="1" applyAlignment="1">
      <alignment horizontal="center"/>
    </xf>
    <xf numFmtId="17" fontId="6" fillId="6" borderId="131" xfId="0" applyNumberFormat="1" applyFont="1" applyFill="1" applyBorder="1" applyAlignment="1">
      <alignment horizontal="center" vertical="center"/>
    </xf>
    <xf numFmtId="0" fontId="37" fillId="0" borderId="201" xfId="0" applyFont="1" applyFill="1" applyBorder="1"/>
    <xf numFmtId="0" fontId="8" fillId="6" borderId="131" xfId="0" applyFont="1" applyFill="1" applyBorder="1" applyAlignment="1">
      <alignment horizontal="right"/>
    </xf>
    <xf numFmtId="0" fontId="6" fillId="6" borderId="13" xfId="0" applyFont="1" applyFill="1" applyBorder="1" applyAlignment="1">
      <alignment horizontal="center" wrapText="1"/>
    </xf>
    <xf numFmtId="0" fontId="4" fillId="29" borderId="146" xfId="0" applyFont="1" applyFill="1" applyBorder="1" applyAlignment="1">
      <alignment vertical="center"/>
    </xf>
    <xf numFmtId="0" fontId="4" fillId="0" borderId="202" xfId="0" applyFont="1" applyBorder="1"/>
    <xf numFmtId="0" fontId="10" fillId="29" borderId="203" xfId="0" applyFont="1" applyFill="1" applyBorder="1" applyAlignment="1">
      <alignment vertical="center"/>
    </xf>
    <xf numFmtId="17" fontId="6" fillId="6" borderId="204" xfId="0" applyNumberFormat="1" applyFont="1" applyFill="1" applyBorder="1" applyAlignment="1">
      <alignment horizontal="center" vertical="center"/>
    </xf>
    <xf numFmtId="0" fontId="8" fillId="5" borderId="203" xfId="0" applyFont="1" applyFill="1" applyBorder="1" applyAlignment="1">
      <alignment horizontal="center"/>
    </xf>
    <xf numFmtId="17" fontId="6" fillId="5" borderId="173" xfId="0" applyNumberFormat="1" applyFont="1" applyFill="1" applyBorder="1" applyAlignment="1">
      <alignment horizontal="center"/>
    </xf>
    <xf numFmtId="0" fontId="8" fillId="4" borderId="203" xfId="0" applyFont="1" applyFill="1" applyBorder="1" applyAlignment="1">
      <alignment horizontal="right"/>
    </xf>
    <xf numFmtId="1" fontId="6" fillId="4" borderId="173" xfId="0" applyNumberFormat="1" applyFont="1" applyFill="1" applyBorder="1" applyAlignment="1">
      <alignment horizontal="center"/>
    </xf>
    <xf numFmtId="0" fontId="37" fillId="0" borderId="43" xfId="4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/>
    </xf>
    <xf numFmtId="0" fontId="37" fillId="0" borderId="19" xfId="4" applyFont="1" applyFill="1" applyBorder="1" applyAlignment="1">
      <alignment horizontal="center" vertical="center"/>
    </xf>
    <xf numFmtId="0" fontId="51" fillId="0" borderId="42" xfId="4" applyFont="1" applyFill="1" applyBorder="1" applyAlignment="1">
      <alignment horizontal="center" vertical="center"/>
    </xf>
    <xf numFmtId="1" fontId="51" fillId="0" borderId="44" xfId="0" applyNumberFormat="1" applyFont="1" applyFill="1" applyBorder="1" applyAlignment="1">
      <alignment horizontal="center" vertical="center"/>
    </xf>
    <xf numFmtId="2" fontId="51" fillId="0" borderId="138" xfId="4" applyNumberFormat="1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/>
    </xf>
    <xf numFmtId="0" fontId="37" fillId="0" borderId="151" xfId="0" applyFont="1" applyFill="1" applyBorder="1"/>
    <xf numFmtId="43" fontId="0" fillId="0" borderId="0" xfId="14" applyFont="1" applyFill="1"/>
    <xf numFmtId="0" fontId="37" fillId="0" borderId="45" xfId="14" applyNumberFormat="1" applyFont="1" applyFill="1" applyBorder="1" applyAlignment="1">
      <alignment horizontal="center" vertical="center"/>
    </xf>
    <xf numFmtId="0" fontId="37" fillId="0" borderId="20" xfId="14" applyNumberFormat="1" applyFont="1" applyFill="1" applyBorder="1" applyAlignment="1">
      <alignment horizontal="center"/>
    </xf>
    <xf numFmtId="0" fontId="37" fillId="0" borderId="20" xfId="14" applyNumberFormat="1" applyFont="1" applyFill="1" applyBorder="1" applyAlignment="1">
      <alignment horizontal="center" vertical="center"/>
    </xf>
    <xf numFmtId="0" fontId="51" fillId="0" borderId="6" xfId="14" applyNumberFormat="1" applyFont="1" applyFill="1" applyBorder="1" applyAlignment="1">
      <alignment horizontal="center" vertical="center"/>
    </xf>
    <xf numFmtId="1" fontId="51" fillId="0" borderId="34" xfId="14" applyNumberFormat="1" applyFont="1" applyFill="1" applyBorder="1" applyAlignment="1">
      <alignment horizontal="center" vertical="center"/>
    </xf>
    <xf numFmtId="2" fontId="51" fillId="0" borderId="165" xfId="14" applyNumberFormat="1" applyFont="1" applyFill="1" applyBorder="1" applyAlignment="1">
      <alignment horizontal="center" vertical="center"/>
    </xf>
    <xf numFmtId="2" fontId="51" fillId="0" borderId="151" xfId="4" applyNumberFormat="1" applyFont="1" applyFill="1" applyBorder="1" applyAlignment="1">
      <alignment horizontal="center" vertical="center"/>
    </xf>
    <xf numFmtId="0" fontId="37" fillId="0" borderId="26" xfId="4" applyFont="1" applyFill="1" applyBorder="1" applyAlignment="1">
      <alignment horizontal="center" vertical="center"/>
    </xf>
    <xf numFmtId="0" fontId="37" fillId="0" borderId="26" xfId="0" applyFont="1" applyFill="1" applyBorder="1" applyAlignment="1">
      <alignment horizontal="center" vertical="center"/>
    </xf>
    <xf numFmtId="0" fontId="51" fillId="0" borderId="28" xfId="4" applyFont="1" applyFill="1" applyBorder="1" applyAlignment="1">
      <alignment horizontal="center" vertical="center"/>
    </xf>
    <xf numFmtId="1" fontId="51" fillId="0" borderId="46" xfId="0" applyNumberFormat="1" applyFont="1" applyFill="1" applyBorder="1" applyAlignment="1">
      <alignment horizontal="center" vertical="center"/>
    </xf>
    <xf numFmtId="2" fontId="51" fillId="0" borderId="149" xfId="4" applyNumberFormat="1" applyFont="1" applyFill="1" applyBorder="1" applyAlignment="1">
      <alignment horizontal="center" vertical="center"/>
    </xf>
    <xf numFmtId="0" fontId="37" fillId="0" borderId="48" xfId="0" applyFont="1" applyFill="1" applyBorder="1" applyAlignment="1">
      <alignment horizontal="center" vertical="center"/>
    </xf>
    <xf numFmtId="0" fontId="37" fillId="0" borderId="26" xfId="0" applyFont="1" applyFill="1" applyBorder="1" applyAlignment="1">
      <alignment horizontal="center"/>
    </xf>
    <xf numFmtId="2" fontId="51" fillId="0" borderId="152" xfId="4" applyNumberFormat="1" applyFont="1" applyFill="1" applyBorder="1" applyAlignment="1">
      <alignment horizontal="center" vertical="center"/>
    </xf>
    <xf numFmtId="0" fontId="7" fillId="0" borderId="132" xfId="0" applyNumberFormat="1" applyFont="1" applyBorder="1" applyAlignment="1">
      <alignment horizontal="center"/>
    </xf>
    <xf numFmtId="0" fontId="6" fillId="5" borderId="13" xfId="0" applyFont="1" applyFill="1" applyBorder="1" applyAlignment="1">
      <alignment horizontal="left" vertical="center"/>
    </xf>
    <xf numFmtId="0" fontId="7" fillId="0" borderId="144" xfId="0" applyNumberFormat="1" applyFont="1" applyBorder="1" applyAlignment="1">
      <alignment horizontal="center"/>
    </xf>
    <xf numFmtId="17" fontId="6" fillId="5" borderId="131" xfId="0" applyNumberFormat="1" applyFont="1" applyFill="1" applyBorder="1" applyAlignment="1">
      <alignment horizontal="center" vertical="center"/>
    </xf>
    <xf numFmtId="0" fontId="4" fillId="29" borderId="149" xfId="0" applyFont="1" applyFill="1" applyBorder="1" applyAlignment="1">
      <alignment horizontal="center" vertical="center"/>
    </xf>
    <xf numFmtId="0" fontId="4" fillId="29" borderId="205" xfId="0" applyFont="1" applyFill="1" applyBorder="1" applyAlignment="1">
      <alignment horizontal="center" vertical="center"/>
    </xf>
    <xf numFmtId="0" fontId="10" fillId="29" borderId="131" xfId="0" applyFont="1" applyFill="1" applyBorder="1" applyAlignment="1">
      <alignment horizontal="center" vertical="center"/>
    </xf>
    <xf numFmtId="0" fontId="35" fillId="0" borderId="0" xfId="0" applyFont="1" applyFill="1"/>
    <xf numFmtId="0" fontId="6" fillId="4" borderId="154" xfId="0" applyFont="1" applyFill="1" applyBorder="1" applyAlignment="1">
      <alignment horizontal="center"/>
    </xf>
    <xf numFmtId="0" fontId="6" fillId="4" borderId="156" xfId="0" applyFont="1" applyFill="1" applyBorder="1" applyAlignment="1">
      <alignment horizontal="center"/>
    </xf>
    <xf numFmtId="0" fontId="6" fillId="4" borderId="206" xfId="0" applyFont="1" applyFill="1" applyBorder="1" applyAlignment="1">
      <alignment horizontal="center"/>
    </xf>
    <xf numFmtId="17" fontId="6" fillId="4" borderId="207" xfId="0" applyNumberFormat="1" applyFont="1" applyFill="1" applyBorder="1" applyAlignment="1">
      <alignment horizontal="center"/>
    </xf>
    <xf numFmtId="2" fontId="7" fillId="0" borderId="208" xfId="0" applyNumberFormat="1" applyFont="1" applyBorder="1" applyAlignment="1">
      <alignment horizontal="center"/>
    </xf>
    <xf numFmtId="17" fontId="6" fillId="4" borderId="209" xfId="0" applyNumberFormat="1" applyFont="1" applyFill="1" applyBorder="1" applyAlignment="1">
      <alignment horizontal="center"/>
    </xf>
    <xf numFmtId="17" fontId="6" fillId="4" borderId="210" xfId="0" applyNumberFormat="1" applyFont="1" applyFill="1" applyBorder="1" applyAlignment="1">
      <alignment horizontal="center"/>
    </xf>
    <xf numFmtId="3" fontId="7" fillId="0" borderId="211" xfId="0" applyNumberFormat="1" applyFont="1" applyBorder="1" applyAlignment="1">
      <alignment horizontal="center"/>
    </xf>
    <xf numFmtId="2" fontId="7" fillId="0" borderId="212" xfId="0" applyNumberFormat="1" applyFont="1" applyBorder="1" applyAlignment="1">
      <alignment horizontal="center"/>
    </xf>
    <xf numFmtId="17" fontId="6" fillId="4" borderId="213" xfId="0" applyNumberFormat="1" applyFont="1" applyFill="1" applyBorder="1" applyAlignment="1">
      <alignment horizontal="center"/>
    </xf>
    <xf numFmtId="3" fontId="7" fillId="0" borderId="182" xfId="0" applyNumberFormat="1" applyFont="1" applyBorder="1" applyAlignment="1">
      <alignment horizontal="center"/>
    </xf>
    <xf numFmtId="2" fontId="7" fillId="0" borderId="183" xfId="0" applyNumberFormat="1" applyFont="1" applyBorder="1" applyAlignment="1">
      <alignment horizontal="center"/>
    </xf>
    <xf numFmtId="0" fontId="6" fillId="4" borderId="214" xfId="0" applyFont="1" applyFill="1" applyBorder="1" applyAlignment="1">
      <alignment horizontal="center"/>
    </xf>
    <xf numFmtId="2" fontId="7" fillId="0" borderId="215" xfId="0" applyNumberFormat="1" applyFont="1" applyBorder="1" applyAlignment="1">
      <alignment horizontal="center"/>
    </xf>
    <xf numFmtId="2" fontId="7" fillId="0" borderId="216" xfId="0" applyNumberFormat="1" applyFont="1" applyBorder="1" applyAlignment="1">
      <alignment horizontal="center"/>
    </xf>
    <xf numFmtId="0" fontId="6" fillId="4" borderId="218" xfId="0" applyFont="1" applyFill="1" applyBorder="1" applyAlignment="1">
      <alignment horizontal="center"/>
    </xf>
    <xf numFmtId="0" fontId="6" fillId="4" borderId="219" xfId="0" applyFont="1" applyFill="1" applyBorder="1" applyAlignment="1">
      <alignment horizontal="center"/>
    </xf>
    <xf numFmtId="0" fontId="6" fillId="4" borderId="220" xfId="0" applyFont="1" applyFill="1" applyBorder="1" applyAlignment="1">
      <alignment horizontal="center"/>
    </xf>
    <xf numFmtId="0" fontId="6" fillId="4" borderId="221" xfId="0" applyFont="1" applyFill="1" applyBorder="1" applyAlignment="1">
      <alignment horizontal="center"/>
    </xf>
    <xf numFmtId="0" fontId="6" fillId="4" borderId="222" xfId="0" applyFont="1" applyFill="1" applyBorder="1" applyAlignment="1">
      <alignment horizontal="center"/>
    </xf>
    <xf numFmtId="3" fontId="7" fillId="0" borderId="223" xfId="0" applyNumberFormat="1" applyFont="1" applyBorder="1" applyAlignment="1">
      <alignment horizontal="center"/>
    </xf>
    <xf numFmtId="0" fontId="6" fillId="4" borderId="195" xfId="0" applyFont="1" applyFill="1" applyBorder="1" applyAlignment="1">
      <alignment horizontal="center"/>
    </xf>
    <xf numFmtId="2" fontId="7" fillId="0" borderId="224" xfId="0" applyNumberFormat="1" applyFont="1" applyBorder="1" applyAlignment="1">
      <alignment horizontal="center"/>
    </xf>
    <xf numFmtId="2" fontId="7" fillId="0" borderId="225" xfId="0" applyNumberFormat="1" applyFont="1" applyBorder="1" applyAlignment="1">
      <alignment horizontal="center"/>
    </xf>
    <xf numFmtId="3" fontId="7" fillId="0" borderId="226" xfId="0" applyNumberFormat="1" applyFont="1" applyBorder="1" applyAlignment="1">
      <alignment horizontal="center"/>
    </xf>
    <xf numFmtId="2" fontId="7" fillId="0" borderId="227" xfId="0" applyNumberFormat="1" applyFont="1" applyBorder="1" applyAlignment="1">
      <alignment horizontal="center"/>
    </xf>
    <xf numFmtId="2" fontId="7" fillId="0" borderId="161" xfId="0" applyNumberFormat="1" applyFont="1" applyBorder="1" applyAlignment="1">
      <alignment horizontal="center"/>
    </xf>
    <xf numFmtId="0" fontId="6" fillId="4" borderId="141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wrapText="1"/>
    </xf>
    <xf numFmtId="17" fontId="54" fillId="5" borderId="14" xfId="0" applyNumberFormat="1" applyFont="1" applyFill="1" applyBorder="1" applyAlignment="1">
      <alignment horizontal="center" vertical="center"/>
    </xf>
    <xf numFmtId="1" fontId="55" fillId="5" borderId="31" xfId="0" applyNumberFormat="1" applyFont="1" applyFill="1" applyBorder="1" applyAlignment="1">
      <alignment horizontal="center" vertical="center" wrapText="1"/>
    </xf>
    <xf numFmtId="1" fontId="54" fillId="0" borderId="55" xfId="0" applyNumberFormat="1" applyFont="1" applyBorder="1" applyAlignment="1">
      <alignment horizontal="center" vertical="center"/>
    </xf>
    <xf numFmtId="17" fontId="54" fillId="5" borderId="131" xfId="0" applyNumberFormat="1" applyFont="1" applyFill="1" applyBorder="1" applyAlignment="1">
      <alignment horizontal="center" vertical="center"/>
    </xf>
    <xf numFmtId="3" fontId="7" fillId="0" borderId="228" xfId="0" applyNumberFormat="1" applyFont="1" applyBorder="1" applyAlignment="1">
      <alignment horizontal="center"/>
    </xf>
    <xf numFmtId="0" fontId="6" fillId="4" borderId="160" xfId="0" applyFont="1" applyFill="1" applyBorder="1" applyAlignment="1">
      <alignment horizontal="center"/>
    </xf>
    <xf numFmtId="0" fontId="54" fillId="4" borderId="2" xfId="0" applyFont="1" applyFill="1" applyBorder="1" applyAlignment="1">
      <alignment horizontal="center"/>
    </xf>
    <xf numFmtId="17" fontId="57" fillId="0" borderId="131" xfId="0" applyNumberFormat="1" applyFont="1" applyBorder="1" applyAlignment="1">
      <alignment horizontal="center"/>
    </xf>
    <xf numFmtId="0" fontId="58" fillId="0" borderId="131" xfId="0" applyNumberFormat="1" applyFont="1" applyBorder="1" applyAlignment="1">
      <alignment horizontal="center"/>
    </xf>
    <xf numFmtId="2" fontId="58" fillId="0" borderId="131" xfId="0" applyNumberFormat="1" applyFont="1" applyBorder="1" applyAlignment="1">
      <alignment horizontal="center"/>
    </xf>
    <xf numFmtId="9" fontId="58" fillId="0" borderId="131" xfId="13" applyFont="1" applyBorder="1" applyAlignment="1">
      <alignment horizontal="center"/>
    </xf>
    <xf numFmtId="3" fontId="58" fillId="0" borderId="131" xfId="0" applyNumberFormat="1" applyFont="1" applyBorder="1" applyAlignment="1">
      <alignment horizontal="center"/>
    </xf>
    <xf numFmtId="0" fontId="57" fillId="0" borderId="133" xfId="0" applyFont="1" applyBorder="1" applyAlignment="1">
      <alignment horizontal="center"/>
    </xf>
    <xf numFmtId="0" fontId="57" fillId="0" borderId="134" xfId="0" applyFont="1" applyBorder="1" applyAlignment="1">
      <alignment horizontal="center"/>
    </xf>
    <xf numFmtId="0" fontId="46" fillId="0" borderId="0" xfId="0" applyFont="1" applyAlignment="1">
      <alignment horizontal="center" vertical="center"/>
    </xf>
    <xf numFmtId="1" fontId="37" fillId="0" borderId="0" xfId="0" applyNumberFormat="1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17" fontId="37" fillId="0" borderId="0" xfId="0" applyNumberFormat="1" applyFont="1" applyFill="1" applyBorder="1" applyAlignment="1">
      <alignment horizontal="center"/>
    </xf>
    <xf numFmtId="17" fontId="37" fillId="0" borderId="0" xfId="0" applyNumberFormat="1" applyFont="1" applyFill="1" applyBorder="1" applyAlignment="1">
      <alignment horizontal="center" vertical="center"/>
    </xf>
    <xf numFmtId="1" fontId="37" fillId="0" borderId="0" xfId="0" applyNumberFormat="1" applyFont="1" applyFill="1" applyBorder="1" applyAlignment="1">
      <alignment horizontal="left" vertical="center"/>
    </xf>
    <xf numFmtId="1" fontId="37" fillId="0" borderId="0" xfId="0" applyNumberFormat="1" applyFont="1" applyFill="1" applyBorder="1"/>
    <xf numFmtId="0" fontId="43" fillId="0" borderId="0" xfId="10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>
      <alignment horizontal="center" wrapText="1"/>
    </xf>
    <xf numFmtId="0" fontId="43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left" vertical="center" wrapText="1"/>
    </xf>
    <xf numFmtId="0" fontId="59" fillId="0" borderId="0" xfId="0" applyFont="1" applyFill="1" applyBorder="1" applyAlignment="1">
      <alignment horizontal="center"/>
    </xf>
    <xf numFmtId="0" fontId="46" fillId="0" borderId="0" xfId="0" applyFont="1" applyFill="1" applyBorder="1"/>
    <xf numFmtId="0" fontId="0" fillId="0" borderId="15" xfId="0" applyBorder="1" applyAlignment="1"/>
    <xf numFmtId="0" fontId="9" fillId="0" borderId="0" xfId="0" applyFont="1" applyAlignment="1">
      <alignment wrapText="1"/>
    </xf>
    <xf numFmtId="0" fontId="0" fillId="0" borderId="0" xfId="0" applyAlignment="1"/>
    <xf numFmtId="0" fontId="37" fillId="0" borderId="0" xfId="0" applyFont="1" applyAlignment="1"/>
    <xf numFmtId="2" fontId="6" fillId="0" borderId="217" xfId="0" applyNumberFormat="1" applyFont="1" applyBorder="1" applyAlignment="1">
      <alignment horizontal="center" vertical="center" wrapText="1"/>
    </xf>
    <xf numFmtId="2" fontId="6" fillId="0" borderId="156" xfId="0" applyNumberFormat="1" applyFont="1" applyBorder="1" applyAlignment="1">
      <alignment horizontal="center" vertical="center" wrapText="1"/>
    </xf>
    <xf numFmtId="2" fontId="6" fillId="0" borderId="206" xfId="0" applyNumberFormat="1" applyFont="1" applyBorder="1" applyAlignment="1">
      <alignment horizontal="center" vertical="center" wrapText="1"/>
    </xf>
    <xf numFmtId="2" fontId="6" fillId="0" borderId="217" xfId="0" applyNumberFormat="1" applyFont="1" applyBorder="1" applyAlignment="1">
      <alignment horizontal="center" vertical="center"/>
    </xf>
    <xf numFmtId="2" fontId="6" fillId="0" borderId="156" xfId="0" applyNumberFormat="1" applyFont="1" applyBorder="1" applyAlignment="1">
      <alignment horizontal="center" vertical="center"/>
    </xf>
    <xf numFmtId="2" fontId="6" fillId="0" borderId="20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/>
    <xf numFmtId="0" fontId="40" fillId="0" borderId="0" xfId="0" applyFont="1" applyAlignment="1"/>
    <xf numFmtId="0" fontId="6" fillId="0" borderId="217" xfId="0" applyFont="1" applyBorder="1" applyAlignment="1">
      <alignment horizontal="center" vertical="center" wrapText="1"/>
    </xf>
    <xf numFmtId="0" fontId="6" fillId="0" borderId="156" xfId="0" applyFont="1" applyBorder="1" applyAlignment="1">
      <alignment horizontal="center" vertical="center" wrapText="1"/>
    </xf>
    <xf numFmtId="0" fontId="6" fillId="0" borderId="206" xfId="0" applyFont="1" applyBorder="1" applyAlignment="1">
      <alignment horizontal="center" vertical="center" wrapText="1"/>
    </xf>
    <xf numFmtId="0" fontId="6" fillId="0" borderId="217" xfId="0" applyFont="1" applyBorder="1" applyAlignment="1">
      <alignment horizontal="center"/>
    </xf>
    <xf numFmtId="0" fontId="6" fillId="0" borderId="156" xfId="0" applyFont="1" applyBorder="1" applyAlignment="1">
      <alignment horizontal="center"/>
    </xf>
    <xf numFmtId="0" fontId="6" fillId="0" borderId="206" xfId="0" applyFont="1" applyBorder="1" applyAlignment="1">
      <alignment horizontal="center"/>
    </xf>
    <xf numFmtId="0" fontId="6" fillId="0" borderId="193" xfId="0" applyFont="1" applyBorder="1" applyAlignment="1">
      <alignment horizontal="center"/>
    </xf>
    <xf numFmtId="0" fontId="6" fillId="0" borderId="229" xfId="0" applyFont="1" applyBorder="1" applyAlignment="1">
      <alignment horizontal="center"/>
    </xf>
    <xf numFmtId="0" fontId="6" fillId="0" borderId="173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0" fillId="28" borderId="146" xfId="0" applyFill="1" applyBorder="1" applyAlignment="1">
      <alignment horizontal="center"/>
    </xf>
    <xf numFmtId="0" fontId="0" fillId="28" borderId="147" xfId="0" applyFill="1" applyBorder="1" applyAlignment="1">
      <alignment horizontal="center"/>
    </xf>
    <xf numFmtId="0" fontId="8" fillId="20" borderId="111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2" borderId="28" xfId="0" applyFont="1" applyFill="1" applyBorder="1" applyAlignment="1">
      <alignment horizontal="center"/>
    </xf>
    <xf numFmtId="0" fontId="8" fillId="14" borderId="90" xfId="0" applyFont="1" applyFill="1" applyBorder="1" applyAlignment="1">
      <alignment horizontal="center" vertical="center"/>
    </xf>
    <xf numFmtId="0" fontId="8" fillId="17" borderId="91" xfId="0" applyFont="1" applyFill="1" applyBorder="1" applyAlignment="1">
      <alignment horizontal="center"/>
    </xf>
  </cellXfs>
  <cellStyles count="15">
    <cellStyle name="cf1" xfId="2"/>
    <cellStyle name="cf2" xfId="3"/>
    <cellStyle name="Normal" xfId="0" builtinId="0" customBuiltin="1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Porcentagem" xfId="13" builtinId="5"/>
    <cellStyle name="Título 3" xfId="1" builtinId="18" customBuiltin="1"/>
    <cellStyle name="Vírgula" xfId="14" builtinId="3"/>
    <cellStyle name="Vírgula 2" xfId="12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Tipo de manifestação DEZEMBRO/2023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2869955718917834E-2"/>
          <c:y val="0.11558247526751464"/>
          <c:w val="0.9459459680350194"/>
          <c:h val="0.78160629921259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43-4F31-B7B0-EE72DBEDC16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43-4F31-B7B0-EE72DBEDC16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C43-4F31-B7B0-EE72DBEDC16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43-4F31-B7B0-EE72DBEDC1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C43-4F31-B7B0-EE72DBEDC1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Protocolos!$E$19:$E$23</c:f>
              <c:numCache>
                <c:formatCode>General</c:formatCode>
                <c:ptCount val="5"/>
                <c:pt idx="0">
                  <c:v>235</c:v>
                </c:pt>
                <c:pt idx="1">
                  <c:v>71</c:v>
                </c:pt>
                <c:pt idx="2">
                  <c:v>3847</c:v>
                </c:pt>
                <c:pt idx="3">
                  <c:v>144</c:v>
                </c:pt>
                <c:pt idx="4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18-43D8-85AF-9551245D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461247"/>
        <c:axId val="1791460415"/>
      </c:barChart>
      <c:valAx>
        <c:axId val="1791460415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1247"/>
        <c:crosses val="autoZero"/>
        <c:crossBetween val="between"/>
        <c:majorUnit val="100"/>
      </c:valAx>
      <c:catAx>
        <c:axId val="179146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041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3 últimos meses</a:t>
            </a:r>
          </a:p>
        </c:rich>
      </c:tx>
      <c:layout>
        <c:manualLayout>
          <c:xMode val="edge"/>
          <c:yMode val="edge"/>
          <c:x val="0.20952980476370936"/>
          <c:y val="1.11731843575419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'ASSUNTOS_10+_últimos_3_meses'!$A$9:$A$9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</c:numCache>
            </c:numRef>
          </c:cat>
          <c:val>
            <c:numRef>
              <c:f>'ASSUNTOS_10+_últimos_3_meses'!$B$9:$D$9</c:f>
              <c:numCache>
                <c:formatCode>General</c:formatCode>
                <c:ptCount val="3"/>
                <c:pt idx="0">
                  <c:v>170</c:v>
                </c:pt>
                <c:pt idx="1">
                  <c:v>529</c:v>
                </c:pt>
                <c:pt idx="2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9-4F46-904A-3032EA673355}"/>
            </c:ext>
          </c:extLst>
        </c:ser>
        <c:ser>
          <c:idx val="1"/>
          <c:order val="1"/>
          <c:tx>
            <c:strRef>
              <c:f>'ASSUNTOS_10+_últimos_3_meses'!$A$8:$A$8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</c:numCache>
            </c:numRef>
          </c:cat>
          <c:val>
            <c:numRef>
              <c:f>'ASSUNTOS_10+_últimos_3_meses'!$B$8:$D$8</c:f>
              <c:numCache>
                <c:formatCode>General</c:formatCode>
                <c:ptCount val="3"/>
                <c:pt idx="0">
                  <c:v>291</c:v>
                </c:pt>
                <c:pt idx="1">
                  <c:v>317</c:v>
                </c:pt>
                <c:pt idx="2">
                  <c:v>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9-4F46-904A-3032EA673355}"/>
            </c:ext>
          </c:extLst>
        </c:ser>
        <c:ser>
          <c:idx val="2"/>
          <c:order val="2"/>
          <c:tx>
            <c:strRef>
              <c:f>'ASSUNTOS_10+_últimos_3_meses'!$A$7:$A$7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</c:numCache>
            </c:numRef>
          </c:cat>
          <c:val>
            <c:numRef>
              <c:f>'ASSUNTOS_10+_últimos_3_meses'!$B$7:$D$7</c:f>
              <c:numCache>
                <c:formatCode>General</c:formatCode>
                <c:ptCount val="3"/>
                <c:pt idx="0">
                  <c:v>242</c:v>
                </c:pt>
                <c:pt idx="1">
                  <c:v>489</c:v>
                </c:pt>
                <c:pt idx="2">
                  <c:v>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9-4F46-904A-3032EA673355}"/>
            </c:ext>
          </c:extLst>
        </c:ser>
        <c:ser>
          <c:idx val="3"/>
          <c:order val="3"/>
          <c:tx>
            <c:strRef>
              <c:f>'ASSUNTOS_10+_últimos_3_meses'!$A$11:$A$11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</c:numCache>
            </c:numRef>
          </c:cat>
          <c:val>
            <c:numRef>
              <c:f>'ASSUNTOS_10+_últimos_3_meses'!$B$11:$D$11</c:f>
              <c:numCache>
                <c:formatCode>General</c:formatCode>
                <c:ptCount val="3"/>
                <c:pt idx="0">
                  <c:v>175</c:v>
                </c:pt>
                <c:pt idx="1">
                  <c:v>245</c:v>
                </c:pt>
                <c:pt idx="2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B9-4F46-904A-3032EA673355}"/>
            </c:ext>
          </c:extLst>
        </c:ser>
        <c:ser>
          <c:idx val="4"/>
          <c:order val="4"/>
          <c:tx>
            <c:strRef>
              <c:f>'ASSUNTOS_10+_últimos_3_meses'!$A$10:$A$10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</c:numCache>
            </c:numRef>
          </c:cat>
          <c:val>
            <c:numRef>
              <c:f>'ASSUNTOS_10+_últimos_3_meses'!$B$10:$D$10</c:f>
              <c:numCache>
                <c:formatCode>General</c:formatCode>
                <c:ptCount val="3"/>
                <c:pt idx="0">
                  <c:v>218</c:v>
                </c:pt>
                <c:pt idx="1">
                  <c:v>293</c:v>
                </c:pt>
                <c:pt idx="2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B9-4F46-904A-3032EA673355}"/>
            </c:ext>
          </c:extLst>
        </c:ser>
        <c:ser>
          <c:idx val="5"/>
          <c:order val="5"/>
          <c:tx>
            <c:strRef>
              <c:f>'ASSUNTOS_10+_últimos_3_meses'!$A$12:$A$12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</c:numCache>
            </c:numRef>
          </c:cat>
          <c:val>
            <c:numRef>
              <c:f>'ASSUNTOS_10+_últimos_3_meses'!$B$12:$D$12</c:f>
              <c:numCache>
                <c:formatCode>General</c:formatCode>
                <c:ptCount val="3"/>
                <c:pt idx="0">
                  <c:v>173</c:v>
                </c:pt>
                <c:pt idx="1">
                  <c:v>210</c:v>
                </c:pt>
                <c:pt idx="2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B9-4F46-904A-3032EA673355}"/>
            </c:ext>
          </c:extLst>
        </c:ser>
        <c:ser>
          <c:idx val="6"/>
          <c:order val="6"/>
          <c:tx>
            <c:strRef>
              <c:f>'ASSUNTOS_10+_últimos_3_meses'!$A$13:$A$13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</c:numCache>
            </c:numRef>
          </c:cat>
          <c:val>
            <c:numRef>
              <c:f>'ASSUNTOS_10+_últimos_3_meses'!$B$13:$D$13</c:f>
              <c:numCache>
                <c:formatCode>General</c:formatCode>
                <c:ptCount val="3"/>
                <c:pt idx="0">
                  <c:v>160</c:v>
                </c:pt>
                <c:pt idx="1">
                  <c:v>193</c:v>
                </c:pt>
                <c:pt idx="2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B9-4F46-904A-3032EA673355}"/>
            </c:ext>
          </c:extLst>
        </c:ser>
        <c:ser>
          <c:idx val="7"/>
          <c:order val="7"/>
          <c:tx>
            <c:strRef>
              <c:f>'ASSUNTOS_10+_últimos_3_meses'!$A$14:$A$14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</c:numCache>
            </c:numRef>
          </c:cat>
          <c:val>
            <c:numRef>
              <c:f>'ASSUNTOS_10+_últimos_3_meses'!$B$14:$D$14</c:f>
              <c:numCache>
                <c:formatCode>General</c:formatCode>
                <c:ptCount val="3"/>
                <c:pt idx="0">
                  <c:v>157</c:v>
                </c:pt>
                <c:pt idx="1">
                  <c:v>148</c:v>
                </c:pt>
                <c:pt idx="2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B9-4F46-904A-3032EA673355}"/>
            </c:ext>
          </c:extLst>
        </c:ser>
        <c:ser>
          <c:idx val="8"/>
          <c:order val="8"/>
          <c:tx>
            <c:strRef>
              <c:f>'ASSUNTOS_10+_últimos_3_meses'!$A$15:$A$15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636363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</c:numCache>
            </c:numRef>
          </c:cat>
          <c:val>
            <c:numRef>
              <c:f>'ASSUNTOS_10+_últimos_3_meses'!$B$15:$D$15</c:f>
              <c:numCache>
                <c:formatCode>General</c:formatCode>
                <c:ptCount val="3"/>
                <c:pt idx="0">
                  <c:v>135</c:v>
                </c:pt>
                <c:pt idx="1">
                  <c:v>130</c:v>
                </c:pt>
                <c:pt idx="2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B9-4F46-904A-3032EA673355}"/>
            </c:ext>
          </c:extLst>
        </c:ser>
        <c:ser>
          <c:idx val="9"/>
          <c:order val="9"/>
          <c:tx>
            <c:strRef>
              <c:f>'ASSUNTOS_10+_últimos_3_meses'!$A$16:$A$16</c:f>
              <c:strCache>
                <c:ptCount val="1"/>
                <c:pt idx="0">
                  <c:v>Veículos abandonados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</c:numCache>
            </c:numRef>
          </c:cat>
          <c:val>
            <c:numRef>
              <c:f>'ASSUNTOS_10+_últimos_3_meses'!$B$16:$D$16</c:f>
              <c:numCache>
                <c:formatCode>General</c:formatCode>
                <c:ptCount val="3"/>
                <c:pt idx="0">
                  <c:v>99</c:v>
                </c:pt>
                <c:pt idx="1">
                  <c:v>136</c:v>
                </c:pt>
                <c:pt idx="2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B9-4F46-904A-3032EA673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8453647"/>
        <c:axId val="1818454063"/>
      </c:barChart>
      <c:valAx>
        <c:axId val="1818454063"/>
        <c:scaling>
          <c:orientation val="minMax"/>
          <c:max val="800"/>
          <c:min val="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647"/>
        <c:crosses val="autoZero"/>
        <c:crossBetween val="between"/>
        <c:majorUnit val="100"/>
        <c:minorUnit val="50"/>
      </c:valAx>
      <c:dateAx>
        <c:axId val="1818453647"/>
        <c:scaling>
          <c:orientation val="minMax"/>
        </c:scaling>
        <c:delete val="0"/>
        <c:axPos val="l"/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063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230231211041358"/>
          <c:y val="9.2901866975879155E-2"/>
          <c:w val="0.2483654406366132"/>
          <c:h val="0.807981810892994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7.9993141769876722E-2"/>
          <c:y val="0.14260195736402517"/>
          <c:w val="0.5490226255125138"/>
          <c:h val="0.78217701048238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'10_ASSUNTOS_+_demandados_DEZ_23'!$B$24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4572A7"/>
            </a:solidFill>
            <a:ln>
              <a:noFill/>
            </a:ln>
          </c:spPr>
          <c:invertIfNegative val="0"/>
          <c:val>
            <c:numRef>
              <c:f>'10_ASSUNTOS_+_demandados_DEZ_23'!$B$25</c:f>
              <c:numCache>
                <c:formatCode>General</c:formatCode>
                <c:ptCount val="1"/>
                <c:pt idx="0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748-ABAC-69F43BE9DD84}"/>
            </c:ext>
          </c:extLst>
        </c:ser>
        <c:ser>
          <c:idx val="1"/>
          <c:order val="1"/>
          <c:tx>
            <c:strRef>
              <c:f>'10_ASSUNTOS_+_demandados_DEZ_23'!$C$24:$C$24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'10_ASSUNTOS_+_demandados_DEZ_23'!$C$25:$C$25</c:f>
              <c:numCache>
                <c:formatCode>General</c:formatCode>
                <c:ptCount val="1"/>
                <c:pt idx="0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4-4748-ABAC-69F43BE9DD84}"/>
            </c:ext>
          </c:extLst>
        </c:ser>
        <c:ser>
          <c:idx val="2"/>
          <c:order val="2"/>
          <c:tx>
            <c:strRef>
              <c:f>'10_ASSUNTOS_+_demandados_DEZ_23'!$D$24:$D$24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89A54E"/>
            </a:solidFill>
            <a:ln>
              <a:noFill/>
            </a:ln>
          </c:spPr>
          <c:invertIfNegative val="0"/>
          <c:val>
            <c:numRef>
              <c:f>'10_ASSUNTOS_+_demandados_DEZ_23'!$D$25:$D$26</c:f>
              <c:numCache>
                <c:formatCode>General</c:formatCode>
                <c:ptCount val="2"/>
                <c:pt idx="0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4-4748-ABAC-69F43BE9DD84}"/>
            </c:ext>
          </c:extLst>
        </c:ser>
        <c:ser>
          <c:idx val="3"/>
          <c:order val="3"/>
          <c:tx>
            <c:strRef>
              <c:f>'10_ASSUNTOS_+_demandados_DEZ_23'!$E$24:$E$24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'10_ASSUNTOS_+_demandados_DEZ_23'!$E$25:$E$26</c:f>
              <c:numCache>
                <c:formatCode>General</c:formatCode>
                <c:ptCount val="2"/>
                <c:pt idx="0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4-4748-ABAC-69F43BE9DD84}"/>
            </c:ext>
          </c:extLst>
        </c:ser>
        <c:ser>
          <c:idx val="4"/>
          <c:order val="4"/>
          <c:tx>
            <c:strRef>
              <c:f>'10_ASSUNTOS_+_demandados_DEZ_23'!$F$24:$F$24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EC04C0"/>
            </a:solidFill>
            <a:ln>
              <a:noFill/>
            </a:ln>
          </c:spPr>
          <c:invertIfNegative val="0"/>
          <c:val>
            <c:numRef>
              <c:f>'10_ASSUNTOS_+_demandados_DEZ_23'!$F$25:$F$26</c:f>
              <c:numCache>
                <c:formatCode>General</c:formatCode>
                <c:ptCount val="2"/>
                <c:pt idx="0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4-4748-ABAC-69F43BE9DD84}"/>
            </c:ext>
          </c:extLst>
        </c:ser>
        <c:ser>
          <c:idx val="5"/>
          <c:order val="5"/>
          <c:tx>
            <c:strRef>
              <c:f>'10_ASSUNTOS_+_demandados_DEZ_23'!$G$24:$G$24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'10_ASSUNTOS_+_demandados_DEZ_23'!$G$25:$G$26</c:f>
              <c:numCache>
                <c:formatCode>General</c:formatCode>
                <c:ptCount val="2"/>
                <c:pt idx="0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4-4748-ABAC-69F43BE9DD84}"/>
            </c:ext>
          </c:extLst>
        </c:ser>
        <c:ser>
          <c:idx val="6"/>
          <c:order val="6"/>
          <c:tx>
            <c:strRef>
              <c:f>'10_ASSUNTOS_+_demandados_DEZ_23'!$H$24:$H$24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'10_ASSUNTOS_+_demandados_DEZ_23'!$H$25:$H$26</c:f>
              <c:numCache>
                <c:formatCode>General</c:formatCode>
                <c:ptCount val="2"/>
                <c:pt idx="0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4-4748-ABAC-69F43BE9DD84}"/>
            </c:ext>
          </c:extLst>
        </c:ser>
        <c:ser>
          <c:idx val="7"/>
          <c:order val="7"/>
          <c:tx>
            <c:strRef>
              <c:f>'10_ASSUNTOS_+_demandados_DEZ_23'!$I$24:$I$24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FDEADA"/>
            </a:solidFill>
            <a:ln>
              <a:noFill/>
            </a:ln>
          </c:spPr>
          <c:invertIfNegative val="0"/>
          <c:val>
            <c:numRef>
              <c:f>'10_ASSUNTOS_+_demandados_DEZ_23'!$I$25:$I$26</c:f>
              <c:numCache>
                <c:formatCode>General</c:formatCode>
                <c:ptCount val="2"/>
                <c:pt idx="0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F4-4748-ABAC-69F43BE9DD84}"/>
            </c:ext>
          </c:extLst>
        </c:ser>
        <c:ser>
          <c:idx val="8"/>
          <c:order val="8"/>
          <c:tx>
            <c:strRef>
              <c:f>'10_ASSUNTOS_+_demandados_DEZ_23'!$J$24:$J$24</c:f>
              <c:strCache>
                <c:ptCount val="1"/>
                <c:pt idx="0">
                  <c:v>Calçadas, guias e postes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'10_ASSUNTOS_+_demandados_DEZ_23'!$J$25:$J$26</c:f>
              <c:numCache>
                <c:formatCode>General</c:formatCode>
                <c:ptCount val="2"/>
                <c:pt idx="0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F4-4748-ABAC-69F43BE9DD84}"/>
            </c:ext>
          </c:extLst>
        </c:ser>
        <c:ser>
          <c:idx val="9"/>
          <c:order val="9"/>
          <c:tx>
            <c:strRef>
              <c:f>'10_ASSUNTOS_+_demandados_DEZ_23'!$K$24:$K$24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9E20E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F0ED-4F59-B5FC-95FC41A831C9}"/>
              </c:ext>
            </c:extLst>
          </c:dPt>
          <c:val>
            <c:numRef>
              <c:f>'10_ASSUNTOS_+_demandados_DEZ_23'!$K$25:$K$26</c:f>
              <c:numCache>
                <c:formatCode>General</c:formatCode>
                <c:ptCount val="2"/>
                <c:pt idx="0">
                  <c:v>135</c:v>
                </c:pt>
                <c:pt idx="1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F4-4748-ABAC-69F43BE9DD84}"/>
            </c:ext>
          </c:extLst>
        </c:ser>
        <c:ser>
          <c:idx val="10"/>
          <c:order val="10"/>
          <c:tx>
            <c:strRef>
              <c:f>'10_ASSUNTOS_+_demandados_DEZ_23'!$L$24:$L$24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B163-445A-AA9D-F9DED42BDBDA}"/>
              </c:ext>
            </c:extLst>
          </c:dPt>
          <c:dLbls>
            <c:dLbl>
              <c:idx val="1"/>
              <c:layout/>
              <c:tx>
                <c:rich>
                  <a:bodyPr/>
                  <a:lstStyle/>
                  <a:p>
                    <a:fld id="{A84DFEFC-B999-4AA8-8CF4-C0D76E5DEBB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163-445A-AA9D-F9DED42BDB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'10_ASSUNTOS_+_demandados_DEZ_23'!$L$25:$L$26</c:f>
              <c:numCache>
                <c:formatCode>General</c:formatCode>
                <c:ptCount val="2"/>
                <c:pt idx="1">
                  <c:v>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F4-4748-ABAC-69F43BE9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8454895"/>
        <c:axId val="1818451151"/>
        <c:axId val="0"/>
      </c:bar3DChart>
      <c:valAx>
        <c:axId val="1818451151"/>
        <c:scaling>
          <c:orientation val="minMax"/>
          <c:max val="4500"/>
          <c:min val="0"/>
        </c:scaling>
        <c:delete val="0"/>
        <c:axPos val="l"/>
        <c:majorGridlines>
          <c:spPr>
            <a:ln w="9525"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895"/>
        <c:crosses val="autoZero"/>
        <c:crossBetween val="between"/>
        <c:majorUnit val="500"/>
      </c:valAx>
      <c:catAx>
        <c:axId val="1818454895"/>
        <c:scaling>
          <c:orientation val="minMax"/>
        </c:scaling>
        <c:delete val="1"/>
        <c:axPos val="b"/>
        <c:majorTickMark val="out"/>
        <c:minorTickMark val="none"/>
        <c:tickLblPos val="nextTo"/>
        <c:crossAx val="181845115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753042189193412"/>
          <c:y val="0.24865152725474532"/>
          <c:w val="0.28674900974076606"/>
          <c:h val="0.56987615678474979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do mês de DEZEMBRO/23</a:t>
            </a:r>
          </a:p>
        </c:rich>
      </c:tx>
      <c:layout>
        <c:manualLayout>
          <c:xMode val="edge"/>
          <c:yMode val="edge"/>
          <c:x val="0.17346666331245336"/>
          <c:y val="3.438462084131375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3901788634248196E-2"/>
          <c:y val="0.10665247925090444"/>
          <c:w val="0.91871718111913325"/>
          <c:h val="0.80398775516885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'10_ASSUNTOS_+_demandados_DEZ_23'!$B$6:$B$6</c:f>
              <c:strCache>
                <c:ptCount val="1"/>
                <c:pt idx="0">
                  <c:v>dez/23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E10-44BF-97A9-837AEEDEDEC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E10-44BF-97A9-837AEEDEDEC9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E10-44BF-97A9-837AEEDEDEC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E10-44BF-97A9-837AEEDEDEC9}"/>
              </c:ext>
            </c:extLst>
          </c:dPt>
          <c:dPt>
            <c:idx val="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E10-44BF-97A9-837AEEDEDEC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E10-44BF-97A9-837AEEDEDEC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E10-44BF-97A9-837AEEDEDEC9}"/>
              </c:ext>
            </c:extLst>
          </c:dPt>
          <c:dPt>
            <c:idx val="7"/>
            <c:invertIfNegative val="0"/>
            <c:bubble3D val="0"/>
            <c:spPr>
              <a:solidFill>
                <a:srgbClr val="F2DCD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E10-44BF-97A9-837AEEDEDEC9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E10-44BF-97A9-837AEEDEDEC9}"/>
              </c:ext>
            </c:extLst>
          </c:dPt>
          <c:dPt>
            <c:idx val="9"/>
            <c:invertIfNegative val="0"/>
            <c:bubble3D val="0"/>
            <c:spPr>
              <a:solidFill>
                <a:srgbClr val="9E20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E10-44BF-97A9-837AEEDEDEC9}"/>
              </c:ext>
            </c:extLst>
          </c:dPt>
          <c:cat>
            <c:strRef>
              <c:f>'10_ASSUNTOS_+_demandados_DEZ_23'!$A$7:$A$16</c:f>
              <c:strCache>
                <c:ptCount val="10"/>
                <c:pt idx="0">
                  <c:v>Buraco e Pavimentação</c:v>
                </c:pt>
                <c:pt idx="1">
                  <c:v>Cadastro Único (CadÚnico)</c:v>
                </c:pt>
                <c:pt idx="2">
                  <c:v>Árvore</c:v>
                </c:pt>
                <c:pt idx="3">
                  <c:v>Qualidade de atendimento</c:v>
                </c:pt>
                <c:pt idx="4">
                  <c:v>Poluição sonora - PSIU</c:v>
                </c:pt>
                <c:pt idx="5">
                  <c:v>Estabelecimentos comerciais, indústrias e serviços</c:v>
                </c:pt>
                <c:pt idx="6">
                  <c:v>Órgão externo</c:v>
                </c:pt>
                <c:pt idx="7">
                  <c:v>Processo Administrativo</c:v>
                </c:pt>
                <c:pt idx="8">
                  <c:v>Calçadas, guias e postes</c:v>
                </c:pt>
                <c:pt idx="9">
                  <c:v>Sinalização e Circulação de veículos e Pedestres</c:v>
                </c:pt>
              </c:strCache>
            </c:strRef>
          </c:cat>
          <c:val>
            <c:numRef>
              <c:f>'10_ASSUNTOS_+_demandados_DEZ_23'!$B$7:$B$16</c:f>
              <c:numCache>
                <c:formatCode>General</c:formatCode>
                <c:ptCount val="10"/>
                <c:pt idx="0">
                  <c:v>291</c:v>
                </c:pt>
                <c:pt idx="1">
                  <c:v>242</c:v>
                </c:pt>
                <c:pt idx="2">
                  <c:v>218</c:v>
                </c:pt>
                <c:pt idx="3">
                  <c:v>175</c:v>
                </c:pt>
                <c:pt idx="4">
                  <c:v>173</c:v>
                </c:pt>
                <c:pt idx="5">
                  <c:v>170</c:v>
                </c:pt>
                <c:pt idx="6">
                  <c:v>160</c:v>
                </c:pt>
                <c:pt idx="7">
                  <c:v>157</c:v>
                </c:pt>
                <c:pt idx="8">
                  <c:v>136</c:v>
                </c:pt>
                <c:pt idx="9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1B4-4026-B533-60BBCA1E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71"/>
        <c:axId val="1818452815"/>
        <c:axId val="1818455311"/>
      </c:barChart>
      <c:valAx>
        <c:axId val="1818455311"/>
        <c:scaling>
          <c:orientation val="minMax"/>
          <c:max val="3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2815"/>
        <c:crosses val="autoZero"/>
        <c:crossBetween val="between"/>
        <c:majorUnit val="100"/>
        <c:minorUnit val="50"/>
      </c:valAx>
      <c:catAx>
        <c:axId val="181845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31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col"/>
        <c:grouping val="clustered"/>
        <c:varyColors val="0"/>
        <c:ser>
          <c:idx val="0"/>
          <c:order val="0"/>
          <c:tx>
            <c:v>Série4</c:v>
          </c:tx>
          <c:spPr>
            <a:solidFill>
              <a:srgbClr val="6600C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A0F-4474-BD13-DFA6AC1FB82C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A0F-4474-BD13-DFA6AC1FB82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A0F-4474-BD13-DFA6AC1FB82C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A0F-4474-BD13-DFA6AC1FB82C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A0F-4474-BD13-DFA6AC1FB82C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A0F-4474-BD13-DFA6AC1FB82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A0F-4474-BD13-DFA6AC1FB82C}"/>
              </c:ext>
            </c:extLst>
          </c:dPt>
          <c:dPt>
            <c:idx val="8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A0F-4474-BD13-DFA6AC1FB82C}"/>
              </c:ext>
            </c:extLst>
          </c:dPt>
          <c:dPt>
            <c:idx val="9"/>
            <c:invertIfNegative val="0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A0F-4474-BD13-DFA6AC1FB82C}"/>
              </c:ext>
            </c:extLst>
          </c:dPt>
          <c:cat>
            <c:strRef>
              <c:f>'10_UNIDADES_+_demandadas_2023'!$A$7:$A$16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Secretaria Municipal da Fazenda</c:v>
                </c:pt>
                <c:pt idx="5">
                  <c:v>Secretaria Executiva de Limpeza Urbana**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Órgão externo</c:v>
                </c:pt>
                <c:pt idx="9">
                  <c:v>Subprefeitura Lapa</c:v>
                </c:pt>
              </c:strCache>
            </c:strRef>
          </c:cat>
          <c:val>
            <c:numRef>
              <c:f>'10_UNIDADES_+_demandadas_2023'!$O$7:$O$16</c:f>
              <c:numCache>
                <c:formatCode>0</c:formatCode>
                <c:ptCount val="10"/>
                <c:pt idx="0">
                  <c:v>688.08333333333337</c:v>
                </c:pt>
                <c:pt idx="1">
                  <c:v>625.83333333333337</c:v>
                </c:pt>
                <c:pt idx="2">
                  <c:v>370.83333333333331</c:v>
                </c:pt>
                <c:pt idx="3">
                  <c:v>285.75</c:v>
                </c:pt>
                <c:pt idx="4">
                  <c:v>274.16666666666669</c:v>
                </c:pt>
                <c:pt idx="5">
                  <c:v>253.33333333333334</c:v>
                </c:pt>
                <c:pt idx="6">
                  <c:v>226.66666666666666</c:v>
                </c:pt>
                <c:pt idx="7">
                  <c:v>202.83333333333334</c:v>
                </c:pt>
                <c:pt idx="8">
                  <c:v>125</c:v>
                </c:pt>
                <c:pt idx="9">
                  <c:v>95.416666666666671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A9-4EE1-9877-49B6D24CB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8454479"/>
        <c:axId val="1818453231"/>
      </c:barChart>
      <c:valAx>
        <c:axId val="1818453231"/>
        <c:scaling>
          <c:orientation val="minMax"/>
          <c:max val="800"/>
          <c:min val="0"/>
        </c:scaling>
        <c:delete val="0"/>
        <c:axPos val="l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inMax"/>
        </c:scaling>
        <c:delete val="0"/>
        <c:axPos val="b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6-42A3-9481-68ADE6B0346A}"/>
              </c:ext>
            </c:extLst>
          </c:dPt>
          <c:dPt>
            <c:idx val="1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2-DEC6-42A3-9481-68ADE6B034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DEC6-42A3-9481-68ADE6B034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DEC6-42A3-9481-68ADE6B0346A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6-DEC6-42A3-9481-68ADE6B034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DEC6-42A3-9481-68ADE6B034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DEC6-42A3-9481-68ADE6B0346A}"/>
              </c:ext>
            </c:extLst>
          </c:dPt>
          <c:dPt>
            <c:idx val="7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A-DEC6-42A3-9481-68ADE6B0346A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C-DEC6-42A3-9481-68ADE6B0346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DEC6-42A3-9481-68ADE6B0346A}"/>
              </c:ext>
            </c:extLst>
          </c:dPt>
          <c:dPt>
            <c:idx val="1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DEC6-42A3-9481-68ADE6B0346A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'10_UNIDADES_+_demandadas_2023'!$A$7:$A$18</c15:sqref>
                  </c15:fullRef>
                </c:ext>
              </c:extLst>
              <c:f>('10_UNIDADES_+_demandadas_2023'!$A$7:$A$16,'10_UNIDADES_+_demandadas_2023'!$A$18)</c:f>
              <c:strCache>
                <c:ptCount val="11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Secretaria Municipal da Fazenda</c:v>
                </c:pt>
                <c:pt idx="5">
                  <c:v>Secretaria Executiva de Limpeza Urbana**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Órgão externo</c:v>
                </c:pt>
                <c:pt idx="9">
                  <c:v>Subprefeitura Lapa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'10_UNIDADES_+_demandadas_2023'!$P$7:$P$18</c15:sqref>
                  </c15:fullRef>
                </c:ext>
              </c:extLst>
              <c:f>('10_UNIDADES_+_demandadas_2023'!$P$7:$P$16,'10_UNIDADES_+_demandadas_2023'!$P$18)</c:f>
              <c:numCache>
                <c:formatCode>0.00</c:formatCode>
                <c:ptCount val="11"/>
                <c:pt idx="0">
                  <c:v>8.4972080602087878</c:v>
                </c:pt>
                <c:pt idx="1">
                  <c:v>12.478756979849479</c:v>
                </c:pt>
                <c:pt idx="2">
                  <c:v>9.662539451323136</c:v>
                </c:pt>
                <c:pt idx="3">
                  <c:v>6.457878125758679</c:v>
                </c:pt>
                <c:pt idx="4">
                  <c:v>7.307598931779558</c:v>
                </c:pt>
                <c:pt idx="5">
                  <c:v>8.157319737800437</c:v>
                </c:pt>
                <c:pt idx="6">
                  <c:v>3.9572711823258073</c:v>
                </c:pt>
                <c:pt idx="7">
                  <c:v>3.5931051226025734</c:v>
                </c:pt>
                <c:pt idx="8">
                  <c:v>3.8601602330662783</c:v>
                </c:pt>
                <c:pt idx="9">
                  <c:v>1.6266084000971111</c:v>
                </c:pt>
                <c:pt idx="10">
                  <c:v>34.401553775188148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'10_UNIDADES_+_demandadas_2023'!$P$17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1-DEC6-42A3-9481-68ADE6B03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  Média - Unidades 10 mais demandadas 3 últimos meses</a:t>
            </a:r>
          </a:p>
        </c:rich>
      </c:tx>
      <c:layout>
        <c:manualLayout>
          <c:xMode val="edge"/>
          <c:yMode val="edge"/>
          <c:x val="8.44554782478983E-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7395714574920354E-2"/>
          <c:y val="0.12030928566361637"/>
          <c:w val="0.96217929457058726"/>
          <c:h val="0.875705311610823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'UNIDADES_-_10+_últimos_3_meses'!$F$6:$F$6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8064A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E41-47B1-9395-F448E3488CB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E41-47B1-9395-F448E3488CB1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7E41-47B1-9395-F448E3488C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E41-47B1-9395-F448E3488CB1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E41-47B1-9395-F448E3488CB1}"/>
              </c:ext>
            </c:extLst>
          </c:dPt>
          <c:dPt>
            <c:idx val="5"/>
            <c:invertIfNegative val="0"/>
            <c:bubble3D val="0"/>
            <c:spPr>
              <a:solidFill>
                <a:srgbClr val="DB843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E41-47B1-9395-F448E3488CB1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7E41-47B1-9395-F448E3488CB1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7E41-47B1-9395-F448E3488CB1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7E41-47B1-9395-F448E3488CB1}"/>
              </c:ext>
            </c:extLst>
          </c:dPt>
          <c:dPt>
            <c:idx val="9"/>
            <c:invertIfNegative val="0"/>
            <c:bubble3D val="0"/>
            <c:spPr>
              <a:solidFill>
                <a:srgbClr val="A99BB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7E41-47B1-9395-F448E3488CB1}"/>
              </c:ext>
            </c:extLst>
          </c:dPt>
          <c:cat>
            <c:strRef>
              <c:f>'UNIDADES_-_10+_últimos_3_meses'!$A$7:$A$16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Secretaria Municipal da Fazenda</c:v>
                </c:pt>
                <c:pt idx="4">
                  <c:v>Companhia de Engenharia de Tráfego - CET</c:v>
                </c:pt>
                <c:pt idx="5">
                  <c:v>Secretaria Executiva de Limpeza Urbana**</c:v>
                </c:pt>
                <c:pt idx="6">
                  <c:v>São Paulo Transportes - SPTRANS</c:v>
                </c:pt>
                <c:pt idx="7">
                  <c:v>Órgão externo</c:v>
                </c:pt>
                <c:pt idx="8">
                  <c:v>Secretaria Municipal de Educação</c:v>
                </c:pt>
                <c:pt idx="9">
                  <c:v>Subprefeitura Sé</c:v>
                </c:pt>
              </c:strCache>
            </c:strRef>
          </c:cat>
          <c:val>
            <c:numRef>
              <c:f>'UNIDADES_-_10+_últimos_3_meses'!$F$7:$F$16</c:f>
              <c:numCache>
                <c:formatCode>0</c:formatCode>
                <c:ptCount val="10"/>
                <c:pt idx="0">
                  <c:v>620</c:v>
                </c:pt>
                <c:pt idx="1">
                  <c:v>595.66666666666663</c:v>
                </c:pt>
                <c:pt idx="2">
                  <c:v>411</c:v>
                </c:pt>
                <c:pt idx="3">
                  <c:v>280.33333333333331</c:v>
                </c:pt>
                <c:pt idx="4">
                  <c:v>278.33333333333331</c:v>
                </c:pt>
                <c:pt idx="5">
                  <c:v>268.33333333333331</c:v>
                </c:pt>
                <c:pt idx="6">
                  <c:v>207</c:v>
                </c:pt>
                <c:pt idx="7">
                  <c:v>199.66666666666666</c:v>
                </c:pt>
                <c:pt idx="8">
                  <c:v>161.33333333333334</c:v>
                </c:pt>
                <c:pt idx="9">
                  <c:v>157.33333333333334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1A6-49C3-800F-8B97F6A9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456671"/>
        <c:axId val="1818449903"/>
      </c:barChart>
      <c:valAx>
        <c:axId val="1818449903"/>
        <c:scaling>
          <c:orientation val="minMax"/>
          <c:max val="90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56671"/>
        <c:crosses val="autoZero"/>
        <c:crossBetween val="between"/>
        <c:majorUnit val="100"/>
      </c:valAx>
      <c:catAx>
        <c:axId val="17914566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4990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demendadas dos 3 últimos meses</a:t>
            </a:r>
          </a:p>
        </c:rich>
      </c:tx>
      <c:layout>
        <c:manualLayout>
          <c:xMode val="edge"/>
          <c:yMode val="edge"/>
          <c:x val="0.20666659113653957"/>
          <c:y val="1.0869565217391304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'UNIDADES_-_10+_últimos_3_meses'!$A$7:$A$7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</c:numCache>
            </c:numRef>
          </c:cat>
          <c:val>
            <c:numRef>
              <c:f>'UNIDADES_-_10+_últimos_3_meses'!$B$7:$D$7</c:f>
              <c:numCache>
                <c:formatCode>General</c:formatCode>
                <c:ptCount val="3"/>
                <c:pt idx="0">
                  <c:v>350</c:v>
                </c:pt>
                <c:pt idx="1">
                  <c:v>630</c:v>
                </c:pt>
                <c:pt idx="2">
                  <c:v>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8-4DEB-B2DA-7A917A35B7EB}"/>
            </c:ext>
          </c:extLst>
        </c:ser>
        <c:ser>
          <c:idx val="1"/>
          <c:order val="1"/>
          <c:tx>
            <c:strRef>
              <c:f>'UNIDADES_-_10+_últimos_3_meses'!$A$8:$A$8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</c:numCache>
            </c:numRef>
          </c:cat>
          <c:val>
            <c:numRef>
              <c:f>'UNIDADES_-_10+_últimos_3_meses'!$B$8:$D$8</c:f>
              <c:numCache>
                <c:formatCode>General</c:formatCode>
                <c:ptCount val="3"/>
                <c:pt idx="0">
                  <c:v>514</c:v>
                </c:pt>
                <c:pt idx="1">
                  <c:v>592</c:v>
                </c:pt>
                <c:pt idx="2">
                  <c:v>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8-4DEB-B2DA-7A917A35B7EB}"/>
            </c:ext>
          </c:extLst>
        </c:ser>
        <c:ser>
          <c:idx val="2"/>
          <c:order val="2"/>
          <c:tx>
            <c:strRef>
              <c:f>'UNIDADES_-_10+_últimos_3_meses'!$A$9:$A$9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</c:numCache>
            </c:numRef>
          </c:cat>
          <c:val>
            <c:numRef>
              <c:f>'UNIDADES_-_10+_últimos_3_meses'!$B$9:$D$9</c:f>
              <c:numCache>
                <c:formatCode>General</c:formatCode>
                <c:ptCount val="3"/>
                <c:pt idx="0">
                  <c:v>398</c:v>
                </c:pt>
                <c:pt idx="1">
                  <c:v>394</c:v>
                </c:pt>
                <c:pt idx="2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8-4DEB-B2DA-7A917A35B7EB}"/>
            </c:ext>
          </c:extLst>
        </c:ser>
        <c:ser>
          <c:idx val="3"/>
          <c:order val="3"/>
          <c:tx>
            <c:strRef>
              <c:f>'UNIDADES_-_10+_últimos_3_meses'!$A$10:$A$10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</c:numCache>
            </c:numRef>
          </c:cat>
          <c:val>
            <c:numRef>
              <c:f>'UNIDADES_-_10+_últimos_3_meses'!$B$10:$D$10</c:f>
              <c:numCache>
                <c:formatCode>General</c:formatCode>
                <c:ptCount val="3"/>
                <c:pt idx="0">
                  <c:v>301</c:v>
                </c:pt>
                <c:pt idx="1">
                  <c:v>269</c:v>
                </c:pt>
                <c:pt idx="2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C8-4DEB-B2DA-7A917A35B7EB}"/>
            </c:ext>
          </c:extLst>
        </c:ser>
        <c:ser>
          <c:idx val="4"/>
          <c:order val="4"/>
          <c:tx>
            <c:strRef>
              <c:f>'UNIDADES_-_10+_últimos_3_meses'!$A$11:$A$11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</c:numCache>
            </c:numRef>
          </c:cat>
          <c:val>
            <c:numRef>
              <c:f>'UNIDADES_-_10+_últimos_3_meses'!$B$11:$D$11</c:f>
              <c:numCache>
                <c:formatCode>General</c:formatCode>
                <c:ptCount val="3"/>
                <c:pt idx="0">
                  <c:v>266</c:v>
                </c:pt>
                <c:pt idx="1">
                  <c:v>274</c:v>
                </c:pt>
                <c:pt idx="2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C8-4DEB-B2DA-7A917A35B7EB}"/>
            </c:ext>
          </c:extLst>
        </c:ser>
        <c:ser>
          <c:idx val="5"/>
          <c:order val="5"/>
          <c:tx>
            <c:strRef>
              <c:f>'UNIDADES_-_10+_últimos_3_meses'!$A$12:$A$12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</c:numCache>
            </c:numRef>
          </c:cat>
          <c:val>
            <c:numRef>
              <c:f>'UNIDADES_-_10+_últimos_3_meses'!$B$12:$D$12</c:f>
              <c:numCache>
                <c:formatCode>General</c:formatCode>
                <c:ptCount val="3"/>
                <c:pt idx="0">
                  <c:v>336</c:v>
                </c:pt>
                <c:pt idx="1">
                  <c:v>255</c:v>
                </c:pt>
                <c:pt idx="2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C8-4DEB-B2DA-7A917A35B7EB}"/>
            </c:ext>
          </c:extLst>
        </c:ser>
        <c:ser>
          <c:idx val="6"/>
          <c:order val="6"/>
          <c:tx>
            <c:strRef>
              <c:f>'UNIDADES_-_10+_últimos_3_meses'!$A$13:$A$13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</c:numCache>
            </c:numRef>
          </c:cat>
          <c:val>
            <c:numRef>
              <c:f>'UNIDADES_-_10+_últimos_3_meses'!$B$13:$D$13</c:f>
              <c:numCache>
                <c:formatCode>General</c:formatCode>
                <c:ptCount val="3"/>
                <c:pt idx="0">
                  <c:v>163</c:v>
                </c:pt>
                <c:pt idx="1">
                  <c:v>234</c:v>
                </c:pt>
                <c:pt idx="2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C8-4DEB-B2DA-7A917A35B7EB}"/>
            </c:ext>
          </c:extLst>
        </c:ser>
        <c:ser>
          <c:idx val="7"/>
          <c:order val="7"/>
          <c:tx>
            <c:strRef>
              <c:f>'UNIDADES_-_10+_últimos_3_meses'!$A$14:$A$14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</c:numCache>
            </c:numRef>
          </c:cat>
          <c:val>
            <c:numRef>
              <c:f>'UNIDADES_-_10+_últimos_3_meses'!$B$14:$D$14</c:f>
              <c:numCache>
                <c:formatCode>General</c:formatCode>
                <c:ptCount val="3"/>
                <c:pt idx="0">
                  <c:v>159</c:v>
                </c:pt>
                <c:pt idx="1">
                  <c:v>195</c:v>
                </c:pt>
                <c:pt idx="2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C8-4DEB-B2DA-7A917A35B7EB}"/>
            </c:ext>
          </c:extLst>
        </c:ser>
        <c:ser>
          <c:idx val="8"/>
          <c:order val="8"/>
          <c:tx>
            <c:strRef>
              <c:f>'UNIDADES_-_10+_últimos_3_meses'!$A$15:$A$15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</c:numCache>
            </c:numRef>
          </c:cat>
          <c:val>
            <c:numRef>
              <c:f>'UNIDADES_-_10+_últimos_3_meses'!$B$15:$D$15</c:f>
              <c:numCache>
                <c:formatCode>General</c:formatCode>
                <c:ptCount val="3"/>
                <c:pt idx="0">
                  <c:v>148</c:v>
                </c:pt>
                <c:pt idx="1">
                  <c:v>146</c:v>
                </c:pt>
                <c:pt idx="2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C8-4DEB-B2DA-7A917A35B7EB}"/>
            </c:ext>
          </c:extLst>
        </c:ser>
        <c:ser>
          <c:idx val="9"/>
          <c:order val="9"/>
          <c:tx>
            <c:strRef>
              <c:f>'UNIDADES_-_10+_últimos_3_meses'!$A$16:$A$16</c:f>
              <c:strCache>
                <c:ptCount val="1"/>
                <c:pt idx="0">
                  <c:v>Subprefeitura Sé</c:v>
                </c:pt>
              </c:strCache>
            </c:strRef>
          </c:tx>
          <c:spPr>
            <a:solidFill>
              <a:srgbClr val="9973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</c:numCache>
            </c:numRef>
          </c:cat>
          <c:val>
            <c:numRef>
              <c:f>'UNIDADES_-_10+_últimos_3_meses'!$B$16:$D$16</c:f>
              <c:numCache>
                <c:formatCode>General</c:formatCode>
                <c:ptCount val="3"/>
                <c:pt idx="0">
                  <c:v>54</c:v>
                </c:pt>
                <c:pt idx="1">
                  <c:v>334</c:v>
                </c:pt>
                <c:pt idx="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C8-4DEB-B2DA-7A917A35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9695471"/>
        <c:axId val="1812050239"/>
      </c:barChart>
      <c:valAx>
        <c:axId val="1812050239"/>
        <c:scaling>
          <c:orientation val="minMax"/>
          <c:max val="9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5471"/>
        <c:crosses val="autoZero"/>
        <c:crossBetween val="between"/>
        <c:majorUnit val="100"/>
      </c:valAx>
      <c:dateAx>
        <c:axId val="181969547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0239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539137823599392"/>
          <c:y val="0.1124780326372247"/>
          <c:w val="0.32528186727505715"/>
          <c:h val="0.791659011364842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8483969492481246E-2"/>
          <c:y val="0.1350512081065649"/>
          <c:w val="0.61593434052057794"/>
          <c:h val="0.8253107540637626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'10_Unidades+_demandados__DEZ_23'!$B$22:$B$22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val>
            <c:numRef>
              <c:f>'10_Unidades+_demandados__DEZ_23'!$B$23:$B$25</c:f>
              <c:numCache>
                <c:formatCode>General</c:formatCode>
                <c:ptCount val="3"/>
                <c:pt idx="0">
                  <c:v>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0-4EE5-806A-0B2A1BDF7229}"/>
            </c:ext>
          </c:extLst>
        </c:ser>
        <c:ser>
          <c:idx val="1"/>
          <c:order val="1"/>
          <c:tx>
            <c:strRef>
              <c:f>'10_Unidades+_demandados__DEZ_23'!$C$22:$C$22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'10_Unidades+_demandados__DEZ_23'!$C$23:$C$25</c:f>
              <c:numCache>
                <c:formatCode>General</c:formatCode>
                <c:ptCount val="3"/>
                <c:pt idx="0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0-4EE5-806A-0B2A1BDF7229}"/>
            </c:ext>
          </c:extLst>
        </c:ser>
        <c:ser>
          <c:idx val="2"/>
          <c:order val="2"/>
          <c:tx>
            <c:strRef>
              <c:f>'10_Unidades+_demandados__DEZ_23'!$D$22:$D$22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7F9A48"/>
            </a:solidFill>
            <a:ln>
              <a:noFill/>
            </a:ln>
          </c:spPr>
          <c:invertIfNegative val="0"/>
          <c:val>
            <c:numRef>
              <c:f>'10_Unidades+_demandados__DEZ_23'!$D$23:$D$25</c:f>
              <c:numCache>
                <c:formatCode>General</c:formatCode>
                <c:ptCount val="3"/>
                <c:pt idx="0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0-4EE5-806A-0B2A1BDF7229}"/>
            </c:ext>
          </c:extLst>
        </c:ser>
        <c:ser>
          <c:idx val="3"/>
          <c:order val="3"/>
          <c:tx>
            <c:strRef>
              <c:f>'10_Unidades+_demandados__DEZ_23'!$E$22:$E$22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val>
            <c:numRef>
              <c:f>'10_Unidades+_demandados__DEZ_23'!$E$23:$E$25</c:f>
              <c:numCache>
                <c:formatCode>General</c:formatCode>
                <c:ptCount val="3"/>
                <c:pt idx="0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0-4EE5-806A-0B2A1BDF7229}"/>
            </c:ext>
          </c:extLst>
        </c:ser>
        <c:ser>
          <c:idx val="4"/>
          <c:order val="4"/>
          <c:tx>
            <c:strRef>
              <c:f>'10_Unidades+_demandados__DEZ_23'!$F$22:$F$22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'10_Unidades+_demandados__DEZ_23'!$F$23:$F$25</c:f>
              <c:numCache>
                <c:formatCode>General</c:formatCode>
                <c:ptCount val="3"/>
                <c:pt idx="0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30-4EE5-806A-0B2A1BDF7229}"/>
            </c:ext>
          </c:extLst>
        </c:ser>
        <c:ser>
          <c:idx val="5"/>
          <c:order val="5"/>
          <c:tx>
            <c:strRef>
              <c:f>'10_Unidades+_demandados__DEZ_23'!$G$22:$G$22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val>
            <c:numRef>
              <c:f>'10_Unidades+_demandados__DEZ_23'!$G$23:$G$25</c:f>
              <c:numCache>
                <c:formatCode>General</c:formatCode>
                <c:ptCount val="3"/>
                <c:pt idx="0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0-4EE5-806A-0B2A1BDF7229}"/>
            </c:ext>
          </c:extLst>
        </c:ser>
        <c:ser>
          <c:idx val="6"/>
          <c:order val="6"/>
          <c:tx>
            <c:strRef>
              <c:f>'10_Unidades+_demandados__DEZ_23'!$H$22:$H$22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'10_Unidades+_demandados__DEZ_23'!$H$23:$H$25</c:f>
              <c:numCache>
                <c:formatCode>General</c:formatCode>
                <c:ptCount val="3"/>
                <c:pt idx="0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30-4EE5-806A-0B2A1BDF7229}"/>
            </c:ext>
          </c:extLst>
        </c:ser>
        <c:ser>
          <c:idx val="7"/>
          <c:order val="7"/>
          <c:tx>
            <c:strRef>
              <c:f>'10_Unidades+_demandados__DEZ_23'!$I$22:$I$22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val>
            <c:numRef>
              <c:f>'10_Unidades+_demandados__DEZ_23'!$I$23:$I$25</c:f>
              <c:numCache>
                <c:formatCode>General</c:formatCode>
                <c:ptCount val="3"/>
                <c:pt idx="0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30-4EE5-806A-0B2A1BDF7229}"/>
            </c:ext>
          </c:extLst>
        </c:ser>
        <c:ser>
          <c:idx val="8"/>
          <c:order val="8"/>
          <c:tx>
            <c:strRef>
              <c:f>'10_Unidades+_demandados__DEZ_23'!$J$22:$J$22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</c:spPr>
          <c:invertIfNegative val="0"/>
          <c:val>
            <c:numRef>
              <c:f>'10_Unidades+_demandados__DEZ_23'!$J$23:$J$25</c:f>
              <c:numCache>
                <c:formatCode>General</c:formatCode>
                <c:ptCount val="3"/>
                <c:pt idx="0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30-4EE5-806A-0B2A1BDF7229}"/>
            </c:ext>
          </c:extLst>
        </c:ser>
        <c:ser>
          <c:idx val="9"/>
          <c:order val="9"/>
          <c:tx>
            <c:strRef>
              <c:f>'10_Unidades+_demandados__DEZ_23'!$K$22:$K$22</c:f>
              <c:strCache>
                <c:ptCount val="1"/>
                <c:pt idx="0">
                  <c:v>Subprefeitura Lapa</c:v>
                </c:pt>
              </c:strCache>
            </c:strRef>
          </c:tx>
          <c:spPr>
            <a:solidFill>
              <a:srgbClr val="FCD5B5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896-47F7-8CCC-C0957B9B4A93}"/>
              </c:ext>
            </c:extLst>
          </c:dPt>
          <c:val>
            <c:numRef>
              <c:f>'10_Unidades+_demandados__DEZ_23'!$K$23:$K$25</c:f>
              <c:numCache>
                <c:formatCode>General</c:formatCode>
                <c:ptCount val="3"/>
                <c:pt idx="0">
                  <c:v>67</c:v>
                </c:pt>
                <c:pt idx="2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30-4EE5-806A-0B2A1BDF7229}"/>
            </c:ext>
          </c:extLst>
        </c:ser>
        <c:ser>
          <c:idx val="10"/>
          <c:order val="10"/>
          <c:tx>
            <c:strRef>
              <c:f>'10_Unidades+_demandados__DEZ_23'!$L$22:$L$22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7B9E0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337-4F9F-993D-6E54A6BC5EE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'10_Unidades+_demandados__DEZ_23'!$L$23:$L$25</c:f>
              <c:numCache>
                <c:formatCode>#,##0</c:formatCode>
                <c:ptCount val="3"/>
                <c:pt idx="2">
                  <c:v>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30-4EE5-806A-0B2A1BDF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shape val="box"/>
        <c:axId val="1819697967"/>
        <c:axId val="1819700047"/>
        <c:axId val="0"/>
      </c:bar3DChart>
      <c:valAx>
        <c:axId val="1819700047"/>
        <c:scaling>
          <c:orientation val="minMax"/>
          <c:max val="45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967"/>
        <c:crosses val="autoZero"/>
        <c:crossBetween val="between"/>
        <c:majorUnit val="250"/>
      </c:valAx>
      <c:catAx>
        <c:axId val="1819697967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70004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60144300166354"/>
          <c:y val="0.1196235824714326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demandadas do mês de DEZEMBRO/23</a:t>
            </a:r>
          </a:p>
        </c:rich>
      </c:tx>
      <c:layout>
        <c:manualLayout>
          <c:xMode val="edge"/>
          <c:yMode val="edge"/>
          <c:x val="0.1304324757546258"/>
          <c:y val="8.3682081490560496E-4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'10_Unidades+_demandados__DEZ_23'!$B$6:$B$6</c:f>
              <c:strCache>
                <c:ptCount val="1"/>
                <c:pt idx="0">
                  <c:v>dez/23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22C-433A-B111-F302FE51A5D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22C-433A-B111-F302FE51A5DE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22C-433A-B111-F302FE51A5DE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22C-433A-B111-F302FE51A5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22C-433A-B111-F302FE51A5D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22C-433A-B111-F302FE51A5D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22C-433A-B111-F302FE51A5DE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22C-433A-B111-F302FE51A5DE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C22C-433A-B111-F302FE51A5DE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22C-433A-B111-F302FE51A5DE}"/>
              </c:ext>
            </c:extLst>
          </c:dPt>
          <c:cat>
            <c:strRef>
              <c:f>'10_Unidades+_demandados__DEZ_23'!$A$7:$A$16</c:f>
              <c:strCache>
                <c:ptCount val="10"/>
                <c:pt idx="0">
                  <c:v>Secretaria Municipal das Subprefeituras</c:v>
                </c:pt>
                <c:pt idx="1">
                  <c:v>Secretaria Municipal da Saúde</c:v>
                </c:pt>
                <c:pt idx="2">
                  <c:v>Secretaria Municipal de Assistência e Desenvolvimento Social</c:v>
                </c:pt>
                <c:pt idx="3">
                  <c:v>Secretaria Executiva de Limpeza Urbana**</c:v>
                </c:pt>
                <c:pt idx="4">
                  <c:v>Secretaria Municipal da Fazenda</c:v>
                </c:pt>
                <c:pt idx="5">
                  <c:v>Companhia de Engenharia de Tráfego - CET</c:v>
                </c:pt>
                <c:pt idx="6">
                  <c:v>São Paulo Transportes - SPTRANS</c:v>
                </c:pt>
                <c:pt idx="7">
                  <c:v>Órgão externo</c:v>
                </c:pt>
                <c:pt idx="8">
                  <c:v>Secretaria Municipal de Educação</c:v>
                </c:pt>
                <c:pt idx="9">
                  <c:v>Subprefeitura Lapa</c:v>
                </c:pt>
              </c:strCache>
            </c:strRef>
          </c:cat>
          <c:val>
            <c:numRef>
              <c:f>'10_Unidades+_demandados__DEZ_23'!$B$7:$B$16</c:f>
              <c:numCache>
                <c:formatCode>General</c:formatCode>
                <c:ptCount val="10"/>
                <c:pt idx="0">
                  <c:v>514</c:v>
                </c:pt>
                <c:pt idx="1">
                  <c:v>398</c:v>
                </c:pt>
                <c:pt idx="2">
                  <c:v>350</c:v>
                </c:pt>
                <c:pt idx="3">
                  <c:v>336</c:v>
                </c:pt>
                <c:pt idx="4">
                  <c:v>301</c:v>
                </c:pt>
                <c:pt idx="5">
                  <c:v>266</c:v>
                </c:pt>
                <c:pt idx="6">
                  <c:v>163</c:v>
                </c:pt>
                <c:pt idx="7">
                  <c:v>159</c:v>
                </c:pt>
                <c:pt idx="8">
                  <c:v>148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0F5-4C9D-A13E-05FBB32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  <c:max val="6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  <c:majorUnit val="100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Média e % de protocolos/subprefeitura em 2023 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090025037193"/>
          <c:w val="0.98129967274427299"/>
          <c:h val="0.80347738790715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Subprefeituras_2023!$P$4:$P$4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Subprefeituras_2023!$A$5:$A$36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Subprefeituras_2023!$P$5:$P$36</c:f>
              <c:numCache>
                <c:formatCode>0.0</c:formatCode>
                <c:ptCount val="32"/>
                <c:pt idx="0">
                  <c:v>2.309132515082172</c:v>
                </c:pt>
                <c:pt idx="1">
                  <c:v>4.5350530476388604</c:v>
                </c:pt>
                <c:pt idx="2">
                  <c:v>4.0219124887317106</c:v>
                </c:pt>
                <c:pt idx="3">
                  <c:v>3.2660703141252343</c:v>
                </c:pt>
                <c:pt idx="4">
                  <c:v>2.8638790652520627</c:v>
                </c:pt>
                <c:pt idx="5">
                  <c:v>2.9470910477775467</c:v>
                </c:pt>
                <c:pt idx="6">
                  <c:v>0.55474655016989116</c:v>
                </c:pt>
                <c:pt idx="7">
                  <c:v>1.0540184453227932</c:v>
                </c:pt>
                <c:pt idx="8">
                  <c:v>1.9762845849802373</c:v>
                </c:pt>
                <c:pt idx="9">
                  <c:v>0.86679148464045497</c:v>
                </c:pt>
                <c:pt idx="10">
                  <c:v>3.8069482005408779</c:v>
                </c:pt>
                <c:pt idx="11">
                  <c:v>2.8361417377435685</c:v>
                </c:pt>
                <c:pt idx="12">
                  <c:v>3.4741002704389428</c:v>
                </c:pt>
                <c:pt idx="13">
                  <c:v>1.9138755980861244</c:v>
                </c:pt>
                <c:pt idx="14">
                  <c:v>2.2605921919423064</c:v>
                </c:pt>
                <c:pt idx="15">
                  <c:v>7.9398099993065667</c:v>
                </c:pt>
                <c:pt idx="16">
                  <c:v>2.0941682268913393</c:v>
                </c:pt>
                <c:pt idx="17">
                  <c:v>5.0828652659316278</c:v>
                </c:pt>
                <c:pt idx="18">
                  <c:v>0.8598571527633313</c:v>
                </c:pt>
                <c:pt idx="19">
                  <c:v>5.2700922266139658</c:v>
                </c:pt>
                <c:pt idx="20">
                  <c:v>0.69343318771236395</c:v>
                </c:pt>
                <c:pt idx="21">
                  <c:v>4.0773871437486999</c:v>
                </c:pt>
                <c:pt idx="22">
                  <c:v>3.6959988905068997</c:v>
                </c:pt>
                <c:pt idx="23">
                  <c:v>4.0149781568545873</c:v>
                </c:pt>
                <c:pt idx="24">
                  <c:v>4.9303099646349073</c:v>
                </c:pt>
                <c:pt idx="25">
                  <c:v>2.2467235281880589</c:v>
                </c:pt>
                <c:pt idx="26">
                  <c:v>1.324457388530615</c:v>
                </c:pt>
                <c:pt idx="27">
                  <c:v>1.5671590042299424</c:v>
                </c:pt>
                <c:pt idx="28">
                  <c:v>7.5792247416961374</c:v>
                </c:pt>
                <c:pt idx="29">
                  <c:v>2.9332223840232992</c:v>
                </c:pt>
                <c:pt idx="30">
                  <c:v>4.8401636502323004</c:v>
                </c:pt>
                <c:pt idx="31">
                  <c:v>2.1635115456625753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01295"/>
        <c:axId val="1819700879"/>
      </c:barChart>
      <c:lineChart>
        <c:grouping val="standard"/>
        <c:varyColors val="0"/>
        <c:ser>
          <c:idx val="1"/>
          <c:order val="1"/>
          <c:tx>
            <c:strRef>
              <c:f>Subprefeituras_2023!$O$4:$O$4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Subprefeituras_2023!$A$5:$A$36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Subprefeituras_2023!$O$5:$O$36</c:f>
              <c:numCache>
                <c:formatCode>0</c:formatCode>
                <c:ptCount val="32"/>
                <c:pt idx="0">
                  <c:v>27.75</c:v>
                </c:pt>
                <c:pt idx="1">
                  <c:v>54.5</c:v>
                </c:pt>
                <c:pt idx="2">
                  <c:v>48.333333333333336</c:v>
                </c:pt>
                <c:pt idx="3">
                  <c:v>39.25</c:v>
                </c:pt>
                <c:pt idx="4">
                  <c:v>34.416666666666664</c:v>
                </c:pt>
                <c:pt idx="5">
                  <c:v>35.416666666666664</c:v>
                </c:pt>
                <c:pt idx="6">
                  <c:v>6.666666666666667</c:v>
                </c:pt>
                <c:pt idx="7">
                  <c:v>12.666666666666666</c:v>
                </c:pt>
                <c:pt idx="8">
                  <c:v>23.75</c:v>
                </c:pt>
                <c:pt idx="9">
                  <c:v>10.416666666666666</c:v>
                </c:pt>
                <c:pt idx="10">
                  <c:v>45.75</c:v>
                </c:pt>
                <c:pt idx="11">
                  <c:v>34.083333333333336</c:v>
                </c:pt>
                <c:pt idx="12">
                  <c:v>41.75</c:v>
                </c:pt>
                <c:pt idx="13">
                  <c:v>23</c:v>
                </c:pt>
                <c:pt idx="14">
                  <c:v>27.166666666666668</c:v>
                </c:pt>
                <c:pt idx="15">
                  <c:v>95.416666666666671</c:v>
                </c:pt>
                <c:pt idx="16">
                  <c:v>25.166666666666668</c:v>
                </c:pt>
                <c:pt idx="17">
                  <c:v>61.083333333333336</c:v>
                </c:pt>
                <c:pt idx="18">
                  <c:v>10.333333333333334</c:v>
                </c:pt>
                <c:pt idx="19">
                  <c:v>63.333333333333336</c:v>
                </c:pt>
                <c:pt idx="20">
                  <c:v>8.3333333333333339</c:v>
                </c:pt>
                <c:pt idx="21">
                  <c:v>49</c:v>
                </c:pt>
                <c:pt idx="22">
                  <c:v>44.416666666666664</c:v>
                </c:pt>
                <c:pt idx="23">
                  <c:v>48.25</c:v>
                </c:pt>
                <c:pt idx="24">
                  <c:v>59.25</c:v>
                </c:pt>
                <c:pt idx="25">
                  <c:v>27</c:v>
                </c:pt>
                <c:pt idx="26">
                  <c:v>15.916666666666666</c:v>
                </c:pt>
                <c:pt idx="27">
                  <c:v>18.833333333333332</c:v>
                </c:pt>
                <c:pt idx="28">
                  <c:v>91.083333333333329</c:v>
                </c:pt>
                <c:pt idx="29">
                  <c:v>35.25</c:v>
                </c:pt>
                <c:pt idx="30">
                  <c:v>58.166666666666664</c:v>
                </c:pt>
                <c:pt idx="3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96719"/>
        <c:axId val="1819697551"/>
      </c:lineChart>
      <c:valAx>
        <c:axId val="181969755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6719"/>
        <c:crosses val="autoZero"/>
        <c:crossBetween val="between"/>
      </c:valAx>
      <c:catAx>
        <c:axId val="18196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551"/>
        <c:crosses val="autoZero"/>
        <c:auto val="1"/>
        <c:lblAlgn val="ctr"/>
        <c:lblOffset val="100"/>
        <c:noMultiLvlLbl val="0"/>
      </c:catAx>
      <c:valAx>
        <c:axId val="181970087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1295"/>
        <c:crosses val="max"/>
        <c:crossBetween val="between"/>
      </c:valAx>
      <c:catAx>
        <c:axId val="181970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0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de manifestação -Total - 2023</a:t>
            </a:r>
          </a:p>
        </c:rich>
      </c:tx>
      <c:layout>
        <c:manualLayout>
          <c:xMode val="edge"/>
          <c:yMode val="edge"/>
          <c:x val="0.18135778909989192"/>
          <c:y val="1.45134110488441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4.4305944109927435E-2"/>
          <c:y val="0.21393771724480387"/>
          <c:w val="0.59133154238073182"/>
          <c:h val="0.765792879493666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161-4862-9DF0-204F09DD44A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161-4862-9DF0-204F09DD44AB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161-4862-9DF0-204F09DD44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161-4862-9DF0-204F09DD44A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61-4862-9DF0-204F09DD44AB}"/>
              </c:ext>
            </c:extLst>
          </c:dPt>
          <c:dLbls>
            <c:dLbl>
              <c:idx val="0"/>
              <c:layout>
                <c:manualLayout>
                  <c:x val="-1.4652069048078975E-2"/>
                  <c:y val="5.5403434930994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61-4862-9DF0-204F09DD44AB}"/>
                </c:ext>
              </c:extLst>
            </c:dLbl>
            <c:dLbl>
              <c:idx val="1"/>
              <c:layout>
                <c:manualLayout>
                  <c:x val="-1.6668449331386781E-3"/>
                  <c:y val="-2.7362165314921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61-4862-9DF0-204F09DD44AB}"/>
                </c:ext>
              </c:extLst>
            </c:dLbl>
            <c:dLbl>
              <c:idx val="2"/>
              <c:layout>
                <c:manualLayout>
                  <c:x val="-4.1648266319072536E-2"/>
                  <c:y val="-0.235394449567677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61-4862-9DF0-204F09DD44AB}"/>
                </c:ext>
              </c:extLst>
            </c:dLbl>
            <c:dLbl>
              <c:idx val="3"/>
              <c:layout>
                <c:manualLayout>
                  <c:x val="2.5845078578432629E-2"/>
                  <c:y val="8.786960188534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61-4862-9DF0-204F09DD44AB}"/>
                </c:ext>
              </c:extLst>
            </c:dLbl>
            <c:dLbl>
              <c:idx val="4"/>
              <c:layout>
                <c:manualLayout>
                  <c:x val="-6.1091298098498448E-2"/>
                  <c:y val="-3.9396561916246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61-4862-9DF0-204F09DD44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Protocolos!$R$19:$R$23</c:f>
              <c:numCache>
                <c:formatCode>0.0</c:formatCode>
                <c:ptCount val="5"/>
                <c:pt idx="0">
                  <c:v>3.586209198317869</c:v>
                </c:pt>
                <c:pt idx="1">
                  <c:v>1.5035711901742208</c:v>
                </c:pt>
                <c:pt idx="2">
                  <c:v>89.281423135972233</c:v>
                </c:pt>
                <c:pt idx="3">
                  <c:v>4.3171350377144382</c:v>
                </c:pt>
                <c:pt idx="4">
                  <c:v>1.3116614378212403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FC-4658-89AB-0C021D45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3222961247491125"/>
          <c:y val="0.23912164132636574"/>
          <c:w val="0.19416341556984093"/>
          <c:h val="0.4773560962537340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7347861657607959E-2"/>
          <c:y val="0.13160381268130958"/>
          <c:w val="0.92594697592887842"/>
          <c:h val="0.84625844979041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'10_SUB''s_+_demandadas_2023'!$O$6:$O$6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9DC6-4F4D-8B0E-7EB5547A3EA9}"/>
              </c:ext>
            </c:extLst>
          </c:dPt>
          <c:dPt>
            <c:idx val="1"/>
            <c:invertIfNegative val="0"/>
            <c:bubble3D val="0"/>
            <c:spPr>
              <a:solidFill>
                <a:srgbClr val="AA464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9DC6-4F4D-8B0E-7EB5547A3EA9}"/>
              </c:ext>
            </c:extLst>
          </c:dPt>
          <c:dPt>
            <c:idx val="2"/>
            <c:invertIfNegative val="0"/>
            <c:bubble3D val="0"/>
            <c:spPr>
              <a:solidFill>
                <a:srgbClr val="66FF6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9DC6-4F4D-8B0E-7EB5547A3EA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9DC6-4F4D-8B0E-7EB5547A3EA9}"/>
              </c:ext>
            </c:extLst>
          </c:dPt>
          <c:dPt>
            <c:idx val="4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9DC6-4F4D-8B0E-7EB5547A3EA9}"/>
              </c:ext>
            </c:extLst>
          </c:dPt>
          <c:dPt>
            <c:idx val="5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9DC6-4F4D-8B0E-7EB5547A3EA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9DC6-4F4D-8B0E-7EB5547A3EA9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9DC6-4F4D-8B0E-7EB5547A3EA9}"/>
              </c:ext>
            </c:extLst>
          </c:dPt>
          <c:dPt>
            <c:idx val="8"/>
            <c:invertIfNegative val="0"/>
            <c:bubble3D val="0"/>
            <c:spPr>
              <a:solidFill>
                <a:srgbClr val="00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9DC6-4F4D-8B0E-7EB5547A3EA9}"/>
              </c:ext>
            </c:extLst>
          </c:dPt>
          <c:dPt>
            <c:idx val="9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9DC6-4F4D-8B0E-7EB5547A3EA9}"/>
              </c:ext>
            </c:extLst>
          </c:dPt>
          <c:cat>
            <c:strRef>
              <c:f>'10_SUB''s_+_demandadas_2023'!$A$7:$A$16</c:f>
              <c:strCache>
                <c:ptCount val="10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Mooca</c:v>
                </c:pt>
                <c:pt idx="4">
                  <c:v>Santo Amaro</c:v>
                </c:pt>
                <c:pt idx="5">
                  <c:v>Vila Mariana</c:v>
                </c:pt>
                <c:pt idx="6">
                  <c:v>Butantã</c:v>
                </c:pt>
                <c:pt idx="7">
                  <c:v>Pinheiros</c:v>
                </c:pt>
                <c:pt idx="8">
                  <c:v>Campo Limpo</c:v>
                </c:pt>
                <c:pt idx="9">
                  <c:v>Santana/Tucuruvi</c:v>
                </c:pt>
              </c:strCache>
            </c:strRef>
          </c:cat>
          <c:val>
            <c:numRef>
              <c:f>'10_SUB''s_+_demandadas_2023'!$O$7:$O$16</c:f>
              <c:numCache>
                <c:formatCode>0</c:formatCode>
                <c:ptCount val="10"/>
                <c:pt idx="0">
                  <c:v>95.416666666666671</c:v>
                </c:pt>
                <c:pt idx="1">
                  <c:v>91.083333333333329</c:v>
                </c:pt>
                <c:pt idx="2">
                  <c:v>63.333333333333336</c:v>
                </c:pt>
                <c:pt idx="3">
                  <c:v>61.083333333333336</c:v>
                </c:pt>
                <c:pt idx="4">
                  <c:v>59.25</c:v>
                </c:pt>
                <c:pt idx="5">
                  <c:v>58.166666666666664</c:v>
                </c:pt>
                <c:pt idx="6">
                  <c:v>54.5</c:v>
                </c:pt>
                <c:pt idx="7">
                  <c:v>49</c:v>
                </c:pt>
                <c:pt idx="8">
                  <c:v>48.333333333333336</c:v>
                </c:pt>
                <c:pt idx="9">
                  <c:v>48.25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0A-447C-9091-30C1FF5A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55727"/>
        <c:axId val="1819702127"/>
      </c:barChart>
      <c:valAx>
        <c:axId val="1819702127"/>
        <c:scaling>
          <c:orientation val="minMax"/>
          <c:max val="10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727"/>
        <c:crosses val="autoZero"/>
        <c:crossBetween val="between"/>
      </c:valAx>
      <c:catAx>
        <c:axId val="181845572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212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Subprefeituras - % em relação ao todo de DEZEMBRO/23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(exetuando-se denúncias)</a:t>
            </a:r>
          </a:p>
        </c:rich>
      </c:tx>
      <c:layout>
        <c:manualLayout>
          <c:xMode val="edge"/>
          <c:yMode val="edge"/>
          <c:x val="9.9953558301352316E-2"/>
          <c:y val="3.174603174603174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076574709811343E-2"/>
          <c:y val="0.22710786151731038"/>
          <c:w val="0.77194983628468916"/>
          <c:h val="0.68141919760030001"/>
        </c:manualLayout>
      </c:layout>
      <c:pieChart>
        <c:varyColors val="1"/>
        <c:ser>
          <c:idx val="13"/>
          <c:order val="0"/>
          <c:dPt>
            <c:idx val="0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1-A104-4F2F-82F2-3C37F1C0F7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A104-4F2F-82F2-3C37F1C0F7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A104-4F2F-82F2-3C37F1C0F7D9}"/>
              </c:ext>
            </c:extLst>
          </c:dPt>
          <c:dPt>
            <c:idx val="3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104-4F2F-82F2-3C37F1C0F7D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A104-4F2F-82F2-3C37F1C0F7D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A104-4F2F-82F2-3C37F1C0F7D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A104-4F2F-82F2-3C37F1C0F7D9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B-A104-4F2F-82F2-3C37F1C0F7D9}"/>
              </c:ext>
            </c:extLst>
          </c:dPt>
          <c:dPt>
            <c:idx val="8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D-A104-4F2F-82F2-3C37F1C0F7D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E-A104-4F2F-82F2-3C37F1C0F7D9}"/>
              </c:ext>
            </c:extLst>
          </c:dPt>
          <c:dPt>
            <c:idx val="1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12-A104-4F2F-82F2-3C37F1C0F7D9}"/>
              </c:ext>
            </c:extLst>
          </c:dPt>
          <c:dLbls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104-4F2F-82F2-3C37F1C0F7D9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A104-4F2F-82F2-3C37F1C0F7D9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A104-4F2F-82F2-3C37F1C0F7D9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104-4F2F-82F2-3C37F1C0F7D9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A104-4F2F-82F2-3C37F1C0F7D9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A104-4F2F-82F2-3C37F1C0F7D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('10_SUB''s_+_demandadas_2023'!$A$7:$A$16,'10_SUB''s_+_demandadas_2023'!$A$18)</c:f>
              <c:strCache>
                <c:ptCount val="11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Mooca</c:v>
                </c:pt>
                <c:pt idx="4">
                  <c:v>Santo Amaro</c:v>
                </c:pt>
                <c:pt idx="5">
                  <c:v>Vila Mariana</c:v>
                </c:pt>
                <c:pt idx="6">
                  <c:v>Butantã</c:v>
                </c:pt>
                <c:pt idx="7">
                  <c:v>Pinheiros</c:v>
                </c:pt>
                <c:pt idx="8">
                  <c:v>Campo Limpo</c:v>
                </c:pt>
                <c:pt idx="9">
                  <c:v>Santana/Tucuruvi</c:v>
                </c:pt>
                <c:pt idx="10">
                  <c:v>Outros</c:v>
                </c:pt>
              </c:strCache>
              <c:extLst/>
            </c:strRef>
          </c:cat>
          <c:val>
            <c:numRef>
              <c:f>('10_SUB''s_+_demandadas_2023'!$P$7:$P$16,'10_SUB''s_+_demandadas_2023'!$P$18)</c:f>
              <c:numCache>
                <c:formatCode>0.00</c:formatCode>
                <c:ptCount val="11"/>
                <c:pt idx="0">
                  <c:v>7.074973600844773</c:v>
                </c:pt>
                <c:pt idx="1">
                  <c:v>5.7022175290390704</c:v>
                </c:pt>
                <c:pt idx="2">
                  <c:v>4.5406546990496306</c:v>
                </c:pt>
                <c:pt idx="3">
                  <c:v>5.7022175290390704</c:v>
                </c:pt>
                <c:pt idx="4">
                  <c:v>4.0126715945089755</c:v>
                </c:pt>
                <c:pt idx="5">
                  <c:v>6.8637803590285111</c:v>
                </c:pt>
                <c:pt idx="6">
                  <c:v>3.167898627243928</c:v>
                </c:pt>
                <c:pt idx="7">
                  <c:v>4.0126715945089755</c:v>
                </c:pt>
                <c:pt idx="8">
                  <c:v>2.9567053854276661</c:v>
                </c:pt>
                <c:pt idx="9">
                  <c:v>4.1182682154171069</c:v>
                </c:pt>
                <c:pt idx="10">
                  <c:v>51.847940865892291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3-A104-4F2F-82F2-3C37F1C0F7D9}"/>
            </c:ext>
          </c:extLst>
        </c:ser>
        <c:ser>
          <c:idx val="0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4-A104-4F2F-82F2-3C37F1C0F7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5-A104-4F2F-82F2-3C37F1C0F7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6-A104-4F2F-82F2-3C37F1C0F7D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7-A104-4F2F-82F2-3C37F1C0F7D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8-A104-4F2F-82F2-3C37F1C0F7D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9-A104-4F2F-82F2-3C37F1C0F7D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A-A104-4F2F-82F2-3C37F1C0F7D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B-A104-4F2F-82F2-3C37F1C0F7D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C-A104-4F2F-82F2-3C37F1C0F7D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D-A104-4F2F-82F2-3C37F1C0F7D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F-A104-4F2F-82F2-3C37F1C0F7D9}"/>
              </c:ext>
            </c:extLst>
          </c:dPt>
          <c:cat>
            <c:strRef>
              <c:f>('10_SUB''s_+_demandadas_2023'!$A$7:$A$16,'10_SUB''s_+_demandadas_2023'!$A$18)</c:f>
              <c:strCache>
                <c:ptCount val="11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Mooca</c:v>
                </c:pt>
                <c:pt idx="4">
                  <c:v>Santo Amaro</c:v>
                </c:pt>
                <c:pt idx="5">
                  <c:v>Vila Mariana</c:v>
                </c:pt>
                <c:pt idx="6">
                  <c:v>Butantã</c:v>
                </c:pt>
                <c:pt idx="7">
                  <c:v>Pinheiros</c:v>
                </c:pt>
                <c:pt idx="8">
                  <c:v>Campo Limpo</c:v>
                </c:pt>
                <c:pt idx="9">
                  <c:v>Santana/Tucuruvi</c:v>
                </c:pt>
                <c:pt idx="10">
                  <c:v>Outros</c:v>
                </c:pt>
              </c:strCache>
              <c:extLst/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0-A104-4F2F-82F2-3C37F1C0F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42383590940028"/>
          <c:y val="0.12662698412698412"/>
          <c:w val="0.13707701899993655"/>
          <c:h val="0.8267482189726284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1.6088686282635725E-2"/>
          <c:y val="0.10013597313992807"/>
          <c:w val="0.98391062301422838"/>
          <c:h val="0.82701062215477994"/>
        </c:manualLayout>
      </c:layout>
      <c:radarChart>
        <c:radarStyle val="marker"/>
        <c:varyColors val="0"/>
        <c:ser>
          <c:idx val="0"/>
          <c:order val="0"/>
          <c:spPr>
            <a:ln>
              <a:noFill/>
            </a:ln>
          </c:spPr>
          <c:marker>
            <c:symbol val="diamond"/>
            <c:size val="5"/>
          </c:marker>
          <c:cat>
            <c:strRef>
              <c:f>Ranking_subprefeituras_DEZ_23!$A$5:$A$36</c:f>
              <c:strCache>
                <c:ptCount val="32"/>
                <c:pt idx="0">
                  <c:v>Lapa</c:v>
                </c:pt>
                <c:pt idx="1">
                  <c:v>Vila Mariana</c:v>
                </c:pt>
                <c:pt idx="2">
                  <c:v>Mooca</c:v>
                </c:pt>
                <c:pt idx="3">
                  <c:v>Sé</c:v>
                </c:pt>
                <c:pt idx="4">
                  <c:v>Pirituba/Jaraguá</c:v>
                </c:pt>
                <c:pt idx="5">
                  <c:v>Penha</c:v>
                </c:pt>
                <c:pt idx="6">
                  <c:v>Ipiranga</c:v>
                </c:pt>
                <c:pt idx="7">
                  <c:v>Itaquera</c:v>
                </c:pt>
                <c:pt idx="8">
                  <c:v>São Mateus</c:v>
                </c:pt>
                <c:pt idx="9">
                  <c:v>Santana/Tucuruvi</c:v>
                </c:pt>
                <c:pt idx="10">
                  <c:v>Pinheiros</c:v>
                </c:pt>
                <c:pt idx="11">
                  <c:v>Santo Amaro</c:v>
                </c:pt>
                <c:pt idx="12">
                  <c:v>Casa Verde</c:v>
                </c:pt>
                <c:pt idx="13">
                  <c:v>Itaim Paulista</c:v>
                </c:pt>
                <c:pt idx="14">
                  <c:v>Butantã</c:v>
                </c:pt>
                <c:pt idx="15">
                  <c:v>Campo Limpo</c:v>
                </c:pt>
                <c:pt idx="16">
                  <c:v>Capela do Socorro</c:v>
                </c:pt>
                <c:pt idx="17">
                  <c:v>Aricanduva</c:v>
                </c:pt>
                <c:pt idx="18">
                  <c:v>Sapopemba</c:v>
                </c:pt>
                <c:pt idx="19">
                  <c:v>Vila Maria/Vila Guilherme</c:v>
                </c:pt>
                <c:pt idx="20">
                  <c:v>Jabaquara</c:v>
                </c:pt>
                <c:pt idx="21">
                  <c:v>Cidade Ademar</c:v>
                </c:pt>
                <c:pt idx="22">
                  <c:v>Jaçanã/Tremembé</c:v>
                </c:pt>
                <c:pt idx="23">
                  <c:v>Freguesia/Brasilândia</c:v>
                </c:pt>
                <c:pt idx="24">
                  <c:v>M'Boi Mirim</c:v>
                </c:pt>
                <c:pt idx="25">
                  <c:v>Vila Prudente</c:v>
                </c:pt>
                <c:pt idx="26">
                  <c:v>Ermelino Matarazzo</c:v>
                </c:pt>
                <c:pt idx="27">
                  <c:v>São Miguel Paulista</c:v>
                </c:pt>
                <c:pt idx="28">
                  <c:v>Guaianases</c:v>
                </c:pt>
                <c:pt idx="29">
                  <c:v>Cidade Tiradentes</c:v>
                </c:pt>
                <c:pt idx="30">
                  <c:v>Perus</c:v>
                </c:pt>
                <c:pt idx="31">
                  <c:v>Parelheiros</c:v>
                </c:pt>
              </c:strCache>
            </c:strRef>
          </c:cat>
          <c:val>
            <c:numRef>
              <c:f>Ranking_subprefeituras_DEZ_23!$B$5:$B$36</c:f>
              <c:numCache>
                <c:formatCode>General</c:formatCode>
                <c:ptCount val="32"/>
                <c:pt idx="0">
                  <c:v>67</c:v>
                </c:pt>
                <c:pt idx="1">
                  <c:v>65</c:v>
                </c:pt>
                <c:pt idx="2">
                  <c:v>54</c:v>
                </c:pt>
                <c:pt idx="3">
                  <c:v>54</c:v>
                </c:pt>
                <c:pt idx="4">
                  <c:v>48</c:v>
                </c:pt>
                <c:pt idx="5">
                  <c:v>43</c:v>
                </c:pt>
                <c:pt idx="6">
                  <c:v>42</c:v>
                </c:pt>
                <c:pt idx="7">
                  <c:v>41</c:v>
                </c:pt>
                <c:pt idx="8">
                  <c:v>40</c:v>
                </c:pt>
                <c:pt idx="9">
                  <c:v>39</c:v>
                </c:pt>
                <c:pt idx="10">
                  <c:v>38</c:v>
                </c:pt>
                <c:pt idx="11">
                  <c:v>38</c:v>
                </c:pt>
                <c:pt idx="12">
                  <c:v>34</c:v>
                </c:pt>
                <c:pt idx="13">
                  <c:v>30</c:v>
                </c:pt>
                <c:pt idx="14">
                  <c:v>30</c:v>
                </c:pt>
                <c:pt idx="15">
                  <c:v>28</c:v>
                </c:pt>
                <c:pt idx="16">
                  <c:v>28</c:v>
                </c:pt>
                <c:pt idx="17">
                  <c:v>27</c:v>
                </c:pt>
                <c:pt idx="18">
                  <c:v>26</c:v>
                </c:pt>
                <c:pt idx="19">
                  <c:v>26</c:v>
                </c:pt>
                <c:pt idx="20">
                  <c:v>24</c:v>
                </c:pt>
                <c:pt idx="21">
                  <c:v>19</c:v>
                </c:pt>
                <c:pt idx="22">
                  <c:v>18</c:v>
                </c:pt>
                <c:pt idx="23">
                  <c:v>17</c:v>
                </c:pt>
                <c:pt idx="24">
                  <c:v>17</c:v>
                </c:pt>
                <c:pt idx="25">
                  <c:v>16</c:v>
                </c:pt>
                <c:pt idx="26">
                  <c:v>9</c:v>
                </c:pt>
                <c:pt idx="27">
                  <c:v>9</c:v>
                </c:pt>
                <c:pt idx="28">
                  <c:v>8</c:v>
                </c:pt>
                <c:pt idx="29">
                  <c:v>7</c:v>
                </c:pt>
                <c:pt idx="30">
                  <c:v>4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5-4247-A7CB-B8B12C7BA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9071"/>
        <c:axId val="1820269903"/>
      </c:radarChart>
      <c:valAx>
        <c:axId val="1820269903"/>
        <c:scaling>
          <c:orientation val="minMax"/>
          <c:max val="7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9071"/>
        <c:crosses val="autoZero"/>
        <c:crossBetween val="between"/>
        <c:majorUnit val="10"/>
      </c:valAx>
      <c:catAx>
        <c:axId val="182026907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990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denúncias - 2023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Denúncia_Protocolos_2023!$A$6:$A$6</c:f>
              <c:strCache>
                <c:ptCount val="1"/>
                <c:pt idx="0">
                  <c:v>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6-42D0-A834-70BDE09BFF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6-42D0-A834-70BDE09BFF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C6-42D0-A834-70BDE09BFF47}"/>
              </c:ext>
            </c:extLst>
          </c:dPt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Denúncia_Protocolos_2023!$B$6:$M$6</c:f>
              <c:numCache>
                <c:formatCode>General</c:formatCode>
                <c:ptCount val="12"/>
                <c:pt idx="0">
                  <c:v>161</c:v>
                </c:pt>
                <c:pt idx="1">
                  <c:v>134</c:v>
                </c:pt>
                <c:pt idx="2">
                  <c:v>93</c:v>
                </c:pt>
                <c:pt idx="3">
                  <c:v>74</c:v>
                </c:pt>
                <c:pt idx="4">
                  <c:v>99</c:v>
                </c:pt>
                <c:pt idx="5">
                  <c:v>113</c:v>
                </c:pt>
                <c:pt idx="6">
                  <c:v>111</c:v>
                </c:pt>
                <c:pt idx="7">
                  <c:v>58</c:v>
                </c:pt>
                <c:pt idx="8">
                  <c:v>49</c:v>
                </c:pt>
                <c:pt idx="9">
                  <c:v>71</c:v>
                </c:pt>
                <c:pt idx="10">
                  <c:v>40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AB-49E0-97E5-71BAE31A0B86}"/>
            </c:ext>
          </c:extLst>
        </c:ser>
        <c:ser>
          <c:idx val="1"/>
          <c:order val="1"/>
          <c:tx>
            <c:strRef>
              <c:f>Denúncia_Protocolos_2023!$A$7:$A$7</c:f>
              <c:strCache>
                <c:ptCount val="1"/>
                <c:pt idx="0">
                  <c:v>Indeferidas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Denúncia_Protocolos_2023!$B$7:$M$7</c:f>
              <c:numCache>
                <c:formatCode>General</c:formatCode>
                <c:ptCount val="12"/>
                <c:pt idx="0">
                  <c:v>72</c:v>
                </c:pt>
                <c:pt idx="1">
                  <c:v>54</c:v>
                </c:pt>
                <c:pt idx="2">
                  <c:v>107</c:v>
                </c:pt>
                <c:pt idx="3">
                  <c:v>119</c:v>
                </c:pt>
                <c:pt idx="4">
                  <c:v>88</c:v>
                </c:pt>
                <c:pt idx="5">
                  <c:v>80</c:v>
                </c:pt>
                <c:pt idx="6">
                  <c:v>126</c:v>
                </c:pt>
                <c:pt idx="7">
                  <c:v>112</c:v>
                </c:pt>
                <c:pt idx="8">
                  <c:v>80</c:v>
                </c:pt>
                <c:pt idx="9">
                  <c:v>91</c:v>
                </c:pt>
                <c:pt idx="10">
                  <c:v>61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B-49E0-97E5-71BAE31A0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71567"/>
        <c:axId val="1820270735"/>
      </c:lineChart>
      <c:valAx>
        <c:axId val="1820270735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567"/>
        <c:crosses val="autoZero"/>
        <c:crossBetween val="between"/>
      </c:valAx>
      <c:dateAx>
        <c:axId val="182027156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735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protocolos - 2023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Denúncia_Protocolos_2023!$A$10:$A$10</c:f>
              <c:strCache>
                <c:ptCount val="1"/>
                <c:pt idx="0">
                  <c:v>Total denúncias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96B-491F-97F0-03126D8152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96B-491F-97F0-03126D8152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96B-491F-97F0-03126D8152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E96B-491F-97F0-03126D8152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E96B-491F-97F0-03126D8152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E96B-491F-97F0-03126D8152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E96B-491F-97F0-03126D8152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E96B-491F-97F0-03126D8152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E96B-491F-97F0-03126D8152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E96B-491F-97F0-03126D8152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E96B-491F-97F0-03126D81520D}"/>
              </c:ext>
            </c:extLst>
          </c:dPt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Denúncia_Protocolos_2023!$B$10:$M$10</c:f>
              <c:numCache>
                <c:formatCode>General</c:formatCode>
                <c:ptCount val="12"/>
                <c:pt idx="0">
                  <c:v>235</c:v>
                </c:pt>
                <c:pt idx="1">
                  <c:v>189</c:v>
                </c:pt>
                <c:pt idx="2">
                  <c:v>203</c:v>
                </c:pt>
                <c:pt idx="3">
                  <c:v>195</c:v>
                </c:pt>
                <c:pt idx="4">
                  <c:v>189</c:v>
                </c:pt>
                <c:pt idx="5">
                  <c:v>194</c:v>
                </c:pt>
                <c:pt idx="6">
                  <c:v>239</c:v>
                </c:pt>
                <c:pt idx="7">
                  <c:v>174</c:v>
                </c:pt>
                <c:pt idx="8">
                  <c:v>129</c:v>
                </c:pt>
                <c:pt idx="9">
                  <c:v>164</c:v>
                </c:pt>
                <c:pt idx="10">
                  <c:v>102</c:v>
                </c:pt>
                <c:pt idx="11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C57-4E20-AC4D-B4C20E59AF66}"/>
            </c:ext>
          </c:extLst>
        </c:ser>
        <c:ser>
          <c:idx val="1"/>
          <c:order val="1"/>
          <c:tx>
            <c:strRef>
              <c:f>Denúncia_Protocolos_2023!$A$13:$A$13</c:f>
              <c:strCache>
                <c:ptCount val="1"/>
                <c:pt idx="0">
                  <c:v>Reclassificadas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Denúncia_Protocolos_2023!$B$13:$M$13</c:f>
              <c:numCache>
                <c:formatCode>General</c:formatCode>
                <c:ptCount val="12"/>
                <c:pt idx="0">
                  <c:v>74</c:v>
                </c:pt>
                <c:pt idx="1">
                  <c:v>125</c:v>
                </c:pt>
                <c:pt idx="2">
                  <c:v>161</c:v>
                </c:pt>
                <c:pt idx="3">
                  <c:v>151</c:v>
                </c:pt>
                <c:pt idx="4">
                  <c:v>181</c:v>
                </c:pt>
                <c:pt idx="5">
                  <c:v>165</c:v>
                </c:pt>
                <c:pt idx="6">
                  <c:v>108</c:v>
                </c:pt>
                <c:pt idx="7">
                  <c:v>91</c:v>
                </c:pt>
                <c:pt idx="8">
                  <c:v>120</c:v>
                </c:pt>
                <c:pt idx="9">
                  <c:v>149</c:v>
                </c:pt>
                <c:pt idx="10">
                  <c:v>143</c:v>
                </c:pt>
                <c:pt idx="1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C57-4E20-AC4D-B4C20E59A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67823"/>
        <c:axId val="1820267407"/>
      </c:lineChart>
      <c:valAx>
        <c:axId val="1820267407"/>
        <c:scaling>
          <c:orientation val="minMax"/>
          <c:max val="30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823"/>
        <c:crosses val="autoZero"/>
        <c:crossBetween val="between"/>
      </c:valAx>
      <c:dateAx>
        <c:axId val="182026782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407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Status - Protocolos aceitos como denúncias 2023 </a:t>
            </a:r>
          </a:p>
        </c:rich>
      </c:tx>
      <c:layout>
        <c:manualLayout>
          <c:xMode val="edge"/>
          <c:yMode val="edge"/>
          <c:x val="0.12258811017215199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6674512919408263"/>
          <c:y val="0.11623805899387629"/>
          <c:w val="0.50790822831442251"/>
          <c:h val="0.76412942889715163"/>
        </c:manualLayout>
      </c:layout>
      <c:pieChart>
        <c:varyColors val="1"/>
        <c:ser>
          <c:idx val="0"/>
          <c:order val="0"/>
          <c:tx>
            <c:strRef>
              <c:f>Denúncia_Protocolos_2023!$N$4:$N$4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68-4036-B66A-C0CD46E746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68-4036-B66A-C0CD46E74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Denúncia_Protocolos_2023!$A$6:$A$7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Denúncia_Protocolos_2023!$N$6:$N$7</c:f>
              <c:numCache>
                <c:formatCode>General</c:formatCode>
                <c:ptCount val="2"/>
                <c:pt idx="0">
                  <c:v>1041</c:v>
                </c:pt>
                <c:pt idx="1">
                  <c:v>1090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6A-4F6A-B5EC-E9349AD4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8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aceitos como denúncias 2023 - tipologia</a:t>
            </a:r>
          </a:p>
        </c:rich>
      </c:tx>
      <c:layout>
        <c:manualLayout>
          <c:xMode val="edge"/>
          <c:yMode val="edge"/>
          <c:x val="0.22355524707997329"/>
          <c:y val="2.0453435519360765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0"/>
    </c:view3D>
    <c:floor>
      <c:thickness val="0"/>
      <c:spPr>
        <a:noFill/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9528">
          <a:solidFill>
            <a:srgbClr val="000000"/>
          </a:solidFill>
          <a:prstDash val="solid"/>
        </a:ln>
      </c:spPr>
    </c:sideWall>
    <c:backWall>
      <c:thickness val="0"/>
      <c:spPr>
        <a:noFill/>
        <a:ln w="9528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Denúncia_Protocolos_2023!$A$48:$A$48</c:f>
              <c:strCache>
                <c:ptCount val="1"/>
                <c:pt idx="0">
                  <c:v>Total indeferidas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strRef>
              <c:f>Denúncia_Protocolos_2023!$B$34:$H$34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Denúncia_Protocolos_2023!$B$48:$H$48</c:f>
              <c:numCache>
                <c:formatCode>General</c:formatCode>
                <c:ptCount val="7"/>
                <c:pt idx="0">
                  <c:v>120</c:v>
                </c:pt>
                <c:pt idx="1">
                  <c:v>18</c:v>
                </c:pt>
                <c:pt idx="2">
                  <c:v>604</c:v>
                </c:pt>
                <c:pt idx="3">
                  <c:v>71</c:v>
                </c:pt>
                <c:pt idx="4">
                  <c:v>156</c:v>
                </c:pt>
                <c:pt idx="5">
                  <c:v>121</c:v>
                </c:pt>
                <c:pt idx="6">
                  <c:v>1090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1-4691-8A1E-F44C48DDE3EC}"/>
            </c:ext>
          </c:extLst>
        </c:ser>
        <c:ser>
          <c:idx val="1"/>
          <c:order val="1"/>
          <c:tx>
            <c:strRef>
              <c:f>Denúncia_Protocolos_2023!$A$63:$A$63</c:f>
              <c:strCache>
                <c:ptCount val="1"/>
                <c:pt idx="0">
                  <c:v>Total deferidas</c:v>
                </c:pt>
              </c:strCache>
            </c:strRef>
          </c:tx>
          <c:spPr>
            <a:solidFill>
              <a:srgbClr val="BED1EA"/>
            </a:solidFill>
            <a:ln>
              <a:noFill/>
            </a:ln>
          </c:spPr>
          <c:invertIfNegative val="0"/>
          <c:cat>
            <c:strRef>
              <c:f>Denúncia_Protocolos_2023!$B$34:$H$34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Denúncia_Protocolos_2023!$B$63:$H$63</c:f>
              <c:numCache>
                <c:formatCode>General</c:formatCode>
                <c:ptCount val="7"/>
                <c:pt idx="0">
                  <c:v>89</c:v>
                </c:pt>
                <c:pt idx="1">
                  <c:v>41</c:v>
                </c:pt>
                <c:pt idx="2">
                  <c:v>431</c:v>
                </c:pt>
                <c:pt idx="3">
                  <c:v>47</c:v>
                </c:pt>
                <c:pt idx="4">
                  <c:v>249</c:v>
                </c:pt>
                <c:pt idx="5">
                  <c:v>184</c:v>
                </c:pt>
                <c:pt idx="6">
                  <c:v>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1-4691-8A1E-F44C48DDE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20271151"/>
        <c:axId val="1820270319"/>
        <c:axId val="1789614527"/>
      </c:bar3DChart>
      <c:valAx>
        <c:axId val="18202703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151"/>
        <c:crosses val="autoZero"/>
        <c:crossBetween val="between"/>
      </c:valAx>
      <c:catAx>
        <c:axId val="182027115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auto val="1"/>
        <c:lblAlgn val="ctr"/>
        <c:lblOffset val="100"/>
        <c:noMultiLvlLbl val="0"/>
      </c:catAx>
      <c:serAx>
        <c:axId val="1789614527"/>
        <c:scaling>
          <c:orientation val="minMax"/>
        </c:scaling>
        <c:delete val="0"/>
        <c:axPos val="b"/>
        <c:majorGridlines>
          <c:spPr>
            <a:ln w="3172" cap="flat">
              <a:solidFill>
                <a:srgbClr val="000000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tickLblSkip val="1"/>
      </c:serAx>
      <c:spPr>
        <a:noFill/>
        <a:ln w="9528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07020058075566E-2"/>
          <c:y val="0.19476961213181682"/>
          <c:w val="0.92022843770295581"/>
          <c:h val="0.77051556658311604"/>
        </c:manualLayout>
      </c:layout>
      <c:ofPieChart>
        <c:ofPieType val="pie"/>
        <c:varyColors val="1"/>
        <c:ser>
          <c:idx val="0"/>
          <c:order val="0"/>
          <c:tx>
            <c:strRef>
              <c:f>Denúncia_Protocolos_2023!$Q$4</c:f>
              <c:strCache>
                <c:ptCount val="1"/>
                <c:pt idx="0">
                  <c:v>% Total 2023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FB35-4DEA-B952-3B69A97C4DD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FB35-4DEA-B952-3B69A97C4D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FB35-4DEA-B952-3B69A97C4DDF}"/>
              </c:ext>
            </c:extLst>
          </c:dPt>
          <c:dLbls>
            <c:dLbl>
              <c:idx val="1"/>
              <c:layout>
                <c:manualLayout>
                  <c:x val="-4.6247899994095933E-2"/>
                  <c:y val="5.795204653472370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B35-4DEA-B952-3B69A97C4DDF}"/>
                </c:ext>
              </c:extLst>
            </c:dLbl>
            <c:dLbl>
              <c:idx val="2"/>
              <c:layout>
                <c:manualLayout>
                  <c:x val="1.0983903085733915E-3"/>
                  <c:y val="3.898220117983644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B35-4DEA-B952-3B69A97C4DD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Denúncia_Protocolos_2023!$A$6:$A$13</c15:sqref>
                  </c15:fullRef>
                </c:ext>
              </c:extLst>
              <c:f>(Denúncia_Protocolos_2023!$A$6:$A$8,Denúncia_Protocolos_2023!$A$13)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Reclassificadas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Denúncia_Protocolos_2023!$Q$6:$Q$13</c15:sqref>
                  </c15:fullRef>
                </c:ext>
              </c:extLst>
              <c:f>(Denúncia_Protocolos_2023!$Q$6:$Q$8,Denúncia_Protocolos_2023!$Q$13)</c:f>
              <c:numCache>
                <c:formatCode>0.00</c:formatCode>
                <c:ptCount val="4"/>
                <c:pt idx="0">
                  <c:v>27.893890675241156</c:v>
                </c:pt>
                <c:pt idx="1">
                  <c:v>29.20685959271168</c:v>
                </c:pt>
                <c:pt idx="2">
                  <c:v>0.56270096463022512</c:v>
                </c:pt>
                <c:pt idx="3">
                  <c:v>42.336548767416936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Denúncia_Protocolos_2023!$Q$9</c15:sqref>
                  <c15:bubble3D val="0"/>
                </c15:categoryFilterException>
                <c15:categoryFilterException>
                  <c15:sqref>Denúncia_Protocolos_2023!$Q$10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7-FB35-4DEA-B952-3B69A97C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Denúncias</a:t>
            </a:r>
            <a:r>
              <a:rPr lang="pt-BR" baseline="0"/>
              <a:t> - Unidades PMSP - DEZEMBRO/2023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Denúncia_Unidades_2023!$A$4:$A$73</c:f>
              <c:strCache>
                <c:ptCount val="70"/>
                <c:pt idx="0">
                  <c:v>Agência Reguladora de Serviços Públicos do Município de São Paulo** </c:v>
                </c:pt>
                <c:pt idx="1">
                  <c:v>AHMSP Autarquia Hospitalar Municipal</c:v>
                </c:pt>
                <c:pt idx="2">
                  <c:v>Casa Civil</c:v>
                </c:pt>
                <c:pt idx="3">
                  <c:v>Companhia de Engenharia de Tráfego - CET</c:v>
                </c:pt>
                <c:pt idx="4">
                  <c:v>Companhia Metropolitana de Habitação - COHAB</c:v>
                </c:pt>
                <c:pt idx="5">
                  <c:v>Controladoria Geral do Município</c:v>
                </c:pt>
                <c:pt idx="6">
                  <c:v>Não identificado</c:v>
                </c:pt>
                <c:pt idx="7">
                  <c:v>Órgão externo</c:v>
                </c:pt>
                <c:pt idx="8">
                  <c:v>Procuradoria Geral do Município</c:v>
                </c:pt>
                <c:pt idx="9">
                  <c:v>São Paulo Obras - SPObras</c:v>
                </c:pt>
                <c:pt idx="10">
                  <c:v>São Paulo Transportes - SPTRANS</c:v>
                </c:pt>
                <c:pt idx="11">
                  <c:v>Secretaria de Relações Institucionais</c:v>
                </c:pt>
                <c:pt idx="12">
                  <c:v>Secretaria de Relações Internacionais</c:v>
                </c:pt>
                <c:pt idx="13">
                  <c:v>Secretaria do Governo Municipal</c:v>
                </c:pt>
                <c:pt idx="14">
                  <c:v>Secretaria Executiva de Limpeza Urbana**</c:v>
                </c:pt>
                <c:pt idx="15">
                  <c:v>Secretaria Municipal da Fazenda</c:v>
                </c:pt>
                <c:pt idx="16">
                  <c:v>Secretaria Municipal da Pessoa com Deficiência</c:v>
                </c:pt>
                <c:pt idx="17">
                  <c:v>Secretaria Municipal da Saúde</c:v>
                </c:pt>
                <c:pt idx="18">
                  <c:v>Secretaria Municipal das Subprefeituras</c:v>
                </c:pt>
                <c:pt idx="19">
                  <c:v>Secretaria Municipal de Assistência e Desenvolvimento Social</c:v>
                </c:pt>
                <c:pt idx="20">
                  <c:v>Secretaria Executiva de Comunicação</c:v>
                </c:pt>
                <c:pt idx="21">
                  <c:v>Secretaria Municipal de Cultura</c:v>
                </c:pt>
                <c:pt idx="22">
                  <c:v>Secretaria Municipal de Desenvolvimento Econômico e Trabalho</c:v>
                </c:pt>
                <c:pt idx="23">
                  <c:v>Secretaria Municipal de Direitos Humanos e Cidadania</c:v>
                </c:pt>
                <c:pt idx="24">
                  <c:v>Secretaria Municipal de Educação</c:v>
                </c:pt>
                <c:pt idx="25">
                  <c:v>Secretaria Municipal de Esportes e Lazer</c:v>
                </c:pt>
                <c:pt idx="26">
                  <c:v>Secretaria Municipal de Gestão</c:v>
                </c:pt>
                <c:pt idx="27">
                  <c:v>Secretaria Municipal de Habitação</c:v>
                </c:pt>
                <c:pt idx="28">
                  <c:v>Secretaria Municipal de Infraestrutura Urbana e Obras</c:v>
                </c:pt>
                <c:pt idx="29">
                  <c:v>Secretaria Municipal de Inovação e Tecnologia</c:v>
                </c:pt>
                <c:pt idx="30">
                  <c:v>Secretaria Municipal de Justiça</c:v>
                </c:pt>
                <c:pt idx="31">
                  <c:v>Secretaria Municipal de Mobilidade e Trânsito</c:v>
                </c:pt>
                <c:pt idx="32">
                  <c:v>Secretaria Municipal de Segurança Urbana</c:v>
                </c:pt>
                <c:pt idx="33">
                  <c:v>Secretaria Municipal de Turismo</c:v>
                </c:pt>
                <c:pt idx="34">
                  <c:v>Secretaria Municipal de Urbanismo e Licenciamento*</c:v>
                </c:pt>
                <c:pt idx="35">
                  <c:v>Secretaria Municipal do Verde e Meio Ambiente</c:v>
                </c:pt>
                <c:pt idx="36">
                  <c:v>Serviço Funerário do Município de São Paulo - SFMSP</c:v>
                </c:pt>
                <c:pt idx="37">
                  <c:v>Subprefeitura Aricanduva</c:v>
                </c:pt>
                <c:pt idx="38">
                  <c:v>Subprefeitura Butantã</c:v>
                </c:pt>
                <c:pt idx="39">
                  <c:v>Subprefeitura Campo Limpo</c:v>
                </c:pt>
                <c:pt idx="40">
                  <c:v>Subprefeitura Capela do Socorro</c:v>
                </c:pt>
                <c:pt idx="41">
                  <c:v>Subprefeitura Casa Verde</c:v>
                </c:pt>
                <c:pt idx="42">
                  <c:v>Subprefeitura Cidade Ademar</c:v>
                </c:pt>
                <c:pt idx="43">
                  <c:v>Subprefeitura Cidade Tiradentes</c:v>
                </c:pt>
                <c:pt idx="44">
                  <c:v>Subprefeitura Ermelino Matarazzo</c:v>
                </c:pt>
                <c:pt idx="45">
                  <c:v>Subprefeitura Freguesia/Brasilândia</c:v>
                </c:pt>
                <c:pt idx="46">
                  <c:v>Subprefeitura Guaianases</c:v>
                </c:pt>
                <c:pt idx="47">
                  <c:v>Subprefeitura Ipiranga</c:v>
                </c:pt>
                <c:pt idx="48">
                  <c:v>Subprefeitura Itaim Paulista</c:v>
                </c:pt>
                <c:pt idx="49">
                  <c:v>Subprefeitura Itaquera</c:v>
                </c:pt>
                <c:pt idx="50">
                  <c:v>Subprefeitura Jabaquara</c:v>
                </c:pt>
                <c:pt idx="51">
                  <c:v>Subprefeitura Jaçanã/Tremembé</c:v>
                </c:pt>
                <c:pt idx="52">
                  <c:v>Subprefeitura Lapa</c:v>
                </c:pt>
                <c:pt idx="53">
                  <c:v>Subprefeitura M'Boi Mirim</c:v>
                </c:pt>
                <c:pt idx="54">
                  <c:v>Subprefeitura Mooca</c:v>
                </c:pt>
                <c:pt idx="55">
                  <c:v>Subprefeitura Parelheiros</c:v>
                </c:pt>
                <c:pt idx="56">
                  <c:v>Subprefeitura Penha</c:v>
                </c:pt>
                <c:pt idx="57">
                  <c:v>Subprefeitura Perus</c:v>
                </c:pt>
                <c:pt idx="58">
                  <c:v>Subprefeitura Pinheiros</c:v>
                </c:pt>
                <c:pt idx="59">
                  <c:v>Subprefeitura Pirituba/Jaraguá</c:v>
                </c:pt>
                <c:pt idx="60">
                  <c:v>Subprefeitura Santana/Tucuruvi</c:v>
                </c:pt>
                <c:pt idx="61">
                  <c:v>Subprefeitura Santo Amaro</c:v>
                </c:pt>
                <c:pt idx="62">
                  <c:v>Subprefeitura São Mateus</c:v>
                </c:pt>
                <c:pt idx="63">
                  <c:v>Subprefeitura São Miguel Paulista</c:v>
                </c:pt>
                <c:pt idx="64">
                  <c:v>Subprefeitura Sapopemba</c:v>
                </c:pt>
                <c:pt idx="65">
                  <c:v>Subprefeitura Sé</c:v>
                </c:pt>
                <c:pt idx="66">
                  <c:v>Subprefeitura Vila Maria/Vila Guilherme</c:v>
                </c:pt>
                <c:pt idx="67">
                  <c:v>Subprefeitura Vila Mariana</c:v>
                </c:pt>
                <c:pt idx="68">
                  <c:v>Subprefeitura Vila Prudente</c:v>
                </c:pt>
                <c:pt idx="69">
                  <c:v>Canceladas</c:v>
                </c:pt>
              </c:strCache>
            </c:strRef>
          </c:cat>
          <c:val>
            <c:numRef>
              <c:f>Denúncia_Unidades_2023!$D$4:$D$73</c:f>
              <c:numCache>
                <c:formatCode>General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11</c:v>
                </c:pt>
                <c:pt idx="8">
                  <c:v>1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45</c:v>
                </c:pt>
                <c:pt idx="18">
                  <c:v>7</c:v>
                </c:pt>
                <c:pt idx="19">
                  <c:v>13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90</c:v>
                </c:pt>
                <c:pt idx="25">
                  <c:v>7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13</c:v>
                </c:pt>
                <c:pt idx="33">
                  <c:v>0</c:v>
                </c:pt>
                <c:pt idx="34">
                  <c:v>6</c:v>
                </c:pt>
                <c:pt idx="35">
                  <c:v>2</c:v>
                </c:pt>
                <c:pt idx="36">
                  <c:v>7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</c:v>
                </c:pt>
                <c:pt idx="65">
                  <c:v>2</c:v>
                </c:pt>
                <c:pt idx="66">
                  <c:v>4</c:v>
                </c:pt>
                <c:pt idx="67">
                  <c:v>0</c:v>
                </c:pt>
                <c:pt idx="68">
                  <c:v>0</c:v>
                </c:pt>
                <c:pt idx="6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6-4320-829B-BAE381AF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01933328"/>
        <c:axId val="401934160"/>
      </c:barChart>
      <c:catAx>
        <c:axId val="40193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4160"/>
        <c:crosses val="autoZero"/>
        <c:auto val="1"/>
        <c:lblAlgn val="ctr"/>
        <c:lblOffset val="100"/>
        <c:noMultiLvlLbl val="0"/>
      </c:catAx>
      <c:valAx>
        <c:axId val="40193416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Denúncias DEZEMBRO/2023</a:t>
            </a:r>
            <a:endParaRPr lang="pt-BR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" lastClr="FFFFFF">
                    <a:lumMod val="95000"/>
                  </a:sysClr>
                </a:solidFill>
              </a:defRPr>
            </a:pPr>
            <a:endParaRPr lang="pt-BR"/>
          </a:p>
        </c:rich>
      </c:tx>
      <c:layout>
        <c:manualLayout>
          <c:xMode val="edge"/>
          <c:yMode val="edge"/>
          <c:x val="0.20108176100628933"/>
          <c:y val="2.5659295736516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Denúncia_Unidades_2023!$A$76:$D$76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TOTAL</c:v>
                </c:pt>
              </c:strCache>
            </c:strRef>
          </c:cat>
          <c:val>
            <c:numRef>
              <c:f>Denúncia_Unidades_2023!$A$77:$D$77</c:f>
              <c:numCache>
                <c:formatCode>General</c:formatCode>
                <c:ptCount val="4"/>
                <c:pt idx="0">
                  <c:v>161</c:v>
                </c:pt>
                <c:pt idx="1">
                  <c:v>72</c:v>
                </c:pt>
                <c:pt idx="2">
                  <c:v>2</c:v>
                </c:pt>
                <c:pt idx="3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7-48CB-9C35-B5A07FCB6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9658240"/>
        <c:axId val="559649088"/>
      </c:barChart>
      <c:catAx>
        <c:axId val="55965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49088"/>
        <c:crosses val="autoZero"/>
        <c:auto val="1"/>
        <c:lblAlgn val="ctr"/>
        <c:lblOffset val="100"/>
        <c:noMultiLvlLbl val="0"/>
      </c:catAx>
      <c:valAx>
        <c:axId val="5596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5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- Linha do Tempo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</c:marker>
          <c:trendline>
            <c:spPr>
              <a:ln w="12701" cap="rnd">
                <a:solidFill>
                  <a:srgbClr val="FF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Protocolos!$A$5:$A$16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Protocolos!$B$5:$B$16</c:f>
              <c:numCache>
                <c:formatCode>#,##0</c:formatCode>
                <c:ptCount val="12"/>
                <c:pt idx="0">
                  <c:v>4396</c:v>
                </c:pt>
                <c:pt idx="1">
                  <c:v>4747</c:v>
                </c:pt>
                <c:pt idx="2">
                  <c:v>5681</c:v>
                </c:pt>
                <c:pt idx="3">
                  <c:v>4816</c:v>
                </c:pt>
                <c:pt idx="4">
                  <c:v>5527</c:v>
                </c:pt>
                <c:pt idx="5">
                  <c:v>4921</c:v>
                </c:pt>
                <c:pt idx="6">
                  <c:v>4897</c:v>
                </c:pt>
                <c:pt idx="7">
                  <c:v>5084</c:v>
                </c:pt>
                <c:pt idx="8">
                  <c:v>4819</c:v>
                </c:pt>
                <c:pt idx="9">
                  <c:v>5435</c:v>
                </c:pt>
                <c:pt idx="10">
                  <c:v>5247</c:v>
                </c:pt>
                <c:pt idx="11">
                  <c:v>4354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A-4F3D-AAEB-D8C37D97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6495"/>
        <c:axId val="1812051071"/>
      </c:lineChart>
      <c:valAx>
        <c:axId val="181205107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A6A6A6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6495"/>
        <c:crosses val="autoZero"/>
        <c:crossBetween val="between"/>
      </c:valAx>
      <c:dateAx>
        <c:axId val="181204649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7F7F7F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071"/>
        <c:crosses val="autoZero"/>
        <c:auto val="1"/>
        <c:lblOffset val="100"/>
        <c:baseTimeUnit val="months"/>
        <c:majorUnit val="1"/>
      </c:date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Protocolos e-SIC 2023</a:t>
            </a:r>
          </a:p>
        </c:rich>
      </c:tx>
      <c:layout>
        <c:manualLayout>
          <c:xMode val="edge"/>
          <c:yMode val="edge"/>
          <c:x val="0.158943401305606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6106736657919"/>
          <c:y val="0.20738711071039484"/>
          <c:w val="0.58440608385490278"/>
          <c:h val="0.63228702108590529"/>
        </c:manualLayout>
      </c:layout>
      <c:lineChart>
        <c:grouping val="standard"/>
        <c:varyColors val="0"/>
        <c:ser>
          <c:idx val="0"/>
          <c:order val="0"/>
          <c:tx>
            <c:strRef>
              <c:f>'e-SIC_2023'!$B$5:$B$5</c:f>
              <c:strCache>
                <c:ptCount val="1"/>
                <c:pt idx="0">
                  <c:v>Protocolos*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'e-SIC_2023'!$A$6:$A$17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'e-SIC_2023'!$B$6:$B$17</c:f>
              <c:numCache>
                <c:formatCode>#,##0</c:formatCode>
                <c:ptCount val="12"/>
                <c:pt idx="0">
                  <c:v>728</c:v>
                </c:pt>
                <c:pt idx="1">
                  <c:v>532</c:v>
                </c:pt>
                <c:pt idx="2">
                  <c:v>728</c:v>
                </c:pt>
                <c:pt idx="3">
                  <c:v>799</c:v>
                </c:pt>
                <c:pt idx="4">
                  <c:v>736</c:v>
                </c:pt>
                <c:pt idx="5">
                  <c:v>662</c:v>
                </c:pt>
                <c:pt idx="6">
                  <c:v>706</c:v>
                </c:pt>
                <c:pt idx="7">
                  <c:v>636</c:v>
                </c:pt>
                <c:pt idx="8">
                  <c:v>666</c:v>
                </c:pt>
                <c:pt idx="9">
                  <c:v>723</c:v>
                </c:pt>
                <c:pt idx="10">
                  <c:v>637</c:v>
                </c:pt>
                <c:pt idx="11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1535"/>
        <c:axId val="1825391119"/>
      </c:lineChart>
      <c:lineChart>
        <c:grouping val="standard"/>
        <c:varyColors val="0"/>
        <c:ser>
          <c:idx val="1"/>
          <c:order val="1"/>
          <c:tx>
            <c:strRef>
              <c:f>'e-SIC_2023'!$C$5:$C$5</c:f>
              <c:strCache>
                <c:ptCount val="1"/>
                <c:pt idx="0">
                  <c:v>Variação**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F3E-43D0-B58F-CB4F7AEDFC46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F3E-43D0-B58F-CB4F7AEDFC4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F3E-43D0-B58F-CB4F7AEDFC4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F3E-43D0-B58F-CB4F7AEDFC4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F3E-43D0-B58F-CB4F7AEDFC4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F3E-43D0-B58F-CB4F7AEDFC46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3F3E-43D0-B58F-CB4F7AEDFC4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F3E-43D0-B58F-CB4F7AEDFC46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F3E-43D0-B58F-CB4F7AEDFC4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F3E-43D0-B58F-CB4F7AEDFC46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F3E-43D0-B58F-CB4F7AEDFC46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F3E-43D0-B58F-CB4F7AEDFC46}"/>
              </c:ext>
            </c:extLst>
          </c:dPt>
          <c:cat>
            <c:numRef>
              <c:f>'e-SIC_2023'!$A$6:$A$17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'e-SIC_2023'!$C$6:$C$17</c:f>
              <c:numCache>
                <c:formatCode>0.00</c:formatCode>
                <c:ptCount val="12"/>
                <c:pt idx="0">
                  <c:v>0</c:v>
                </c:pt>
                <c:pt idx="1">
                  <c:v>-26.923076923076923</c:v>
                </c:pt>
                <c:pt idx="2">
                  <c:v>36.84210526315789</c:v>
                </c:pt>
                <c:pt idx="3">
                  <c:v>9.7527472527472536</c:v>
                </c:pt>
                <c:pt idx="4">
                  <c:v>-7.8848560700876096</c:v>
                </c:pt>
                <c:pt idx="5">
                  <c:v>-10.054347826086957</c:v>
                </c:pt>
                <c:pt idx="6">
                  <c:v>6.6465256797583088</c:v>
                </c:pt>
                <c:pt idx="7">
                  <c:v>-9.9150141643059495</c:v>
                </c:pt>
                <c:pt idx="8">
                  <c:v>4.716981132075472</c:v>
                </c:pt>
                <c:pt idx="9">
                  <c:v>8.5585585585585591</c:v>
                </c:pt>
                <c:pt idx="10">
                  <c:v>-11.89488243430152</c:v>
                </c:pt>
                <c:pt idx="11">
                  <c:v>-30.76923076923077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4863"/>
        <c:axId val="1825393615"/>
      </c:lineChart>
      <c:valAx>
        <c:axId val="18253911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Calibri"/>
                    <a:cs typeface="Calibri"/>
                  </a:rPr>
                  <a:t>Protocolos</a:t>
                </a:r>
              </a:p>
            </c:rich>
          </c:tx>
          <c:layout>
            <c:manualLayout>
              <c:xMode val="edge"/>
              <c:yMode val="edge"/>
              <c:x val="1.8260537945577273E-4"/>
              <c:y val="0.38378668834827967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535"/>
        <c:crosses val="autoZero"/>
        <c:crossBetween val="between"/>
      </c:valAx>
      <c:dateAx>
        <c:axId val="182539153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119"/>
        <c:crosses val="autoZero"/>
        <c:auto val="1"/>
        <c:lblOffset val="100"/>
        <c:baseTimeUnit val="months"/>
        <c:majorUnit val="1"/>
      </c:dateAx>
      <c:valAx>
        <c:axId val="1825393615"/>
        <c:scaling>
          <c:orientation val="minMax"/>
          <c:max val="100"/>
          <c:min val="-1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4863"/>
        <c:crosses val="max"/>
        <c:crossBetween val="between"/>
      </c:valAx>
      <c:dateAx>
        <c:axId val="18253948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5393615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8991452991452993"/>
          <c:y val="0.31004740169481521"/>
          <c:w val="0.21008547008547007"/>
          <c:h val="0.287467195826826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órgãos + demandados - MÉDIA 2023</a:t>
            </a:r>
          </a:p>
        </c:rich>
      </c:tx>
      <c:layout>
        <c:manualLayout>
          <c:xMode val="edge"/>
          <c:yMode val="edge"/>
          <c:x val="0.16432979094396416"/>
          <c:y val="1.049868766404199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25516491382633116"/>
          <c:y val="0.14752199282176343"/>
          <c:w val="0.56175797955325513"/>
          <c:h val="0.84337418452614688"/>
        </c:manualLayout>
      </c:layout>
      <c:pieChart>
        <c:varyColors val="1"/>
        <c:ser>
          <c:idx val="0"/>
          <c:order val="0"/>
          <c:tx>
            <c:strRef>
              <c:f>'e-SIC_2023'!$P$104:$P$104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8CF-4FF2-BF6A-4B678D8B909E}"/>
              </c:ext>
            </c:extLst>
          </c:dPt>
          <c:dPt>
            <c:idx val="1"/>
            <c:bubble3D val="0"/>
            <c:spPr>
              <a:solidFill>
                <a:srgbClr val="E2F0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CF-4FF2-BF6A-4B678D8B909E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8CF-4FF2-BF6A-4B678D8B909E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CF-4FF2-BF6A-4B678D8B909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8CF-4FF2-BF6A-4B678D8B909E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CF-4FF2-BF6A-4B678D8B909E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8CF-4FF2-BF6A-4B678D8B909E}"/>
              </c:ext>
            </c:extLst>
          </c:dPt>
          <c:dPt>
            <c:idx val="7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8CF-4FF2-BF6A-4B678D8B909E}"/>
              </c:ext>
            </c:extLst>
          </c:dPt>
          <c:dPt>
            <c:idx val="8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8CF-4FF2-BF6A-4B678D8B909E}"/>
              </c:ext>
            </c:extLst>
          </c:dPt>
          <c:dPt>
            <c:idx val="9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F8CF-4FF2-BF6A-4B678D8B909E}"/>
              </c:ext>
            </c:extLst>
          </c:dPt>
          <c:dLbls>
            <c:dLbl>
              <c:idx val="0"/>
              <c:layout>
                <c:manualLayout>
                  <c:x val="-7.3808158987574424E-2"/>
                  <c:y val="0.1185354192930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CF-4FF2-BF6A-4B678D8B909E}"/>
                </c:ext>
              </c:extLst>
            </c:dLbl>
            <c:dLbl>
              <c:idx val="6"/>
              <c:layout>
                <c:manualLayout>
                  <c:x val="6.5577524079462823E-2"/>
                  <c:y val="8.04538409076818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CF-4FF2-BF6A-4B678D8B909E}"/>
                </c:ext>
              </c:extLst>
            </c:dLbl>
            <c:dLbl>
              <c:idx val="7"/>
              <c:layout>
                <c:manualLayout>
                  <c:x val="4.7931262985720979E-2"/>
                  <c:y val="0.10210097753528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CF-4FF2-BF6A-4B678D8B909E}"/>
                </c:ext>
              </c:extLst>
            </c:dLbl>
            <c:dLbl>
              <c:idx val="8"/>
              <c:layout>
                <c:manualLayout>
                  <c:x val="4.3903521549342961E-2"/>
                  <c:y val="0.10488712532980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CF-4FF2-BF6A-4B678D8B909E}"/>
                </c:ext>
              </c:extLst>
            </c:dLbl>
            <c:dLbl>
              <c:idx val="9"/>
              <c:layout>
                <c:manualLayout>
                  <c:x val="9.7950155438487063E-3"/>
                  <c:y val="0.10144515400141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CF-4FF2-BF6A-4B678D8B90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'e-SIC_2023'!$A$105:$A$114</c:f>
              <c:strCache>
                <c:ptCount val="10"/>
                <c:pt idx="0">
                  <c:v>SMS</c:v>
                </c:pt>
                <c:pt idx="1">
                  <c:v>CET</c:v>
                </c:pt>
                <c:pt idx="2">
                  <c:v>SPTrans</c:v>
                </c:pt>
                <c:pt idx="3">
                  <c:v>SME</c:v>
                </c:pt>
                <c:pt idx="4">
                  <c:v>SF</c:v>
                </c:pt>
                <c:pt idx="5">
                  <c:v>SMSUB</c:v>
                </c:pt>
                <c:pt idx="6">
                  <c:v>SMT</c:v>
                </c:pt>
                <c:pt idx="7">
                  <c:v>SMUL</c:v>
                </c:pt>
                <c:pt idx="8">
                  <c:v>SMC</c:v>
                </c:pt>
                <c:pt idx="9">
                  <c:v>SEGES</c:v>
                </c:pt>
              </c:strCache>
            </c:strRef>
          </c:cat>
          <c:val>
            <c:numRef>
              <c:f>'e-SIC_2023'!$N$105:$N$114</c:f>
              <c:numCache>
                <c:formatCode>General</c:formatCode>
                <c:ptCount val="10"/>
                <c:pt idx="0">
                  <c:v>1271</c:v>
                </c:pt>
                <c:pt idx="1">
                  <c:v>678</c:v>
                </c:pt>
                <c:pt idx="2">
                  <c:v>552</c:v>
                </c:pt>
                <c:pt idx="3">
                  <c:v>514</c:v>
                </c:pt>
                <c:pt idx="4">
                  <c:v>474</c:v>
                </c:pt>
                <c:pt idx="5">
                  <c:v>363</c:v>
                </c:pt>
                <c:pt idx="6">
                  <c:v>231</c:v>
                </c:pt>
                <c:pt idx="7">
                  <c:v>227</c:v>
                </c:pt>
                <c:pt idx="8">
                  <c:v>226</c:v>
                </c:pt>
                <c:pt idx="9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4B-4683-AFFC-A824F94A5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FF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Instância de decisões - DEZEMBRO_23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'e-SIC_2023'!$T$22</c:f>
              <c:strCache>
                <c:ptCount val="1"/>
                <c:pt idx="0">
                  <c:v>dez/23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Total (decisões iniciais)</c:v>
              </c:pt>
              <c:pt idx="1">
                <c:v>Total (decisões 1ª instância)</c:v>
              </c:pt>
              <c:pt idx="2">
                <c:v>Total (decisões 2ª instância)</c:v>
              </c:pt>
              <c:pt idx="3">
                <c:v>Recurso de Ofício (RO)</c:v>
              </c:pt>
              <c:pt idx="4">
                <c:v>Total (decisões 3ª instância)</c:v>
              </c:pt>
            </c:strLit>
          </c:cat>
          <c:val>
            <c:numRef>
              <c:f>('e-SIC_2023'!$T$27,'e-SIC_2023'!$T$33,'e-SIC_2023'!$T$39,'e-SIC_2023'!$T$42,'e-SIC_2023'!$T$47)</c:f>
              <c:numCache>
                <c:formatCode>General</c:formatCode>
                <c:ptCount val="5"/>
                <c:pt idx="0">
                  <c:v>522</c:v>
                </c:pt>
                <c:pt idx="1">
                  <c:v>42</c:v>
                </c:pt>
                <c:pt idx="2">
                  <c:v>78</c:v>
                </c:pt>
                <c:pt idx="3">
                  <c:v>52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B-422C-8FB5-DB7147EC2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8655"/>
        <c:axId val="1820268239"/>
      </c:areaChart>
      <c:valAx>
        <c:axId val="1820268239"/>
        <c:scaling>
          <c:orientation val="minMax"/>
          <c:max val="60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655"/>
        <c:crosses val="autoZero"/>
        <c:crossBetween val="midCat"/>
        <c:majorUnit val="50"/>
      </c:valAx>
      <c:catAx>
        <c:axId val="182026865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23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600">
                <a:solidFill>
                  <a:srgbClr val="002060"/>
                </a:solidFill>
              </a:rPr>
              <a:t>Canal de Entrada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24D-40B2-A46E-4CD81EDF1B8F}"/>
              </c:ext>
            </c:extLst>
          </c:dPt>
          <c:dLbls>
            <c:dLbl>
              <c:idx val="0"/>
              <c:layout>
                <c:manualLayout>
                  <c:x val="-5.556649168853893E-3"/>
                  <c:y val="-0.368023840769903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4D-40B2-A46E-4CD81EDF1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Alteração_de_Processo_Dados!$D$20</c:f>
              <c:strCache>
                <c:ptCount val="1"/>
                <c:pt idx="0">
                  <c:v>PORTAL</c:v>
                </c:pt>
              </c:strCache>
            </c:strRef>
          </c:cat>
          <c:val>
            <c:numRef>
              <c:f>Alteração_de_Processo_Dados!$E$20</c:f>
              <c:numCache>
                <c:formatCode>General</c:formatCode>
                <c:ptCount val="1"/>
                <c:pt idx="0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D-40B2-A46E-4CD81EDF1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88759711"/>
        <c:axId val="888746399"/>
        <c:axId val="0"/>
      </c:bar3DChart>
      <c:valAx>
        <c:axId val="888746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59711"/>
        <c:crosses val="autoZero"/>
        <c:crossBetween val="between"/>
      </c:valAx>
      <c:catAx>
        <c:axId val="888759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46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rgbClr val="002060"/>
                </a:solidFill>
              </a:rPr>
              <a:t>Status Atual - 2023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Alteração_de_Processo_Dados!$D$17:$D$19</c:f>
              <c:strCache>
                <c:ptCount val="3"/>
                <c:pt idx="0">
                  <c:v>CANCELADA</c:v>
                </c:pt>
                <c:pt idx="1">
                  <c:v>EM ANDAMENTO</c:v>
                </c:pt>
                <c:pt idx="2">
                  <c:v>FINALIZADA</c:v>
                </c:pt>
              </c:strCache>
            </c:strRef>
          </c:cat>
          <c:val>
            <c:numRef>
              <c:f>Alteração_de_Processo_Dados!$E$17:$E$19</c:f>
              <c:numCache>
                <c:formatCode>General</c:formatCode>
                <c:ptCount val="3"/>
                <c:pt idx="0">
                  <c:v>9</c:v>
                </c:pt>
                <c:pt idx="1">
                  <c:v>8</c:v>
                </c:pt>
                <c:pt idx="2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8B9-B89E-2807E695ED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45780736"/>
        <c:axId val="1045781984"/>
      </c:barChart>
      <c:catAx>
        <c:axId val="10457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1984"/>
        <c:crosses val="autoZero"/>
        <c:auto val="1"/>
        <c:lblAlgn val="ctr"/>
        <c:lblOffset val="100"/>
        <c:noMultiLvlLbl val="0"/>
      </c:catAx>
      <c:valAx>
        <c:axId val="10457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pt-BR" b="1">
                <a:solidFill>
                  <a:srgbClr val="002060"/>
                </a:solidFill>
              </a:rPr>
              <a:t>Quantidade Mensal - 2023 </a:t>
            </a:r>
          </a:p>
        </cx:rich>
      </cx:tx>
    </cx:title>
    <cx:plotArea>
      <cx:plotAreaRegion>
        <cx:series layoutId="treemap" uniqueId="{B800DED6-DF96-47A0-96BD-EA66E2948B05}">
          <cx:dataLabels pos="inEnd">
            <cx:spPr>
              <a:noFill/>
            </cx:spPr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 b="1">
                  <a:solidFill>
                    <a:schemeClr val="bg1"/>
                  </a:solidFill>
                </a:endParaRPr>
              </a:p>
            </cx:txPr>
            <cx:visibility seriesName="0" categoryName="1" value="1"/>
            <cx:separator>
</cx:separator>
            <cx:dataLabel idx="0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Janeiro
28</a:t>
                  </a:r>
                </a:p>
              </cx:txPr>
              <cx:visibility seriesName="0" categoryName="1" value="1"/>
              <cx:separator>
</cx:separator>
            </cx:dataLabel>
            <cx:dataLabel idx="1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Fevereiro
38</a:t>
                  </a:r>
                </a:p>
              </cx:txPr>
              <cx:visibility seriesName="0" categoryName="1" value="1"/>
              <cx:separator>
</cx:separator>
            </cx:dataLabel>
            <cx:dataLabel idx="2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Março
17</a:t>
                  </a:r>
                </a:p>
              </cx:txPr>
              <cx:visibility seriesName="0" categoryName="1" value="1"/>
              <cx:separator>
</cx:separator>
            </cx:dataLabel>
            <cx:dataLabel idx="3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Abril
16</a:t>
                  </a:r>
                </a:p>
              </cx:txPr>
              <cx:visibility seriesName="0" categoryName="1" value="1"/>
              <cx:separator>
</cx:separator>
            </cx:dataLabel>
            <cx:dataLabel idx="4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Maio
17</a:t>
                  </a:r>
                </a:p>
              </cx:txPr>
              <cx:visibility seriesName="0" categoryName="1" value="1"/>
              <cx:separator>
</cx:separator>
            </cx:dataLabel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wrap="square" lIns="0" tIns="0" rIns="0" bIns="0" anchor="ctr" anchorCtr="1"/>
        <a:lstStyle/>
        <a:p>
          <a:pPr>
            <a:defRPr b="1">
              <a:solidFill>
                <a:srgbClr val="002060"/>
              </a:solidFill>
            </a:defRPr>
          </a:pPr>
          <a:endParaRPr lang="pt-BR" b="1">
            <a:solidFill>
              <a:srgbClr val="002060"/>
            </a:solidFill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Canais de entrada - DEZEMBRO/2023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8.9974699108557373E-3"/>
          <c:y val="0.19418899991761121"/>
          <c:w val="0.65403475916861742"/>
          <c:h val="0.771175688240763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Canais_atendimento!$B$4</c:f>
              <c:numCache>
                <c:formatCode>mmm\-yy</c:formatCode>
                <c:ptCount val="1"/>
                <c:pt idx="0">
                  <c:v>45261</c:v>
                </c:pt>
              </c:numCache>
            </c:numRef>
          </c:cat>
          <c:val>
            <c:numRef>
              <c:f>Canais_atendimento!$B$5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A3C-873A-128399ECBA6B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Canais_atendimento!$B$4</c:f>
              <c:numCache>
                <c:formatCode>mmm\-yy</c:formatCode>
                <c:ptCount val="1"/>
                <c:pt idx="0">
                  <c:v>45261</c:v>
                </c:pt>
              </c:numCache>
            </c:numRef>
          </c:cat>
          <c:val>
            <c:numRef>
              <c:f>Canais_atendimento!$B$6</c:f>
              <c:numCache>
                <c:formatCode>General</c:formatCode>
                <c:ptCount val="1"/>
                <c:pt idx="0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C-4A3C-873A-128399ECBA6B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Canais_atendimento!$B$4</c:f>
              <c:numCache>
                <c:formatCode>mmm\-yy</c:formatCode>
                <c:ptCount val="1"/>
                <c:pt idx="0">
                  <c:v>45261</c:v>
                </c:pt>
              </c:numCache>
            </c:numRef>
          </c:cat>
          <c:val>
            <c:numRef>
              <c:f>Canais_atendimento!$B$7</c:f>
              <c:numCache>
                <c:formatCode>General</c:formatCode>
                <c:ptCount val="1"/>
                <c:pt idx="0">
                  <c:v>1012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A3C-873A-128399ECBA6B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888888"/>
            </a:solidFill>
            <a:ln>
              <a:noFill/>
            </a:ln>
          </c:spPr>
          <c:invertIfNegative val="0"/>
          <c:cat>
            <c:numRef>
              <c:f>Canais_atendimento!$B$4</c:f>
              <c:numCache>
                <c:formatCode>mmm\-yy</c:formatCode>
                <c:ptCount val="1"/>
                <c:pt idx="0">
                  <c:v>45261</c:v>
                </c:pt>
              </c:numCache>
            </c:numRef>
          </c:cat>
          <c:val>
            <c:numRef>
              <c:f>Canais_atendimento!$B$8</c:f>
              <c:numCache>
                <c:formatCode>General</c:formatCode>
                <c:ptCount val="1"/>
                <c:pt idx="0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A3C-873A-128399ECBA6B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Canais_atendimento!$B$4</c:f>
              <c:numCache>
                <c:formatCode>mmm\-yy</c:formatCode>
                <c:ptCount val="1"/>
                <c:pt idx="0">
                  <c:v>45261</c:v>
                </c:pt>
              </c:numCache>
            </c:numRef>
          </c:cat>
          <c:val>
            <c:numRef>
              <c:f>Canais_atendimento!$B$9</c:f>
              <c:numCache>
                <c:formatCode>General</c:formatCode>
                <c:ptCount val="1"/>
                <c:pt idx="0">
                  <c:v>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7C-4A3C-873A-128399ECBA6B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Canais_atendimento!$B$4</c:f>
              <c:numCache>
                <c:formatCode>mmm\-yy</c:formatCode>
                <c:ptCount val="1"/>
                <c:pt idx="0">
                  <c:v>45261</c:v>
                </c:pt>
              </c:numCache>
            </c:numRef>
          </c:cat>
          <c:val>
            <c:numRef>
              <c:f>Canais_atendimento!$B$10</c:f>
              <c:numCache>
                <c:formatCode>General</c:formatCode>
                <c:ptCount val="1"/>
                <c:pt idx="0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7C-4A3C-873A-128399ECB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51903"/>
        <c:axId val="1812053567"/>
      </c:barChart>
      <c:valAx>
        <c:axId val="1812053567"/>
        <c:scaling>
          <c:orientation val="minMax"/>
          <c:max val="1750"/>
          <c:min val="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903"/>
        <c:crosses val="autoZero"/>
        <c:crossBetween val="between"/>
        <c:majorUnit val="250"/>
      </c:valAx>
      <c:dateAx>
        <c:axId val="1812051903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3567"/>
        <c:crosses val="autoZero"/>
        <c:auto val="1"/>
        <c:lblOffset val="100"/>
        <c:baseTimeUnit val="day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489565155706886"/>
          <c:y val="0.17317349905252874"/>
          <c:w val="0.32988125133007024"/>
          <c:h val="0.7471814763428563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canais de entrada - 2023</a:t>
            </a:r>
          </a:p>
        </c:rich>
      </c:tx>
      <c:layout>
        <c:manualLayout>
          <c:xMode val="edge"/>
          <c:yMode val="edge"/>
          <c:x val="0.1093049999766072"/>
          <c:y val="2.9535526809148858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3812698546371546E-3"/>
          <c:y val="0.15074732845894262"/>
          <c:w val="0.7087873641463267"/>
          <c:h val="0.79724339145106859"/>
        </c:manualLayout>
      </c:layout>
      <c:lineChart>
        <c:grouping val="standar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spPr>
            <a:ln w="19046" cap="rnd">
              <a:solidFill>
                <a:srgbClr val="6600FF"/>
              </a:solidFill>
              <a:prstDash val="solid"/>
              <a:round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Canais_atendimento!$B$5:$M$5</c:f>
              <c:numCache>
                <c:formatCode>General</c:formatCode>
                <c:ptCount val="12"/>
                <c:pt idx="0">
                  <c:v>12</c:v>
                </c:pt>
                <c:pt idx="1">
                  <c:v>10</c:v>
                </c:pt>
                <c:pt idx="2">
                  <c:v>8</c:v>
                </c:pt>
                <c:pt idx="3">
                  <c:v>12</c:v>
                </c:pt>
                <c:pt idx="4">
                  <c:v>20</c:v>
                </c:pt>
                <c:pt idx="5" formatCode="0">
                  <c:v>10</c:v>
                </c:pt>
                <c:pt idx="6" formatCode="0">
                  <c:v>13</c:v>
                </c:pt>
                <c:pt idx="7" formatCode="0">
                  <c:v>8</c:v>
                </c:pt>
                <c:pt idx="8" formatCode="0">
                  <c:v>19</c:v>
                </c:pt>
                <c:pt idx="9" formatCode="0">
                  <c:v>9</c:v>
                </c:pt>
                <c:pt idx="10" formatCode="0">
                  <c:v>12</c:v>
                </c:pt>
                <c:pt idx="11" formatCode="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5-46E7-846B-02D1E1296D89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spPr>
            <a:ln w="19046" cap="rnd">
              <a:solidFill>
                <a:srgbClr val="92D050"/>
              </a:solidFill>
              <a:prstDash val="solid"/>
              <a:round/>
            </a:ln>
          </c:spPr>
          <c:marker>
            <c:symbol val="diamond"/>
            <c:size val="9"/>
          </c:marker>
          <c:trendline>
            <c:spPr>
              <a:ln w="6345" cap="rnd">
                <a:solidFill>
                  <a:srgbClr val="385723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Canais_atendimento!$B$6:$M$6</c:f>
              <c:numCache>
                <c:formatCode>General</c:formatCode>
                <c:ptCount val="12"/>
                <c:pt idx="0">
                  <c:v>1400</c:v>
                </c:pt>
                <c:pt idx="1">
                  <c:v>1552</c:v>
                </c:pt>
                <c:pt idx="2">
                  <c:v>1944</c:v>
                </c:pt>
                <c:pt idx="3">
                  <c:v>1612</c:v>
                </c:pt>
                <c:pt idx="4">
                  <c:v>1818</c:v>
                </c:pt>
                <c:pt idx="5" formatCode="0">
                  <c:v>1633</c:v>
                </c:pt>
                <c:pt idx="6" formatCode="0">
                  <c:v>1974</c:v>
                </c:pt>
                <c:pt idx="7" formatCode="0">
                  <c:v>1982</c:v>
                </c:pt>
                <c:pt idx="8" formatCode="0">
                  <c:v>1875</c:v>
                </c:pt>
                <c:pt idx="9" formatCode="0">
                  <c:v>1921</c:v>
                </c:pt>
                <c:pt idx="10" formatCode="0">
                  <c:v>1612</c:v>
                </c:pt>
                <c:pt idx="11" formatCode="0">
                  <c:v>1490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5-46E7-846B-02D1E1296D89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E-mail</c:v>
                </c:pt>
              </c:strCache>
            </c:strRef>
          </c:tx>
          <c:spPr>
            <a:ln w="19046" cap="rnd">
              <a:solidFill>
                <a:srgbClr val="00B0F0"/>
              </a:solidFill>
              <a:prstDash val="solid"/>
              <a:round/>
            </a:ln>
          </c:spPr>
          <c:marker>
            <c:symbol val="circle"/>
            <c:size val="7"/>
          </c:marker>
          <c:trendline>
            <c:spPr>
              <a:ln w="6345" cap="rnd">
                <a:solidFill>
                  <a:srgbClr val="2F5597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Canais_atendimento!$B$7:$M$7</c:f>
              <c:numCache>
                <c:formatCode>General</c:formatCode>
                <c:ptCount val="12"/>
                <c:pt idx="0">
                  <c:v>1012</c:v>
                </c:pt>
                <c:pt idx="1">
                  <c:v>1192</c:v>
                </c:pt>
                <c:pt idx="2">
                  <c:v>1131</c:v>
                </c:pt>
                <c:pt idx="3">
                  <c:v>797</c:v>
                </c:pt>
                <c:pt idx="4">
                  <c:v>812</c:v>
                </c:pt>
                <c:pt idx="5" formatCode="0">
                  <c:v>845</c:v>
                </c:pt>
                <c:pt idx="6" formatCode="0">
                  <c:v>815</c:v>
                </c:pt>
                <c:pt idx="7" formatCode="0">
                  <c:v>956</c:v>
                </c:pt>
                <c:pt idx="8" formatCode="0">
                  <c:v>778</c:v>
                </c:pt>
                <c:pt idx="9" formatCode="0">
                  <c:v>895</c:v>
                </c:pt>
                <c:pt idx="10" formatCode="0">
                  <c:v>799</c:v>
                </c:pt>
                <c:pt idx="11" formatCode="0">
                  <c:v>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25-46E7-846B-02D1E1296D89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ln w="19046" cap="rnd">
              <a:solidFill>
                <a:srgbClr val="FF0000"/>
              </a:solidFill>
              <a:prstDash val="solid"/>
              <a:round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Canais_atendimento!$B$8:$M$8</c:f>
              <c:numCache>
                <c:formatCode>General</c:formatCode>
                <c:ptCount val="12"/>
                <c:pt idx="0">
                  <c:v>145</c:v>
                </c:pt>
                <c:pt idx="1">
                  <c:v>71</c:v>
                </c:pt>
                <c:pt idx="2">
                  <c:v>94</c:v>
                </c:pt>
                <c:pt idx="3">
                  <c:v>46</c:v>
                </c:pt>
                <c:pt idx="4">
                  <c:v>93</c:v>
                </c:pt>
                <c:pt idx="5" formatCode="0">
                  <c:v>134</c:v>
                </c:pt>
                <c:pt idx="6" formatCode="0">
                  <c:v>22</c:v>
                </c:pt>
                <c:pt idx="7" formatCode="0">
                  <c:v>32</c:v>
                </c:pt>
                <c:pt idx="8" formatCode="0">
                  <c:v>57</c:v>
                </c:pt>
                <c:pt idx="9" formatCode="0">
                  <c:v>28</c:v>
                </c:pt>
                <c:pt idx="10" formatCode="0">
                  <c:v>13</c:v>
                </c:pt>
                <c:pt idx="11" formatCode="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25-46E7-846B-02D1E1296D89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Portal</c:v>
                </c:pt>
              </c:strCache>
            </c:strRef>
          </c:tx>
          <c:spPr>
            <a:ln w="19046" cap="rnd">
              <a:solidFill>
                <a:srgbClr val="FF00FF"/>
              </a:solidFill>
              <a:prstDash val="solid"/>
              <a:round/>
            </a:ln>
          </c:spPr>
          <c:marker>
            <c:symbol val="dash"/>
            <c:size val="9"/>
          </c:marker>
          <c:trendline>
            <c:spPr>
              <a:ln w="6345" cap="rnd">
                <a:solidFill>
                  <a:srgbClr val="9900FF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Canais_atendimento!$B$9:$M$9</c:f>
              <c:numCache>
                <c:formatCode>General</c:formatCode>
                <c:ptCount val="12"/>
                <c:pt idx="0">
                  <c:v>1625</c:v>
                </c:pt>
                <c:pt idx="1">
                  <c:v>2266</c:v>
                </c:pt>
                <c:pt idx="2">
                  <c:v>2112</c:v>
                </c:pt>
                <c:pt idx="3">
                  <c:v>2225</c:v>
                </c:pt>
                <c:pt idx="4">
                  <c:v>2210</c:v>
                </c:pt>
                <c:pt idx="5" formatCode="0">
                  <c:v>2137</c:v>
                </c:pt>
                <c:pt idx="6" formatCode="0">
                  <c:v>2023</c:v>
                </c:pt>
                <c:pt idx="7" formatCode="0">
                  <c:v>2437</c:v>
                </c:pt>
                <c:pt idx="8" formatCode="0">
                  <c:v>2001</c:v>
                </c:pt>
                <c:pt idx="9" formatCode="0">
                  <c:v>2696</c:v>
                </c:pt>
                <c:pt idx="10" formatCode="0">
                  <c:v>2195</c:v>
                </c:pt>
                <c:pt idx="11" formatCode="0">
                  <c:v>1997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25-46E7-846B-02D1E1296D89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Presencial</c:v>
                </c:pt>
              </c:strCache>
            </c:strRef>
          </c:tx>
          <c:spPr>
            <a:ln w="19046" cap="rnd">
              <a:solidFill>
                <a:srgbClr val="FFFF00"/>
              </a:solidFill>
              <a:prstDash val="solid"/>
              <a:round/>
            </a:ln>
          </c:spPr>
          <c:marker>
            <c:symbol val="square"/>
            <c:size val="7"/>
          </c:marker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Canais_atendimento!$B$10:$M$10</c:f>
              <c:numCache>
                <c:formatCode>General</c:formatCode>
                <c:ptCount val="12"/>
                <c:pt idx="0">
                  <c:v>160</c:v>
                </c:pt>
                <c:pt idx="1">
                  <c:v>156</c:v>
                </c:pt>
                <c:pt idx="2">
                  <c:v>146</c:v>
                </c:pt>
                <c:pt idx="3">
                  <c:v>127</c:v>
                </c:pt>
                <c:pt idx="4">
                  <c:v>131</c:v>
                </c:pt>
                <c:pt idx="5" formatCode="0">
                  <c:v>138</c:v>
                </c:pt>
                <c:pt idx="6" formatCode="0">
                  <c:v>74</c:v>
                </c:pt>
                <c:pt idx="7" formatCode="0">
                  <c:v>112</c:v>
                </c:pt>
                <c:pt idx="8" formatCode="0">
                  <c:v>86</c:v>
                </c:pt>
                <c:pt idx="9" formatCode="0">
                  <c:v>132</c:v>
                </c:pt>
                <c:pt idx="10" formatCode="0">
                  <c:v>116</c:v>
                </c:pt>
                <c:pt idx="11" formatCode="0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25-46E7-846B-02D1E129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2052735"/>
        <c:axId val="1812048159"/>
      </c:lineChart>
      <c:valAx>
        <c:axId val="1812048159"/>
        <c:scaling>
          <c:orientation val="minMax"/>
          <c:max val="30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2735"/>
        <c:crosses val="autoZero"/>
        <c:crossBetween val="between"/>
        <c:majorUnit val="250"/>
      </c:valAx>
      <c:dateAx>
        <c:axId val="1812052735"/>
        <c:scaling>
          <c:orientation val="minMax"/>
          <c:min val="44927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8159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1657754010695185"/>
          <c:y val="0.15834962620714318"/>
          <c:w val="0.26203208556149732"/>
          <c:h val="0.6752910513045665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9140623014059756E-2"/>
          <c:y val="0.22033235275342955"/>
          <c:w val="0.60540541545947335"/>
          <c:h val="0.713263502575922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Canais_atendimento!$A$5:$A$5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DEZ/23</c:v>
                </c:pt>
              </c:strCache>
            </c:strRef>
          </c:cat>
          <c:val>
            <c:numRef>
              <c:f>Canais_atendimento!$Q$5:$Q$5</c:f>
              <c:numCache>
                <c:formatCode>0.0</c:formatCode>
                <c:ptCount val="1"/>
                <c:pt idx="0">
                  <c:v>0.27560863573725308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0-4874-BBA0-FA01D7554CDF}"/>
            </c:ext>
          </c:extLst>
        </c:ser>
        <c:ser>
          <c:idx val="1"/>
          <c:order val="1"/>
          <c:tx>
            <c:strRef>
              <c:f>Canais_atendimento!$A$6:$A$6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DEZ/23</c:v>
                </c:pt>
              </c:strCache>
            </c:strRef>
          </c:cat>
          <c:val>
            <c:numRef>
              <c:f>Canais_atendimento!$Q$6:$Q$6</c:f>
              <c:numCache>
                <c:formatCode>0.0</c:formatCode>
                <c:ptCount val="1"/>
                <c:pt idx="0">
                  <c:v>32.154340836012864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0-4874-BBA0-FA01D7554CDF}"/>
            </c:ext>
          </c:extLst>
        </c:ser>
        <c:ser>
          <c:idx val="2"/>
          <c:order val="2"/>
          <c:tx>
            <c:strRef>
              <c:f>Canais_atendimento!$A$7:$A$7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BCB-4800-B171-8ACA39861A4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8BCB-4800-B171-8ACA3986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DEZ/23</c:v>
                </c:pt>
              </c:strCache>
            </c:strRef>
          </c:cat>
          <c:val>
            <c:numRef>
              <c:f>Canais_atendimento!$Q$7:$Q$7</c:f>
              <c:numCache>
                <c:formatCode>0.0</c:formatCode>
                <c:ptCount val="1"/>
                <c:pt idx="0">
                  <c:v>23.24299494717501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0-4874-BBA0-FA01D7554CDF}"/>
            </c:ext>
          </c:extLst>
        </c:ser>
        <c:ser>
          <c:idx val="3"/>
          <c:order val="3"/>
          <c:tx>
            <c:strRef>
              <c:f>Canais_atendimento!$A$8:$A$8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Canais_atendimento!$Q$4:$Q$4</c:f>
              <c:strCache>
                <c:ptCount val="1"/>
                <c:pt idx="0">
                  <c:v>% Canais de entrada DEZ/23</c:v>
                </c:pt>
              </c:strCache>
            </c:strRef>
          </c:cat>
          <c:val>
            <c:numRef>
              <c:f>Canais_atendimento!$Q$8:$Q$8</c:f>
              <c:numCache>
                <c:formatCode>0.0</c:formatCode>
                <c:ptCount val="1"/>
                <c:pt idx="0">
                  <c:v>3.3302710151584751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70-4874-BBA0-FA01D7554CDF}"/>
            </c:ext>
          </c:extLst>
        </c:ser>
        <c:ser>
          <c:idx val="4"/>
          <c:order val="4"/>
          <c:tx>
            <c:strRef>
              <c:f>Canais_atendimento!$A$9:$A$9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CB-4800-B171-8ACA39861A4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8BCB-4800-B171-8ACA3986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DEZ/23</c:v>
                </c:pt>
              </c:strCache>
            </c:strRef>
          </c:cat>
          <c:val>
            <c:numRef>
              <c:f>Canais_atendimento!$Q$9:$Q$9</c:f>
              <c:numCache>
                <c:formatCode>0.0</c:formatCode>
                <c:ptCount val="1"/>
                <c:pt idx="0">
                  <c:v>37.322002756086356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70-4874-BBA0-FA01D7554CDF}"/>
            </c:ext>
          </c:extLst>
        </c:ser>
        <c:ser>
          <c:idx val="5"/>
          <c:order val="5"/>
          <c:tx>
            <c:strRef>
              <c:f>Canais_atendimento!$A$10:$A$10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DEZ/23</c:v>
                </c:pt>
              </c:strCache>
            </c:strRef>
          </c:cat>
          <c:val>
            <c:numRef>
              <c:f>Canais_atendimento!$Q$10:$Q$10</c:f>
              <c:numCache>
                <c:formatCode>0.0</c:formatCode>
                <c:ptCount val="1"/>
                <c:pt idx="0">
                  <c:v>3.6747818098300415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70-4874-BBA0-FA01D7554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2051487"/>
        <c:axId val="1812049823"/>
      </c:barChart>
      <c:valAx>
        <c:axId val="1812049823"/>
        <c:scaling>
          <c:orientation val="minMax"/>
          <c:max val="10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.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487"/>
        <c:crosses val="autoZero"/>
        <c:crossBetween val="between"/>
        <c:majorUnit val="10"/>
      </c:valAx>
      <c:catAx>
        <c:axId val="181205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982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71136769502075248"/>
          <c:y val="0.2129495938594077"/>
          <c:w val="0.28863230497924752"/>
          <c:h val="0.7233116212163477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7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- Média/2023</a:t>
            </a:r>
          </a:p>
        </c:rich>
      </c:tx>
      <c:layout>
        <c:manualLayout>
          <c:xMode val="edge"/>
          <c:yMode val="edge"/>
          <c:x val="0.11865925175194685"/>
          <c:y val="3.325135539159967E-3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5743007371603305E-2"/>
          <c:y val="0.11856738380143428"/>
          <c:w val="0.9182334138925704"/>
          <c:h val="0.871448942897885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BFBFBF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AA92-48C6-A1E4-B5FF1EFB694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A92-48C6-A1E4-B5FF1EFB694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AA92-48C6-A1E4-B5FF1EFB69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AA92-48C6-A1E4-B5FF1EFB694F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AA92-48C6-A1E4-B5FF1EFB694F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AA92-48C6-A1E4-B5FF1EFB694F}"/>
              </c:ext>
            </c:extLst>
          </c:dPt>
          <c:dPt>
            <c:idx val="7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AA92-48C6-A1E4-B5FF1EFB694F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AA92-48C6-A1E4-B5FF1EFB694F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AA92-48C6-A1E4-B5FF1EFB694F}"/>
              </c:ext>
            </c:extLst>
          </c:dPt>
          <c:cat>
            <c:strRef>
              <c:f>'10_Assuntos_+_demadados_2023'!$A$7:$A$16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Estabelecimentos comerciais, indústrias e serviços</c:v>
                </c:pt>
                <c:pt idx="5">
                  <c:v>Poluição sonora - PSIU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Processo Administrativo</c:v>
                </c:pt>
              </c:strCache>
            </c:strRef>
          </c:cat>
          <c:val>
            <c:numRef>
              <c:f>'10_Assuntos_+_demadados_2023'!$O$7:$O$16</c:f>
              <c:numCache>
                <c:formatCode>0</c:formatCode>
                <c:ptCount val="10"/>
                <c:pt idx="0">
                  <c:v>590.16666666666663</c:v>
                </c:pt>
                <c:pt idx="1">
                  <c:v>388.25</c:v>
                </c:pt>
                <c:pt idx="2">
                  <c:v>308.25</c:v>
                </c:pt>
                <c:pt idx="3">
                  <c:v>269.33333333333331</c:v>
                </c:pt>
                <c:pt idx="4">
                  <c:v>198.83333333333334</c:v>
                </c:pt>
                <c:pt idx="5">
                  <c:v>198.66666666666666</c:v>
                </c:pt>
                <c:pt idx="6">
                  <c:v>143.5</c:v>
                </c:pt>
                <c:pt idx="7">
                  <c:v>134.66666666666666</c:v>
                </c:pt>
                <c:pt idx="8">
                  <c:v>128.08333333333334</c:v>
                </c:pt>
                <c:pt idx="9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6C4-40E2-9D44-657DCCF0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2053151"/>
        <c:axId val="1812050655"/>
      </c:barChart>
      <c:valAx>
        <c:axId val="1812050655"/>
        <c:scaling>
          <c:orientation val="minMax"/>
          <c:max val="700"/>
          <c:min val="0"/>
        </c:scaling>
        <c:delete val="0"/>
        <c:axPos val="b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3151"/>
        <c:crosses val="autoZero"/>
        <c:crossBetween val="between"/>
      </c:valAx>
      <c:catAx>
        <c:axId val="181205315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0655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em relação ao todo de DEZ/23 (exetuando-se denúncias)</a:t>
            </a:r>
          </a:p>
        </c:rich>
      </c:tx>
      <c:layout>
        <c:manualLayout>
          <c:xMode val="edge"/>
          <c:yMode val="edge"/>
          <c:x val="9.1135577749750975E-3"/>
          <c:y val="1.7184393401602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078738623950909E-2"/>
          <c:y val="0.11583103666145671"/>
          <c:w val="0.62612779091973203"/>
          <c:h val="0.847992917938596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67-4060-BBB5-085553BE3864}"/>
              </c:ext>
            </c:extLst>
          </c:dPt>
          <c:dPt>
            <c:idx val="1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67-4060-BBB5-085553BE386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67-4060-BBB5-085553BE38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67-4060-BBB5-085553BE38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67-4060-BBB5-085553BE3864}"/>
              </c:ext>
            </c:extLst>
          </c:dPt>
          <c:dPt>
            <c:idx val="5"/>
            <c:bubble3D val="0"/>
            <c:spPr>
              <a:solidFill>
                <a:srgbClr val="99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67-4060-BBB5-085553BE3864}"/>
              </c:ext>
            </c:extLst>
          </c:dPt>
          <c:dPt>
            <c:idx val="6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967-4060-BBB5-085553BE38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967-4060-BBB5-085553BE3864}"/>
              </c:ext>
            </c:extLst>
          </c:dPt>
          <c:dPt>
            <c:idx val="8"/>
            <c:bubble3D val="0"/>
            <c:spPr>
              <a:solidFill>
                <a:srgbClr val="00FF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967-4060-BBB5-085553BE3864}"/>
              </c:ext>
            </c:extLst>
          </c:dPt>
          <c:dPt>
            <c:idx val="9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967-4060-BBB5-085553BE3864}"/>
              </c:ext>
            </c:extLst>
          </c:dPt>
          <c:dPt>
            <c:idx val="1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967-4060-BBB5-085553BE3864}"/>
              </c:ext>
            </c:extLst>
          </c:dPt>
          <c:dPt>
            <c:idx val="1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967-4060-BBB5-085553BE3864}"/>
              </c:ext>
            </c:extLst>
          </c:dPt>
          <c:dLbls>
            <c:dLbl>
              <c:idx val="10"/>
              <c:layout>
                <c:manualLayout>
                  <c:x val="4.1004824678789659E-2"/>
                  <c:y val="-4.277704164758432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967-4060-BBB5-085553BE3864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7-3967-4060-BBB5-085553BE386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('10_Assuntos_+_demadados_2023'!$A$7:$A$16,'10_Assuntos_+_demadados_2023'!$A$18)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Estabelecimentos comerciais, indústrias e serviços</c:v>
                </c:pt>
                <c:pt idx="5">
                  <c:v>Poluição sonora - PSIU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Processo Administrativo</c:v>
                </c:pt>
                <c:pt idx="10">
                  <c:v>Outros</c:v>
                </c:pt>
              </c:strCache>
            </c:strRef>
          </c:cat>
          <c:val>
            <c:numRef>
              <c:f>('10_Assuntos_+_demadados_2023'!$P$7:$P$16,'10_Assuntos_+_demadados_2023'!$P$18)</c:f>
              <c:numCache>
                <c:formatCode>0.00</c:formatCode>
                <c:ptCount val="11"/>
                <c:pt idx="0">
                  <c:v>5.875212430201505</c:v>
                </c:pt>
                <c:pt idx="1">
                  <c:v>7.0648215586307357</c:v>
                </c:pt>
                <c:pt idx="2">
                  <c:v>4.2486040301043939</c:v>
                </c:pt>
                <c:pt idx="3">
                  <c:v>5.2925467346443309</c:v>
                </c:pt>
                <c:pt idx="4">
                  <c:v>4.1272153435299828</c:v>
                </c:pt>
                <c:pt idx="5">
                  <c:v>4.2000485554746296</c:v>
                </c:pt>
                <c:pt idx="6">
                  <c:v>3.2774945375091042</c:v>
                </c:pt>
                <c:pt idx="7">
                  <c:v>3.3017722748239864</c:v>
                </c:pt>
                <c:pt idx="8">
                  <c:v>2.4034959941733431</c:v>
                </c:pt>
                <c:pt idx="9">
                  <c:v>3.8116047584365136</c:v>
                </c:pt>
                <c:pt idx="10">
                  <c:v>56.397183782471473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67-4060-BBB5-085553BE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25071487276213"/>
          <c:y val="1.1477839881413786E-2"/>
          <c:w val="0.30874928512723787"/>
          <c:h val="0.98852216011858618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Média - 10 assuntos mais demandados dos 3 últimos meses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'ASSUNTOS_10+_últimos_3_meses'!$F$6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B33-40D1-93B2-C98B8F79D65F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B33-40D1-93B2-C98B8F79D65F}"/>
              </c:ext>
            </c:extLst>
          </c:dPt>
          <c:dPt>
            <c:idx val="2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7B33-40D1-93B2-C98B8F79D65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B33-40D1-93B2-C98B8F79D65F}"/>
              </c:ext>
            </c:extLst>
          </c:dPt>
          <c:dPt>
            <c:idx val="4"/>
            <c:invertIfNegative val="0"/>
            <c:bubble3D val="0"/>
            <c:spPr>
              <a:solidFill>
                <a:srgbClr val="FF66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B33-40D1-93B2-C98B8F79D65F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B33-40D1-93B2-C98B8F79D65F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7B33-40D1-93B2-C98B8F79D65F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7B33-40D1-93B2-C98B8F79D65F}"/>
              </c:ext>
            </c:extLst>
          </c:dPt>
          <c:dPt>
            <c:idx val="8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7B33-40D1-93B2-C98B8F79D65F}"/>
              </c:ext>
            </c:extLst>
          </c:dPt>
          <c:dPt>
            <c:idx val="9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7B33-40D1-93B2-C98B8F79D65F}"/>
              </c:ext>
            </c:extLst>
          </c:dPt>
          <c:cat>
            <c:strRef>
              <c:f>'ASSUNTOS_10+_últimos_3_meses'!$A$7:$A$16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Estabelecimentos comerciais, indústrias e serviços</c:v>
                </c:pt>
                <c:pt idx="3">
                  <c:v>Árvore</c:v>
                </c:pt>
                <c:pt idx="4">
                  <c:v>Qualidade de atendimento</c:v>
                </c:pt>
                <c:pt idx="5">
                  <c:v>Poluição sonora - PSIU</c:v>
                </c:pt>
                <c:pt idx="6">
                  <c:v>Órgão externo</c:v>
                </c:pt>
                <c:pt idx="7">
                  <c:v>Processo Administrativo</c:v>
                </c:pt>
                <c:pt idx="8">
                  <c:v>Sinalização e Circulação de veículos e Pedestres</c:v>
                </c:pt>
                <c:pt idx="9">
                  <c:v>Veículos abandonados</c:v>
                </c:pt>
              </c:strCache>
            </c:strRef>
          </c:cat>
          <c:val>
            <c:numRef>
              <c:f>'ASSUNTOS_10+_últimos_3_meses'!$F$7:$F$16</c:f>
              <c:numCache>
                <c:formatCode>0</c:formatCode>
                <c:ptCount val="10"/>
                <c:pt idx="0">
                  <c:v>479.66666666666669</c:v>
                </c:pt>
                <c:pt idx="1">
                  <c:v>338.33333333333331</c:v>
                </c:pt>
                <c:pt idx="2">
                  <c:v>312.66666666666669</c:v>
                </c:pt>
                <c:pt idx="3">
                  <c:v>268</c:v>
                </c:pt>
                <c:pt idx="4">
                  <c:v>267.66666666666669</c:v>
                </c:pt>
                <c:pt idx="5">
                  <c:v>199.66666666666666</c:v>
                </c:pt>
                <c:pt idx="6">
                  <c:v>196.66666666666666</c:v>
                </c:pt>
                <c:pt idx="7">
                  <c:v>150</c:v>
                </c:pt>
                <c:pt idx="8">
                  <c:v>135</c:v>
                </c:pt>
                <c:pt idx="9">
                  <c:v>133.33333333333334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46-40A4-9327-278DE3C71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48655"/>
        <c:axId val="1791463743"/>
      </c:barChart>
      <c:valAx>
        <c:axId val="1791463743"/>
        <c:scaling>
          <c:orientation val="minMax"/>
          <c:max val="50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48655"/>
        <c:crosses val="autoZero"/>
        <c:crossBetween val="between"/>
      </c:valAx>
      <c:catAx>
        <c:axId val="181844865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374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28575</xdr:rowOff>
        </xdr:from>
        <xdr:to>
          <xdr:col>16</xdr:col>
          <xdr:colOff>381000</xdr:colOff>
          <xdr:row>51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0</xdr:rowOff>
    </xdr:from>
    <xdr:ext cx="6791321" cy="4133846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8839196" y="0"/>
          <a:ext cx="6791321" cy="4133846"/>
          <a:chOff x="8839196" y="0"/>
          <a:chExt cx="6791321" cy="4133846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GraphicFramePr/>
        </xdr:nvGraphicFramePr>
        <xdr:xfrm>
          <a:off x="8839196" y="0"/>
          <a:ext cx="6791321" cy="41338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>
            <a:off x="15297146" y="123828"/>
            <a:ext cx="295278" cy="32385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5" name="CaixaDeTexto 20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8839196" y="266364"/>
            <a:ext cx="914400" cy="983519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6" name="CaixaDeTexto 21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/>
        </xdr:nvSpPr>
        <xdr:spPr>
          <a:xfrm>
            <a:off x="8848725" y="180978"/>
            <a:ext cx="914400" cy="27622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104771</xdr:colOff>
      <xdr:row>0</xdr:row>
      <xdr:rowOff>0</xdr:rowOff>
    </xdr:from>
    <xdr:ext cx="5348819" cy="3679829"/>
    <xdr:grpSp>
      <xdr:nvGrpSpPr>
        <xdr:cNvPr id="2" name="Gráfico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9396938" y="0"/>
          <a:ext cx="5348819" cy="3679829"/>
          <a:chOff x="9363071" y="0"/>
          <a:chExt cx="5348819" cy="3679829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GraphicFramePr/>
        </xdr:nvGraphicFramePr>
        <xdr:xfrm>
          <a:off x="9363071" y="0"/>
          <a:ext cx="5348819" cy="36798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 txBox="1"/>
        </xdr:nvSpPr>
        <xdr:spPr>
          <a:xfrm>
            <a:off x="9784848" y="86017"/>
            <a:ext cx="4888702" cy="25806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demandadas em 2023</a:t>
            </a:r>
            <a:endParaRPr lang="pt-BR" sz="16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twoCellAnchor editAs="oneCell">
    <xdr:from>
      <xdr:col>0</xdr:col>
      <xdr:colOff>76200</xdr:colOff>
      <xdr:row>17</xdr:row>
      <xdr:rowOff>57150</xdr:rowOff>
    </xdr:from>
    <xdr:to>
      <xdr:col>12</xdr:col>
      <xdr:colOff>142875</xdr:colOff>
      <xdr:row>34</xdr:row>
      <xdr:rowOff>19050</xdr:rowOff>
    </xdr:to>
    <xdr:graphicFrame macro="">
      <xdr:nvGraphicFramePr>
        <xdr:cNvPr id="6" name="Gráfico 10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47621</xdr:colOff>
      <xdr:row>3</xdr:row>
      <xdr:rowOff>9528</xdr:rowOff>
    </xdr:from>
    <xdr:ext cx="7239003" cy="6276971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3171821" y="590553"/>
          <a:ext cx="7239003" cy="6276971"/>
          <a:chOff x="3171821" y="581028"/>
          <a:chExt cx="7239003" cy="6276971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GraphicFramePr/>
        </xdr:nvGraphicFramePr>
        <xdr:xfrm>
          <a:off x="3171821" y="581028"/>
          <a:ext cx="7239003" cy="627697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 txBox="1"/>
        </xdr:nvSpPr>
        <xdr:spPr>
          <a:xfrm>
            <a:off x="3209925" y="647696"/>
            <a:ext cx="7181853" cy="38100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Ranking das Subprefeituras mais demandadas - DEZEMBRO/2023</a:t>
            </a:r>
          </a:p>
        </xdr:txBody>
      </xdr:sp>
    </xdr:grp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9528</xdr:colOff>
      <xdr:row>0</xdr:row>
      <xdr:rowOff>0</xdr:rowOff>
    </xdr:from>
    <xdr:ext cx="4563532" cy="223519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28575</xdr:colOff>
      <xdr:row>8</xdr:row>
      <xdr:rowOff>285750</xdr:rowOff>
    </xdr:from>
    <xdr:ext cx="4582579" cy="2022479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17</xdr:col>
      <xdr:colOff>28571</xdr:colOff>
      <xdr:row>19</xdr:row>
      <xdr:rowOff>9521</xdr:rowOff>
    </xdr:from>
    <xdr:ext cx="4591054" cy="2106082"/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8</xdr:col>
      <xdr:colOff>152403</xdr:colOff>
      <xdr:row>30</xdr:row>
      <xdr:rowOff>85725</xdr:rowOff>
    </xdr:from>
    <xdr:ext cx="6801910" cy="6120344"/>
    <xdr:graphicFrame macro="">
      <xdr:nvGraphicFramePr>
        <xdr:cNvPr id="8" name="Gráfico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twoCellAnchor>
    <xdr:from>
      <xdr:col>7</xdr:col>
      <xdr:colOff>104775</xdr:colOff>
      <xdr:row>15</xdr:row>
      <xdr:rowOff>161925</xdr:rowOff>
    </xdr:from>
    <xdr:to>
      <xdr:col>16</xdr:col>
      <xdr:colOff>523875</xdr:colOff>
      <xdr:row>30</xdr:row>
      <xdr:rowOff>9525</xdr:rowOff>
    </xdr:to>
    <xdr:graphicFrame macro="">
      <xdr:nvGraphicFramePr>
        <xdr:cNvPr id="12" name="Gráfico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0.14271</cdr:x>
      <cdr:y>0</cdr:y>
    </cdr:from>
    <cdr:to>
      <cdr:x>0.87812</cdr:x>
      <cdr:y>0.20833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52462" y="0"/>
          <a:ext cx="3362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Protocolos inicialmente registrados como denúncias</a:t>
          </a:r>
          <a:endParaRPr lang="pt-BR" sz="1200">
            <a:effectLst/>
          </a:endParaRPr>
        </a:p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% deferidas, indeferidas e reclassificadas - 2023</a:t>
          </a:r>
          <a:endParaRPr lang="pt-BR" sz="12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pt-BR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10584</xdr:colOff>
      <xdr:row>1</xdr:row>
      <xdr:rowOff>194733</xdr:rowOff>
    </xdr:from>
    <xdr:to>
      <xdr:col>17</xdr:col>
      <xdr:colOff>433917</xdr:colOff>
      <xdr:row>62</xdr:row>
      <xdr:rowOff>10584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582084</xdr:colOff>
      <xdr:row>2</xdr:row>
      <xdr:rowOff>4233</xdr:rowOff>
    </xdr:from>
    <xdr:to>
      <xdr:col>26</xdr:col>
      <xdr:colOff>105834</xdr:colOff>
      <xdr:row>17</xdr:row>
      <xdr:rowOff>105833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123821</xdr:colOff>
      <xdr:row>2</xdr:row>
      <xdr:rowOff>123828</xdr:rowOff>
    </xdr:from>
    <xdr:ext cx="4457700" cy="2981328"/>
    <xdr:grpSp>
      <xdr:nvGrpSpPr>
        <xdr:cNvPr id="4" name="Gráfico 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2895596" y="504828"/>
          <a:ext cx="4457700" cy="2981328"/>
          <a:chOff x="2895596" y="504828"/>
          <a:chExt cx="4457700" cy="2981328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GraphicFramePr/>
        </xdr:nvGraphicFramePr>
        <xdr:xfrm>
          <a:off x="2895596" y="504828"/>
          <a:ext cx="4457700" cy="29813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2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5814303" y="759973"/>
            <a:ext cx="580351" cy="22243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0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Variação</a:t>
            </a:r>
          </a:p>
        </xdr:txBody>
      </xdr:sp>
    </xdr:grpSp>
    <xdr:clientData/>
  </xdr:oneCellAnchor>
  <xdr:oneCellAnchor>
    <xdr:from>
      <xdr:col>21</xdr:col>
      <xdr:colOff>266703</xdr:colOff>
      <xdr:row>0</xdr:row>
      <xdr:rowOff>47621</xdr:rowOff>
    </xdr:from>
    <xdr:ext cx="5448296" cy="3629025"/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114300</xdr:colOff>
      <xdr:row>0</xdr:row>
      <xdr:rowOff>38103</xdr:rowOff>
    </xdr:from>
    <xdr:ext cx="4829175" cy="3686175"/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85725</xdr:rowOff>
        </xdr:from>
        <xdr:to>
          <xdr:col>10</xdr:col>
          <xdr:colOff>180975</xdr:colOff>
          <xdr:row>38</xdr:row>
          <xdr:rowOff>114300</xdr:rowOff>
        </xdr:to>
        <xdr:sp macro="" textlink="">
          <xdr:nvSpPr>
            <xdr:cNvPr id="15362" name="Object 1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28575</xdr:rowOff>
    </xdr:from>
    <xdr:to>
      <xdr:col>11</xdr:col>
      <xdr:colOff>333375</xdr:colOff>
      <xdr:row>13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</xdr:colOff>
      <xdr:row>0</xdr:row>
      <xdr:rowOff>28575</xdr:rowOff>
    </xdr:from>
    <xdr:to>
      <xdr:col>19</xdr:col>
      <xdr:colOff>285750</xdr:colOff>
      <xdr:row>14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14</xdr:row>
      <xdr:rowOff>104774</xdr:rowOff>
    </xdr:from>
    <xdr:to>
      <xdr:col>15</xdr:col>
      <xdr:colOff>590549</xdr:colOff>
      <xdr:row>30</xdr:row>
      <xdr:rowOff>57150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4" name="Gráfic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272710</xdr:colOff>
      <xdr:row>0</xdr:row>
      <xdr:rowOff>76196</xdr:rowOff>
    </xdr:from>
    <xdr:ext cx="3670639" cy="3095628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178335" y="76196"/>
          <a:ext cx="3670639" cy="3095628"/>
          <a:chOff x="7178335" y="76196"/>
          <a:chExt cx="3670639" cy="3095628"/>
        </a:xfrm>
      </xdr:grpSpPr>
      <xdr:grpSp>
        <xdr:nvGrpSpPr>
          <xdr:cNvPr id="3" name="Gráfico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7178335" y="76196"/>
            <a:ext cx="3670639" cy="3095628"/>
            <a:chOff x="7178335" y="76196"/>
            <a:chExt cx="3670639" cy="3095628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7178335" y="76196"/>
            <a:ext cx="3670639" cy="30956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7264517" y="355793"/>
              <a:ext cx="689603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8662626" y="1144682"/>
              <a:ext cx="685086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squar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7415384" y="255931"/>
              <a:ext cx="208309" cy="289599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r>
                <a:rPr lang="pt-BR" sz="1400" b="1" i="0" u="none" strike="noStrike" kern="0" cap="none" spc="0" baseline="0">
                  <a:solidFill>
                    <a:srgbClr val="000000"/>
                  </a:solidFill>
                  <a:uFillTx/>
                  <a:latin typeface="Calibri"/>
                </a:rPr>
                <a:t>*</a:t>
              </a:r>
            </a:p>
          </xdr:txBody>
        </xdr:sp>
      </xdr:grpSp>
      <xdr:sp macro="" textlink="">
        <xdr:nvSpPr>
          <xdr:cNvPr id="8" name="CaixaDeTexto 1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258050" y="2924171"/>
            <a:ext cx="981078" cy="209553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8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*Escala Logaritimica</a:t>
            </a:r>
          </a:p>
        </xdr:txBody>
      </xdr:sp>
    </xdr:grpSp>
    <xdr:clientData/>
  </xdr:oneCellAnchor>
  <xdr:oneCellAnchor>
    <xdr:from>
      <xdr:col>19</xdr:col>
      <xdr:colOff>47621</xdr:colOff>
      <xdr:row>0</xdr:row>
      <xdr:rowOff>57150</xdr:rowOff>
    </xdr:from>
    <xdr:ext cx="4048121" cy="3171825"/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76196</xdr:colOff>
      <xdr:row>2</xdr:row>
      <xdr:rowOff>38103</xdr:rowOff>
    </xdr:from>
    <xdr:ext cx="4638678" cy="2752728"/>
    <xdr:graphicFrame macro="">
      <xdr:nvGraphicFramePr>
        <xdr:cNvPr id="10" name="Gráfico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11</xdr:row>
      <xdr:rowOff>57150</xdr:rowOff>
    </xdr:from>
    <xdr:ext cx="5286375" cy="424814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438153</xdr:colOff>
      <xdr:row>11</xdr:row>
      <xdr:rowOff>48981</xdr:rowOff>
    </xdr:from>
    <xdr:ext cx="5343525" cy="4267203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174174</xdr:colOff>
      <xdr:row>11</xdr:row>
      <xdr:rowOff>42185</xdr:rowOff>
    </xdr:from>
    <xdr:ext cx="4838703" cy="4276721"/>
    <xdr:grpSp>
      <xdr:nvGrpSpPr>
        <xdr:cNvPr id="4" name="Gráfic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0785024" y="2671085"/>
          <a:ext cx="4838703" cy="4276721"/>
          <a:chOff x="10925178" y="2619378"/>
          <a:chExt cx="4838703" cy="4276721"/>
        </a:xfrm>
      </xdr:grpSpPr>
      <xdr:graphicFrame macro="">
        <xdr:nvGraphicFramePr>
          <xdr:cNvPr id="5" name="Gráfico 5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aphicFramePr/>
        </xdr:nvGraphicFramePr>
        <xdr:xfrm>
          <a:off x="10925178" y="2619378"/>
          <a:ext cx="4838703" cy="42767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CaixaDeTexto 3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2383079" y="2674754"/>
            <a:ext cx="1887047" cy="292123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7" name="CaixaDeTexto 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1277596" y="2733678"/>
            <a:ext cx="3486149" cy="285750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DEZEMBRO/2023</a:t>
            </a: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endParaRPr>
          </a:p>
        </xdr:txBody>
      </xdr:sp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19046</xdr:rowOff>
    </xdr:from>
    <xdr:ext cx="5772149" cy="362902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47625</xdr:colOff>
      <xdr:row>17</xdr:row>
      <xdr:rowOff>47625</xdr:rowOff>
    </xdr:from>
    <xdr:to>
      <xdr:col>9</xdr:col>
      <xdr:colOff>60325</xdr:colOff>
      <xdr:row>24</xdr:row>
      <xdr:rowOff>174625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9528</xdr:colOff>
      <xdr:row>0</xdr:row>
      <xdr:rowOff>19046</xdr:rowOff>
    </xdr:from>
    <xdr:ext cx="6076946" cy="327659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19046</xdr:colOff>
      <xdr:row>17</xdr:row>
      <xdr:rowOff>57150</xdr:rowOff>
    </xdr:from>
    <xdr:ext cx="7124703" cy="3409953"/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106891</xdr:colOff>
      <xdr:row>2</xdr:row>
      <xdr:rowOff>47621</xdr:rowOff>
    </xdr:from>
    <xdr:ext cx="5867403" cy="4600575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3707341" y="428621"/>
          <a:ext cx="5867403" cy="4600575"/>
          <a:chOff x="3686175" y="428621"/>
          <a:chExt cx="5867403" cy="4600575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aphicFramePr/>
        </xdr:nvGraphicFramePr>
        <xdr:xfrm>
          <a:off x="3686175" y="428621"/>
          <a:ext cx="5867403" cy="4600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3705221" y="457196"/>
            <a:ext cx="5800725" cy="647696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assuntos mais demandados do mês de dezembro em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DEZEMBRO/23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9</xdr:col>
      <xdr:colOff>1733546</xdr:colOff>
      <xdr:row>2</xdr:row>
      <xdr:rowOff>47621</xdr:rowOff>
    </xdr:from>
    <xdr:ext cx="5962646" cy="4581528"/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28575</xdr:rowOff>
    </xdr:from>
    <xdr:ext cx="6438903" cy="3838578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11306171" y="28575"/>
          <a:ext cx="6438903" cy="3838578"/>
          <a:chOff x="11306171" y="28575"/>
          <a:chExt cx="6438903" cy="3838578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GraphicFramePr/>
        </xdr:nvGraphicFramePr>
        <xdr:xfrm>
          <a:off x="11306171" y="28575"/>
          <a:ext cx="6438903" cy="38385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5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 txBox="1"/>
        </xdr:nvSpPr>
        <xdr:spPr>
          <a:xfrm>
            <a:off x="12973050" y="66678"/>
            <a:ext cx="3781428" cy="314325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órgãos mais demandados - Média/2023</a:t>
            </a:r>
          </a:p>
        </xdr:txBody>
      </xdr:sp>
    </xdr:grpSp>
    <xdr:clientData/>
  </xdr:oneCellAnchor>
  <xdr:twoCellAnchor editAs="oneCell">
    <xdr:from>
      <xdr:col>0</xdr:col>
      <xdr:colOff>95250</xdr:colOff>
      <xdr:row>17</xdr:row>
      <xdr:rowOff>60325</xdr:rowOff>
    </xdr:from>
    <xdr:to>
      <xdr:col>9</xdr:col>
      <xdr:colOff>390525</xdr:colOff>
      <xdr:row>26</xdr:row>
      <xdr:rowOff>89958</xdr:rowOff>
    </xdr:to>
    <xdr:graphicFrame macro="">
      <xdr:nvGraphicFramePr>
        <xdr:cNvPr id="10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1209678</xdr:colOff>
      <xdr:row>17</xdr:row>
      <xdr:rowOff>95250</xdr:rowOff>
    </xdr:from>
    <xdr:ext cx="5504075" cy="381003"/>
    <xdr:sp macro="" textlink="">
      <xdr:nvSpPr>
        <xdr:cNvPr id="6" name="CaixaDeTexto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09678" y="3819525"/>
          <a:ext cx="5504075" cy="38100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UNIDADES - % em relação ao todo de DEZ/23 (exetuando-se denúncias)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19046</xdr:rowOff>
    </xdr:from>
    <xdr:ext cx="7038978" cy="317182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19053</xdr:colOff>
      <xdr:row>17</xdr:row>
      <xdr:rowOff>19050</xdr:rowOff>
    </xdr:from>
    <xdr:ext cx="6619871" cy="3505196"/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152403</xdr:colOff>
      <xdr:row>2</xdr:row>
      <xdr:rowOff>19046</xdr:rowOff>
    </xdr:from>
    <xdr:ext cx="5244037" cy="3499912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4581528" y="400046"/>
          <a:ext cx="5244037" cy="3499912"/>
          <a:chOff x="4543428" y="400046"/>
          <a:chExt cx="5244037" cy="3499912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GraphicFramePr/>
        </xdr:nvGraphicFramePr>
        <xdr:xfrm>
          <a:off x="4552818" y="441030"/>
          <a:ext cx="5234647" cy="34589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>
            <a:off x="4543428" y="400046"/>
            <a:ext cx="4822216" cy="47553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unidades mais demandadas do mês de dezembro em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DEZEMBRO/23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11</xdr:col>
      <xdr:colOff>190496</xdr:colOff>
      <xdr:row>2</xdr:row>
      <xdr:rowOff>76196</xdr:rowOff>
    </xdr:from>
    <xdr:ext cx="4824941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o_Microsoft_Word.docx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2.emf"/><Relationship Id="rId4" Type="http://schemas.openxmlformats.org/officeDocument/2006/relationships/package" Target="../embeddings/Documento_do_Microsoft_Word1.docx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Q1"/>
  <sheetViews>
    <sheetView showGridLines="0" tabSelected="1" zoomScaleNormal="100" workbookViewId="0">
      <selection activeCell="U7" sqref="U7"/>
    </sheetView>
  </sheetViews>
  <sheetFormatPr defaultRowHeight="15"/>
  <cols>
    <col min="1" max="1" width="9.140625" customWidth="1"/>
  </cols>
  <sheetData>
    <row r="1" spans="17:17">
      <c r="Q1" t="s">
        <v>329</v>
      </c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 sizeWithCells="1">
              <from>
                <xdr:col>0</xdr:col>
                <xdr:colOff>28575</xdr:colOff>
                <xdr:row>0</xdr:row>
                <xdr:rowOff>28575</xdr:rowOff>
              </from>
              <to>
                <xdr:col>16</xdr:col>
                <xdr:colOff>381000</xdr:colOff>
                <xdr:row>51</xdr:row>
                <xdr:rowOff>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>
      <selection activeCell="B22" sqref="B22"/>
    </sheetView>
  </sheetViews>
  <sheetFormatPr defaultColWidth="5.5703125" defaultRowHeight="14.25"/>
  <cols>
    <col min="1" max="1" width="68.85546875" style="128" customWidth="1"/>
    <col min="2" max="2" width="7.5703125" style="129" bestFit="1" customWidth="1"/>
    <col min="3" max="3" width="7.7109375" style="129" bestFit="1" customWidth="1"/>
    <col min="4" max="4" width="7.140625" style="129" bestFit="1" customWidth="1"/>
    <col min="5" max="5" width="7" style="129" bestFit="1" customWidth="1"/>
    <col min="6" max="6" width="7.5703125" style="129" bestFit="1" customWidth="1"/>
    <col min="7" max="7" width="6.7109375" style="114" bestFit="1" customWidth="1"/>
    <col min="8" max="8" width="7" style="129" bestFit="1" customWidth="1"/>
    <col min="9" max="9" width="7.28515625" style="129" bestFit="1" customWidth="1"/>
    <col min="10" max="10" width="7.140625" style="129" bestFit="1" customWidth="1"/>
    <col min="11" max="11" width="7.5703125" style="129" bestFit="1" customWidth="1"/>
    <col min="12" max="12" width="7.140625" style="130" bestFit="1" customWidth="1"/>
    <col min="13" max="13" width="7.85546875" style="129" customWidth="1"/>
    <col min="14" max="14" width="9.7109375" style="129" customWidth="1"/>
    <col min="15" max="236" width="9.140625" style="13" customWidth="1"/>
    <col min="237" max="237" width="58.28515625" style="13" customWidth="1"/>
    <col min="238" max="238" width="3.7109375" style="13" bestFit="1" customWidth="1"/>
    <col min="239" max="239" width="5.5703125" style="13" bestFit="1" customWidth="1"/>
    <col min="240" max="240" width="5.5703125" style="13" customWidth="1"/>
    <col min="241" max="16384" width="5.5703125" style="13"/>
  </cols>
  <sheetData>
    <row r="1" spans="1:16" customFormat="1" ht="15">
      <c r="A1" s="1" t="s">
        <v>0</v>
      </c>
      <c r="B1" s="161"/>
      <c r="C1" s="161"/>
      <c r="D1" s="161"/>
      <c r="E1" s="161"/>
      <c r="F1" s="161"/>
      <c r="G1" s="111"/>
      <c r="H1" s="161"/>
      <c r="I1" s="161"/>
      <c r="J1" s="161"/>
      <c r="K1" s="161"/>
      <c r="L1" s="129"/>
      <c r="M1" s="130"/>
      <c r="N1" s="130"/>
      <c r="O1" s="13"/>
      <c r="P1" s="13"/>
    </row>
    <row r="2" spans="1:16" customFormat="1" ht="15">
      <c r="A2" s="162" t="s">
        <v>1</v>
      </c>
      <c r="B2" s="6"/>
      <c r="C2" s="6"/>
      <c r="D2" s="6"/>
      <c r="E2" s="6"/>
      <c r="F2" s="6"/>
      <c r="G2" s="88"/>
      <c r="H2" s="6"/>
      <c r="I2" s="6"/>
      <c r="J2" s="6"/>
      <c r="K2" s="6"/>
      <c r="L2" s="129"/>
      <c r="M2" s="130"/>
      <c r="N2" s="130"/>
      <c r="O2" s="13"/>
      <c r="P2" s="13"/>
    </row>
    <row r="3" spans="1:16" customFormat="1" ht="15.75" thickBot="1">
      <c r="A3" s="128"/>
      <c r="B3" s="129"/>
      <c r="C3" s="129"/>
      <c r="D3" s="129"/>
      <c r="E3" s="129"/>
      <c r="F3" s="129"/>
      <c r="G3" s="114"/>
      <c r="H3" s="129"/>
      <c r="I3" s="129"/>
      <c r="J3" s="129"/>
      <c r="K3" s="129"/>
      <c r="L3" s="129"/>
      <c r="M3" s="130"/>
      <c r="N3" s="130"/>
      <c r="O3" s="13"/>
      <c r="P3" s="13"/>
    </row>
    <row r="4" spans="1:16" customFormat="1" ht="15.75" thickBot="1">
      <c r="A4" s="163" t="s">
        <v>206</v>
      </c>
      <c r="B4" s="26">
        <v>45261</v>
      </c>
      <c r="C4" s="23">
        <v>45231</v>
      </c>
      <c r="D4" s="26">
        <v>45200</v>
      </c>
      <c r="E4" s="24">
        <v>45170</v>
      </c>
      <c r="F4" s="61">
        <v>45139</v>
      </c>
      <c r="G4" s="61">
        <v>45108</v>
      </c>
      <c r="H4" s="61">
        <v>45078</v>
      </c>
      <c r="I4" s="164">
        <v>45047</v>
      </c>
      <c r="J4" s="155">
        <v>45017</v>
      </c>
      <c r="K4" s="155">
        <v>44986</v>
      </c>
      <c r="L4" s="155">
        <v>44958</v>
      </c>
      <c r="M4" s="155">
        <v>44927</v>
      </c>
      <c r="N4" s="165" t="s">
        <v>5</v>
      </c>
      <c r="O4" s="166" t="s">
        <v>6</v>
      </c>
      <c r="P4" s="59" t="s">
        <v>25</v>
      </c>
    </row>
    <row r="5" spans="1:16" customFormat="1" ht="15">
      <c r="A5" s="167" t="s">
        <v>215</v>
      </c>
      <c r="B5" s="168">
        <v>59</v>
      </c>
      <c r="C5" s="33">
        <v>76</v>
      </c>
      <c r="D5" s="31">
        <v>90</v>
      </c>
      <c r="E5" s="31">
        <v>84</v>
      </c>
      <c r="F5" s="31">
        <v>71</v>
      </c>
      <c r="G5" s="31">
        <v>84</v>
      </c>
      <c r="H5" s="32">
        <v>72</v>
      </c>
      <c r="I5" s="31">
        <v>66</v>
      </c>
      <c r="J5" s="33">
        <v>57</v>
      </c>
      <c r="K5" s="33">
        <v>140</v>
      </c>
      <c r="L5" s="33">
        <v>99</v>
      </c>
      <c r="M5" s="33">
        <v>68</v>
      </c>
      <c r="N5" s="169">
        <f t="shared" ref="N5:N36" si="0">SUM(B5:M5)</f>
        <v>966</v>
      </c>
      <c r="O5" s="170">
        <f t="shared" ref="O5:O36" si="1">AVERAGE(B5:M5)</f>
        <v>80.5</v>
      </c>
      <c r="P5" s="171">
        <f>(N5/$N$72)*100</f>
        <v>1.6720034617048896</v>
      </c>
    </row>
    <row r="6" spans="1:16" customFormat="1" ht="15">
      <c r="A6" s="172" t="s">
        <v>216</v>
      </c>
      <c r="B6" s="173">
        <v>0</v>
      </c>
      <c r="C6" s="43">
        <v>0</v>
      </c>
      <c r="D6" s="33">
        <v>0</v>
      </c>
      <c r="E6" s="33">
        <v>0</v>
      </c>
      <c r="F6" s="33">
        <v>0</v>
      </c>
      <c r="G6" s="43">
        <v>0</v>
      </c>
      <c r="H6" s="44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174">
        <f t="shared" si="0"/>
        <v>0</v>
      </c>
      <c r="O6" s="170">
        <f t="shared" si="1"/>
        <v>0</v>
      </c>
      <c r="P6" s="171">
        <f t="shared" ref="P6:P36" si="2">(N6/$N$72)*100</f>
        <v>0</v>
      </c>
    </row>
    <row r="7" spans="1:16" customFormat="1" ht="15">
      <c r="A7" s="172" t="s">
        <v>217</v>
      </c>
      <c r="B7" s="175">
        <v>266</v>
      </c>
      <c r="C7" s="43">
        <v>274</v>
      </c>
      <c r="D7" s="43">
        <v>295</v>
      </c>
      <c r="E7" s="43">
        <v>288</v>
      </c>
      <c r="F7" s="43">
        <v>324</v>
      </c>
      <c r="G7" s="43">
        <v>244</v>
      </c>
      <c r="H7" s="44">
        <v>272</v>
      </c>
      <c r="I7" s="43">
        <v>279</v>
      </c>
      <c r="J7" s="43">
        <v>231</v>
      </c>
      <c r="K7" s="43">
        <v>299</v>
      </c>
      <c r="L7" s="43">
        <v>330</v>
      </c>
      <c r="M7" s="43">
        <v>327</v>
      </c>
      <c r="N7" s="174">
        <f t="shared" si="0"/>
        <v>3429</v>
      </c>
      <c r="O7" s="170">
        <f t="shared" si="1"/>
        <v>285.75</v>
      </c>
      <c r="P7" s="171">
        <f t="shared" si="2"/>
        <v>5.9350930333189096</v>
      </c>
    </row>
    <row r="8" spans="1:16" customFormat="1" ht="15">
      <c r="A8" s="172" t="s">
        <v>218</v>
      </c>
      <c r="B8" s="175">
        <v>23</v>
      </c>
      <c r="C8" s="43">
        <v>12</v>
      </c>
      <c r="D8" s="43">
        <v>13</v>
      </c>
      <c r="E8" s="43">
        <v>10</v>
      </c>
      <c r="F8" s="43">
        <v>6</v>
      </c>
      <c r="G8" s="43">
        <v>14</v>
      </c>
      <c r="H8" s="44">
        <v>4</v>
      </c>
      <c r="I8" s="43">
        <v>5</v>
      </c>
      <c r="J8" s="43">
        <v>5</v>
      </c>
      <c r="K8" s="43">
        <v>4</v>
      </c>
      <c r="L8" s="43">
        <v>8</v>
      </c>
      <c r="M8" s="43">
        <v>12</v>
      </c>
      <c r="N8" s="174">
        <f t="shared" si="0"/>
        <v>116</v>
      </c>
      <c r="O8" s="170">
        <f t="shared" si="1"/>
        <v>9.6666666666666661</v>
      </c>
      <c r="P8" s="171">
        <f t="shared" si="2"/>
        <v>0.2007788836001731</v>
      </c>
    </row>
    <row r="9" spans="1:16" customFormat="1" ht="15">
      <c r="A9" s="172" t="s">
        <v>219</v>
      </c>
      <c r="B9" s="175">
        <v>38</v>
      </c>
      <c r="C9" s="43">
        <v>30</v>
      </c>
      <c r="D9" s="43">
        <v>23</v>
      </c>
      <c r="E9" s="43">
        <v>32</v>
      </c>
      <c r="F9" s="43">
        <v>29</v>
      </c>
      <c r="G9" s="43">
        <v>40</v>
      </c>
      <c r="H9" s="44">
        <v>37</v>
      </c>
      <c r="I9" s="43">
        <v>24</v>
      </c>
      <c r="J9" s="43">
        <v>22</v>
      </c>
      <c r="K9" s="43">
        <v>22</v>
      </c>
      <c r="L9" s="43">
        <v>45</v>
      </c>
      <c r="M9" s="43">
        <v>35</v>
      </c>
      <c r="N9" s="174">
        <f t="shared" si="0"/>
        <v>377</v>
      </c>
      <c r="O9" s="170">
        <f t="shared" si="1"/>
        <v>31.416666666666668</v>
      </c>
      <c r="P9" s="171">
        <f t="shared" si="2"/>
        <v>0.65253137170056252</v>
      </c>
    </row>
    <row r="10" spans="1:16" customFormat="1" ht="15">
      <c r="A10" s="172" t="s">
        <v>220</v>
      </c>
      <c r="B10" s="175">
        <v>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4">
        <v>2</v>
      </c>
      <c r="I10" s="43">
        <v>0</v>
      </c>
      <c r="J10" s="43">
        <v>6</v>
      </c>
      <c r="K10" s="43">
        <v>6</v>
      </c>
      <c r="L10" s="43">
        <v>5</v>
      </c>
      <c r="M10" s="43">
        <v>0</v>
      </c>
      <c r="N10" s="174">
        <f t="shared" si="0"/>
        <v>19</v>
      </c>
      <c r="O10" s="170">
        <f t="shared" si="1"/>
        <v>1.5833333333333333</v>
      </c>
      <c r="P10" s="171">
        <f t="shared" si="2"/>
        <v>3.2886196451752489E-2</v>
      </c>
    </row>
    <row r="11" spans="1:16" customFormat="1" ht="15">
      <c r="A11" s="172" t="s">
        <v>144</v>
      </c>
      <c r="B11" s="175">
        <v>159</v>
      </c>
      <c r="C11" s="43">
        <v>195</v>
      </c>
      <c r="D11" s="43">
        <v>245</v>
      </c>
      <c r="E11" s="43">
        <v>153</v>
      </c>
      <c r="F11" s="43">
        <v>120</v>
      </c>
      <c r="G11" s="43">
        <v>118</v>
      </c>
      <c r="H11" s="44">
        <v>82</v>
      </c>
      <c r="I11" s="43">
        <v>107</v>
      </c>
      <c r="J11" s="43">
        <v>76</v>
      </c>
      <c r="K11" s="43">
        <v>89</v>
      </c>
      <c r="L11" s="43">
        <v>72</v>
      </c>
      <c r="M11" s="43">
        <v>84</v>
      </c>
      <c r="N11" s="174">
        <f t="shared" si="0"/>
        <v>1500</v>
      </c>
      <c r="O11" s="170">
        <f t="shared" si="1"/>
        <v>125</v>
      </c>
      <c r="P11" s="171">
        <f t="shared" si="2"/>
        <v>2.5962786672436176</v>
      </c>
    </row>
    <row r="12" spans="1:16" customFormat="1" ht="15">
      <c r="A12" s="172" t="s">
        <v>221</v>
      </c>
      <c r="B12" s="175">
        <v>34</v>
      </c>
      <c r="C12" s="43">
        <v>29</v>
      </c>
      <c r="D12" s="43">
        <v>35</v>
      </c>
      <c r="E12" s="43">
        <v>33</v>
      </c>
      <c r="F12" s="43">
        <v>36</v>
      </c>
      <c r="G12" s="43">
        <v>45</v>
      </c>
      <c r="H12" s="43">
        <v>22</v>
      </c>
      <c r="I12" s="43">
        <v>21</v>
      </c>
      <c r="J12" s="43">
        <v>21</v>
      </c>
      <c r="K12" s="43">
        <v>38</v>
      </c>
      <c r="L12" s="43">
        <v>40</v>
      </c>
      <c r="M12" s="43">
        <v>33</v>
      </c>
      <c r="N12" s="174">
        <f t="shared" si="0"/>
        <v>387</v>
      </c>
      <c r="O12" s="170">
        <f t="shared" si="1"/>
        <v>32.25</v>
      </c>
      <c r="P12" s="171">
        <f t="shared" si="2"/>
        <v>0.66983989614885331</v>
      </c>
    </row>
    <row r="13" spans="1:16" customFormat="1" ht="15">
      <c r="A13" s="172" t="s">
        <v>222</v>
      </c>
      <c r="B13" s="175">
        <v>0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174">
        <f t="shared" si="0"/>
        <v>0</v>
      </c>
      <c r="O13" s="170">
        <f t="shared" si="1"/>
        <v>0</v>
      </c>
      <c r="P13" s="171">
        <f t="shared" si="2"/>
        <v>0</v>
      </c>
    </row>
    <row r="14" spans="1:16" customFormat="1" ht="15">
      <c r="A14" s="172" t="s">
        <v>223</v>
      </c>
      <c r="B14" s="175">
        <v>163</v>
      </c>
      <c r="C14" s="43">
        <v>234</v>
      </c>
      <c r="D14" s="43">
        <v>224</v>
      </c>
      <c r="E14" s="43">
        <v>221</v>
      </c>
      <c r="F14" s="43">
        <v>261</v>
      </c>
      <c r="G14" s="43">
        <v>207</v>
      </c>
      <c r="H14" s="43">
        <v>210</v>
      </c>
      <c r="I14" s="43">
        <v>285</v>
      </c>
      <c r="J14" s="43">
        <v>238</v>
      </c>
      <c r="K14" s="43">
        <v>333</v>
      </c>
      <c r="L14" s="43">
        <v>204</v>
      </c>
      <c r="M14" s="43">
        <v>140</v>
      </c>
      <c r="N14" s="174">
        <f t="shared" si="0"/>
        <v>2720</v>
      </c>
      <c r="O14" s="170">
        <f t="shared" si="1"/>
        <v>226.66666666666666</v>
      </c>
      <c r="P14" s="171">
        <f t="shared" si="2"/>
        <v>4.7079186499350927</v>
      </c>
    </row>
    <row r="15" spans="1:16" customFormat="1" ht="15">
      <c r="A15" s="172" t="s">
        <v>224</v>
      </c>
      <c r="B15" s="175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4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174">
        <f t="shared" si="0"/>
        <v>0</v>
      </c>
      <c r="O15" s="170">
        <f t="shared" si="1"/>
        <v>0</v>
      </c>
      <c r="P15" s="171">
        <f t="shared" si="2"/>
        <v>0</v>
      </c>
    </row>
    <row r="16" spans="1:16" customFormat="1" ht="15">
      <c r="A16" s="172" t="s">
        <v>225</v>
      </c>
      <c r="B16" s="175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1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174">
        <f t="shared" si="0"/>
        <v>1</v>
      </c>
      <c r="O16" s="170">
        <f t="shared" si="1"/>
        <v>8.3333333333333329E-2</v>
      </c>
      <c r="P16" s="171">
        <f t="shared" si="2"/>
        <v>1.7308524448290783E-3</v>
      </c>
    </row>
    <row r="17" spans="1:16" customFormat="1" ht="15" customHeight="1">
      <c r="A17" s="172" t="s">
        <v>226</v>
      </c>
      <c r="B17" s="175">
        <v>8</v>
      </c>
      <c r="C17" s="43">
        <v>3</v>
      </c>
      <c r="D17" s="43">
        <v>0</v>
      </c>
      <c r="E17" s="43">
        <v>4</v>
      </c>
      <c r="F17" s="43">
        <v>5</v>
      </c>
      <c r="G17" s="43">
        <v>4</v>
      </c>
      <c r="H17" s="43">
        <v>1</v>
      </c>
      <c r="I17" s="43">
        <v>9</v>
      </c>
      <c r="J17" s="43">
        <v>6</v>
      </c>
      <c r="K17" s="43">
        <v>5</v>
      </c>
      <c r="L17" s="43">
        <v>3</v>
      </c>
      <c r="M17" s="43">
        <v>2</v>
      </c>
      <c r="N17" s="174">
        <f t="shared" si="0"/>
        <v>50</v>
      </c>
      <c r="O17" s="170">
        <f t="shared" si="1"/>
        <v>4.166666666666667</v>
      </c>
      <c r="P17" s="171">
        <f t="shared" si="2"/>
        <v>8.6542622241453912E-2</v>
      </c>
    </row>
    <row r="18" spans="1:16" customFormat="1" ht="15">
      <c r="A18" s="172" t="s">
        <v>227</v>
      </c>
      <c r="B18" s="175">
        <v>336</v>
      </c>
      <c r="C18" s="43">
        <v>255</v>
      </c>
      <c r="D18" s="43">
        <v>214</v>
      </c>
      <c r="E18" s="43">
        <v>200</v>
      </c>
      <c r="F18" s="43">
        <v>222</v>
      </c>
      <c r="G18" s="43">
        <v>174</v>
      </c>
      <c r="H18" s="43">
        <v>272</v>
      </c>
      <c r="I18" s="43">
        <v>269</v>
      </c>
      <c r="J18" s="43">
        <v>247</v>
      </c>
      <c r="K18" s="43">
        <v>318</v>
      </c>
      <c r="L18" s="43">
        <v>286</v>
      </c>
      <c r="M18" s="43">
        <v>247</v>
      </c>
      <c r="N18" s="174">
        <f t="shared" si="0"/>
        <v>3040</v>
      </c>
      <c r="O18" s="170">
        <f t="shared" si="1"/>
        <v>253.33333333333334</v>
      </c>
      <c r="P18" s="171">
        <f t="shared" si="2"/>
        <v>5.2617914322803978</v>
      </c>
    </row>
    <row r="19" spans="1:16" customFormat="1" ht="15">
      <c r="A19" s="172" t="s">
        <v>228</v>
      </c>
      <c r="B19" s="175">
        <v>301</v>
      </c>
      <c r="C19" s="43">
        <v>269</v>
      </c>
      <c r="D19" s="43">
        <v>271</v>
      </c>
      <c r="E19" s="43">
        <v>220</v>
      </c>
      <c r="F19" s="43">
        <v>263</v>
      </c>
      <c r="G19" s="43">
        <v>298</v>
      </c>
      <c r="H19" s="43">
        <v>242</v>
      </c>
      <c r="I19" s="43">
        <v>278</v>
      </c>
      <c r="J19" s="43">
        <v>222</v>
      </c>
      <c r="K19" s="43">
        <v>306</v>
      </c>
      <c r="L19" s="43">
        <v>292</v>
      </c>
      <c r="M19" s="43">
        <v>328</v>
      </c>
      <c r="N19" s="174">
        <f t="shared" si="0"/>
        <v>3290</v>
      </c>
      <c r="O19" s="170">
        <f t="shared" si="1"/>
        <v>274.16666666666669</v>
      </c>
      <c r="P19" s="171">
        <f t="shared" si="2"/>
        <v>5.6945045434876675</v>
      </c>
    </row>
    <row r="20" spans="1:16" customFormat="1" ht="15">
      <c r="A20" s="172" t="s">
        <v>229</v>
      </c>
      <c r="B20" s="175">
        <v>2</v>
      </c>
      <c r="C20" s="43">
        <v>2</v>
      </c>
      <c r="D20" s="43">
        <v>2</v>
      </c>
      <c r="E20" s="43">
        <v>2</v>
      </c>
      <c r="F20" s="43">
        <v>3</v>
      </c>
      <c r="G20" s="43">
        <v>3</v>
      </c>
      <c r="H20" s="43">
        <v>3</v>
      </c>
      <c r="I20" s="43">
        <v>2</v>
      </c>
      <c r="J20" s="43">
        <v>8</v>
      </c>
      <c r="K20" s="43">
        <v>1</v>
      </c>
      <c r="L20" s="43">
        <v>2</v>
      </c>
      <c r="M20" s="43">
        <v>2</v>
      </c>
      <c r="N20" s="174">
        <f t="shared" si="0"/>
        <v>32</v>
      </c>
      <c r="O20" s="170">
        <f t="shared" si="1"/>
        <v>2.6666666666666665</v>
      </c>
      <c r="P20" s="171">
        <f t="shared" si="2"/>
        <v>5.5387278234530504E-2</v>
      </c>
    </row>
    <row r="21" spans="1:16" customFormat="1" ht="15">
      <c r="A21" s="172" t="s">
        <v>230</v>
      </c>
      <c r="B21" s="175">
        <v>398</v>
      </c>
      <c r="C21" s="43">
        <v>394</v>
      </c>
      <c r="D21" s="43">
        <v>441</v>
      </c>
      <c r="E21" s="43">
        <v>365</v>
      </c>
      <c r="F21" s="43">
        <v>374</v>
      </c>
      <c r="G21" s="43">
        <v>342</v>
      </c>
      <c r="H21" s="43">
        <v>343</v>
      </c>
      <c r="I21" s="43">
        <v>427</v>
      </c>
      <c r="J21" s="43">
        <v>332</v>
      </c>
      <c r="K21" s="43">
        <v>373</v>
      </c>
      <c r="L21" s="43">
        <v>318</v>
      </c>
      <c r="M21" s="43">
        <v>343</v>
      </c>
      <c r="N21" s="174">
        <f t="shared" si="0"/>
        <v>4450</v>
      </c>
      <c r="O21" s="170">
        <f t="shared" si="1"/>
        <v>370.83333333333331</v>
      </c>
      <c r="P21" s="171">
        <f t="shared" si="2"/>
        <v>7.7022933794893982</v>
      </c>
    </row>
    <row r="22" spans="1:16" customFormat="1" ht="15">
      <c r="A22" s="172" t="s">
        <v>231</v>
      </c>
      <c r="B22" s="175">
        <v>514</v>
      </c>
      <c r="C22" s="43">
        <v>592</v>
      </c>
      <c r="D22" s="43">
        <v>681</v>
      </c>
      <c r="E22" s="43">
        <v>622</v>
      </c>
      <c r="F22" s="43">
        <v>700</v>
      </c>
      <c r="G22" s="43">
        <v>734</v>
      </c>
      <c r="H22" s="43">
        <v>737</v>
      </c>
      <c r="I22" s="43">
        <v>704</v>
      </c>
      <c r="J22" s="43">
        <v>572</v>
      </c>
      <c r="K22" s="43">
        <v>573</v>
      </c>
      <c r="L22" s="43">
        <v>536</v>
      </c>
      <c r="M22" s="43">
        <v>545</v>
      </c>
      <c r="N22" s="174">
        <f t="shared" si="0"/>
        <v>7510</v>
      </c>
      <c r="O22" s="170">
        <f t="shared" si="1"/>
        <v>625.83333333333337</v>
      </c>
      <c r="P22" s="171">
        <f t="shared" si="2"/>
        <v>12.998701860666378</v>
      </c>
    </row>
    <row r="23" spans="1:16" customFormat="1" ht="15">
      <c r="A23" s="172" t="s">
        <v>232</v>
      </c>
      <c r="B23" s="175">
        <v>350</v>
      </c>
      <c r="C23" s="43">
        <v>630</v>
      </c>
      <c r="D23" s="43">
        <v>880</v>
      </c>
      <c r="E23" s="43">
        <v>607</v>
      </c>
      <c r="F23" s="43">
        <v>632</v>
      </c>
      <c r="G23" s="43">
        <v>485</v>
      </c>
      <c r="H23" s="43">
        <v>784</v>
      </c>
      <c r="I23" s="43">
        <v>878</v>
      </c>
      <c r="J23" s="43">
        <v>1034</v>
      </c>
      <c r="K23" s="43">
        <v>886</v>
      </c>
      <c r="L23" s="43">
        <v>527</v>
      </c>
      <c r="M23" s="43">
        <v>564</v>
      </c>
      <c r="N23" s="174">
        <f t="shared" si="0"/>
        <v>8257</v>
      </c>
      <c r="O23" s="170">
        <f t="shared" si="1"/>
        <v>688.08333333333337</v>
      </c>
      <c r="P23" s="171">
        <f t="shared" si="2"/>
        <v>14.291648636953699</v>
      </c>
    </row>
    <row r="24" spans="1:16" customFormat="1" ht="15">
      <c r="A24" s="172" t="s">
        <v>233</v>
      </c>
      <c r="B24" s="175">
        <v>12</v>
      </c>
      <c r="C24" s="43">
        <v>15</v>
      </c>
      <c r="D24" s="43">
        <v>16</v>
      </c>
      <c r="E24" s="43">
        <v>11</v>
      </c>
      <c r="F24" s="43">
        <v>11</v>
      </c>
      <c r="G24" s="43">
        <v>7</v>
      </c>
      <c r="H24" s="43">
        <v>5</v>
      </c>
      <c r="I24" s="43">
        <v>10</v>
      </c>
      <c r="J24" s="43">
        <v>12</v>
      </c>
      <c r="K24" s="43">
        <v>8</v>
      </c>
      <c r="L24" s="43">
        <v>11</v>
      </c>
      <c r="M24" s="43">
        <v>11</v>
      </c>
      <c r="N24" s="174">
        <f t="shared" si="0"/>
        <v>129</v>
      </c>
      <c r="O24" s="170">
        <f t="shared" si="1"/>
        <v>10.75</v>
      </c>
      <c r="P24" s="171">
        <f t="shared" si="2"/>
        <v>0.22327996538295111</v>
      </c>
    </row>
    <row r="25" spans="1:16" customFormat="1" ht="15">
      <c r="A25" s="172" t="s">
        <v>234</v>
      </c>
      <c r="B25" s="175">
        <v>12</v>
      </c>
      <c r="C25" s="43">
        <v>14</v>
      </c>
      <c r="D25" s="43">
        <v>17</v>
      </c>
      <c r="E25" s="43">
        <v>16</v>
      </c>
      <c r="F25" s="43">
        <v>21</v>
      </c>
      <c r="G25" s="43">
        <v>9</v>
      </c>
      <c r="H25" s="43">
        <v>7</v>
      </c>
      <c r="I25" s="43">
        <v>12</v>
      </c>
      <c r="J25" s="43">
        <v>16</v>
      </c>
      <c r="K25" s="43">
        <v>17</v>
      </c>
      <c r="L25" s="43">
        <v>17</v>
      </c>
      <c r="M25" s="43">
        <v>12</v>
      </c>
      <c r="N25" s="174">
        <f t="shared" si="0"/>
        <v>170</v>
      </c>
      <c r="O25" s="170">
        <f t="shared" si="1"/>
        <v>14.166666666666666</v>
      </c>
      <c r="P25" s="171">
        <f t="shared" si="2"/>
        <v>0.29424491562094329</v>
      </c>
    </row>
    <row r="26" spans="1:16" customFormat="1" ht="15">
      <c r="A26" s="172" t="s">
        <v>235</v>
      </c>
      <c r="B26" s="175">
        <v>66</v>
      </c>
      <c r="C26" s="43">
        <v>60</v>
      </c>
      <c r="D26" s="43">
        <v>54</v>
      </c>
      <c r="E26" s="43">
        <v>42</v>
      </c>
      <c r="F26" s="43">
        <v>40</v>
      </c>
      <c r="G26" s="43">
        <v>36</v>
      </c>
      <c r="H26" s="44">
        <v>42</v>
      </c>
      <c r="I26" s="43">
        <v>29</v>
      </c>
      <c r="J26" s="43">
        <v>21</v>
      </c>
      <c r="K26" s="43">
        <v>12</v>
      </c>
      <c r="L26" s="43">
        <v>7</v>
      </c>
      <c r="M26" s="43">
        <v>9</v>
      </c>
      <c r="N26" s="174">
        <f t="shared" si="0"/>
        <v>418</v>
      </c>
      <c r="O26" s="170">
        <f t="shared" si="1"/>
        <v>34.833333333333336</v>
      </c>
      <c r="P26" s="171">
        <f t="shared" si="2"/>
        <v>0.72349632193855473</v>
      </c>
    </row>
    <row r="27" spans="1:16" customFormat="1" ht="15">
      <c r="A27" s="172" t="s">
        <v>236</v>
      </c>
      <c r="B27" s="175">
        <v>148</v>
      </c>
      <c r="C27" s="43">
        <v>146</v>
      </c>
      <c r="D27" s="43">
        <v>190</v>
      </c>
      <c r="E27" s="43">
        <v>187</v>
      </c>
      <c r="F27" s="43">
        <v>215</v>
      </c>
      <c r="G27" s="43">
        <v>164</v>
      </c>
      <c r="H27" s="43">
        <v>161</v>
      </c>
      <c r="I27" s="43">
        <v>206</v>
      </c>
      <c r="J27" s="43">
        <v>183</v>
      </c>
      <c r="K27" s="43">
        <v>326</v>
      </c>
      <c r="L27" s="43">
        <v>377</v>
      </c>
      <c r="M27" s="43">
        <v>131</v>
      </c>
      <c r="N27" s="174">
        <f t="shared" si="0"/>
        <v>2434</v>
      </c>
      <c r="O27" s="170">
        <f t="shared" si="1"/>
        <v>202.83333333333334</v>
      </c>
      <c r="P27" s="171">
        <f t="shared" si="2"/>
        <v>4.212894850713977</v>
      </c>
    </row>
    <row r="28" spans="1:16" customFormat="1" ht="15">
      <c r="A28" s="172" t="s">
        <v>237</v>
      </c>
      <c r="B28" s="175">
        <v>33</v>
      </c>
      <c r="C28" s="43">
        <v>39</v>
      </c>
      <c r="D28" s="43">
        <v>24</v>
      </c>
      <c r="E28" s="43">
        <v>41</v>
      </c>
      <c r="F28" s="43">
        <v>26</v>
      </c>
      <c r="G28" s="43">
        <v>6</v>
      </c>
      <c r="H28" s="43">
        <v>13</v>
      </c>
      <c r="I28" s="43">
        <v>8</v>
      </c>
      <c r="J28" s="43">
        <v>14</v>
      </c>
      <c r="K28" s="43">
        <v>36</v>
      </c>
      <c r="L28" s="43">
        <v>18</v>
      </c>
      <c r="M28" s="43">
        <v>14</v>
      </c>
      <c r="N28" s="174">
        <f t="shared" si="0"/>
        <v>272</v>
      </c>
      <c r="O28" s="170">
        <f t="shared" si="1"/>
        <v>22.666666666666668</v>
      </c>
      <c r="P28" s="171">
        <f t="shared" si="2"/>
        <v>0.47079186499350928</v>
      </c>
    </row>
    <row r="29" spans="1:16" customFormat="1" ht="15">
      <c r="A29" s="172" t="s">
        <v>238</v>
      </c>
      <c r="B29" s="175">
        <v>10</v>
      </c>
      <c r="C29" s="43">
        <v>12</v>
      </c>
      <c r="D29" s="43">
        <v>13</v>
      </c>
      <c r="E29" s="43">
        <v>15</v>
      </c>
      <c r="F29" s="43">
        <v>16</v>
      </c>
      <c r="G29" s="43">
        <v>14</v>
      </c>
      <c r="H29" s="43">
        <v>18</v>
      </c>
      <c r="I29" s="43">
        <v>16</v>
      </c>
      <c r="J29" s="43">
        <v>16</v>
      </c>
      <c r="K29" s="43">
        <v>17</v>
      </c>
      <c r="L29" s="43">
        <v>8</v>
      </c>
      <c r="M29" s="43">
        <v>17</v>
      </c>
      <c r="N29" s="174">
        <f t="shared" si="0"/>
        <v>172</v>
      </c>
      <c r="O29" s="170">
        <f t="shared" si="1"/>
        <v>14.333333333333334</v>
      </c>
      <c r="P29" s="171">
        <f t="shared" si="2"/>
        <v>0.29770662051060148</v>
      </c>
    </row>
    <row r="30" spans="1:16" customFormat="1" ht="15">
      <c r="A30" s="172" t="s">
        <v>239</v>
      </c>
      <c r="B30" s="175">
        <v>5</v>
      </c>
      <c r="C30" s="43">
        <v>6</v>
      </c>
      <c r="D30" s="43">
        <v>4</v>
      </c>
      <c r="E30" s="43">
        <v>2</v>
      </c>
      <c r="F30" s="43">
        <v>7</v>
      </c>
      <c r="G30" s="43">
        <v>6</v>
      </c>
      <c r="H30" s="43">
        <v>7</v>
      </c>
      <c r="I30" s="43">
        <v>17</v>
      </c>
      <c r="J30" s="43">
        <v>15</v>
      </c>
      <c r="K30" s="43">
        <v>14</v>
      </c>
      <c r="L30" s="43">
        <v>7</v>
      </c>
      <c r="M30" s="43">
        <v>8</v>
      </c>
      <c r="N30" s="174">
        <f t="shared" si="0"/>
        <v>98</v>
      </c>
      <c r="O30" s="170">
        <f t="shared" si="1"/>
        <v>8.1666666666666661</v>
      </c>
      <c r="P30" s="171">
        <f t="shared" si="2"/>
        <v>0.16962353959324969</v>
      </c>
    </row>
    <row r="31" spans="1:16" customFormat="1" ht="15">
      <c r="A31" s="172" t="s">
        <v>240</v>
      </c>
      <c r="B31" s="175">
        <v>27</v>
      </c>
      <c r="C31" s="43">
        <v>34</v>
      </c>
      <c r="D31" s="43">
        <v>38</v>
      </c>
      <c r="E31" s="43">
        <v>15</v>
      </c>
      <c r="F31" s="43">
        <v>20</v>
      </c>
      <c r="G31" s="43">
        <v>47</v>
      </c>
      <c r="H31" s="44">
        <v>22</v>
      </c>
      <c r="I31" s="43">
        <v>42</v>
      </c>
      <c r="J31" s="43">
        <v>58</v>
      </c>
      <c r="K31" s="43">
        <v>59</v>
      </c>
      <c r="L31" s="43">
        <v>59</v>
      </c>
      <c r="M31" s="43">
        <v>50</v>
      </c>
      <c r="N31" s="174">
        <f t="shared" si="0"/>
        <v>471</v>
      </c>
      <c r="O31" s="170">
        <f t="shared" si="1"/>
        <v>39.25</v>
      </c>
      <c r="P31" s="171">
        <f t="shared" si="2"/>
        <v>0.81523150151449586</v>
      </c>
    </row>
    <row r="32" spans="1:16" customFormat="1" ht="15">
      <c r="A32" s="172" t="s">
        <v>241</v>
      </c>
      <c r="B32" s="175">
        <v>24</v>
      </c>
      <c r="C32" s="43">
        <v>34</v>
      </c>
      <c r="D32" s="43">
        <v>28</v>
      </c>
      <c r="E32" s="43">
        <v>22</v>
      </c>
      <c r="F32" s="43">
        <v>22</v>
      </c>
      <c r="G32" s="43">
        <v>24</v>
      </c>
      <c r="H32" s="43">
        <v>29</v>
      </c>
      <c r="I32" s="43">
        <v>35</v>
      </c>
      <c r="J32" s="43">
        <v>31</v>
      </c>
      <c r="K32" s="43">
        <v>57</v>
      </c>
      <c r="L32" s="43">
        <v>49</v>
      </c>
      <c r="M32" s="43">
        <v>29</v>
      </c>
      <c r="N32" s="174">
        <f t="shared" si="0"/>
        <v>384</v>
      </c>
      <c r="O32" s="170">
        <f t="shared" si="1"/>
        <v>32</v>
      </c>
      <c r="P32" s="171">
        <f t="shared" si="2"/>
        <v>0.664647338814366</v>
      </c>
    </row>
    <row r="33" spans="1:16" customFormat="1" ht="15" customHeight="1">
      <c r="A33" s="172" t="s">
        <v>242</v>
      </c>
      <c r="B33" s="175">
        <v>1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1</v>
      </c>
      <c r="L33" s="43">
        <v>0</v>
      </c>
      <c r="M33" s="43">
        <v>0</v>
      </c>
      <c r="N33" s="174">
        <f t="shared" si="0"/>
        <v>2</v>
      </c>
      <c r="O33" s="170">
        <f t="shared" si="1"/>
        <v>0.16666666666666666</v>
      </c>
      <c r="P33" s="171">
        <f t="shared" si="2"/>
        <v>3.4617048896581565E-3</v>
      </c>
    </row>
    <row r="34" spans="1:16" customFormat="1" ht="15" customHeight="1">
      <c r="A34" s="172" t="s">
        <v>243</v>
      </c>
      <c r="B34" s="175">
        <v>49</v>
      </c>
      <c r="C34" s="43">
        <v>56</v>
      </c>
      <c r="D34" s="43">
        <v>58</v>
      </c>
      <c r="E34" s="43">
        <v>40</v>
      </c>
      <c r="F34" s="43">
        <v>63</v>
      </c>
      <c r="G34" s="43">
        <v>71</v>
      </c>
      <c r="H34" s="43">
        <v>67</v>
      </c>
      <c r="I34" s="43">
        <v>65</v>
      </c>
      <c r="J34" s="43">
        <v>39</v>
      </c>
      <c r="K34" s="43">
        <v>51</v>
      </c>
      <c r="L34" s="43">
        <v>34</v>
      </c>
      <c r="M34" s="43">
        <v>70</v>
      </c>
      <c r="N34" s="174">
        <f t="shared" si="0"/>
        <v>663</v>
      </c>
      <c r="O34" s="170">
        <f t="shared" si="1"/>
        <v>55.25</v>
      </c>
      <c r="P34" s="171">
        <f t="shared" si="2"/>
        <v>1.1475551709216789</v>
      </c>
    </row>
    <row r="35" spans="1:16" customFormat="1" ht="15" customHeight="1">
      <c r="A35" s="172" t="s">
        <v>244</v>
      </c>
      <c r="B35" s="175">
        <v>28</v>
      </c>
      <c r="C35" s="43">
        <v>66</v>
      </c>
      <c r="D35" s="43">
        <v>19</v>
      </c>
      <c r="E35" s="43">
        <v>27</v>
      </c>
      <c r="F35" s="43">
        <v>35</v>
      </c>
      <c r="G35" s="43">
        <v>45</v>
      </c>
      <c r="H35" s="43">
        <v>21</v>
      </c>
      <c r="I35" s="43">
        <v>32</v>
      </c>
      <c r="J35" s="43">
        <v>41</v>
      </c>
      <c r="K35" s="43">
        <v>44</v>
      </c>
      <c r="L35" s="43">
        <v>43</v>
      </c>
      <c r="M35" s="43">
        <v>37</v>
      </c>
      <c r="N35" s="174">
        <f t="shared" si="0"/>
        <v>438</v>
      </c>
      <c r="O35" s="170">
        <f t="shared" si="1"/>
        <v>36.5</v>
      </c>
      <c r="P35" s="171">
        <f t="shared" si="2"/>
        <v>0.7581133708351363</v>
      </c>
    </row>
    <row r="36" spans="1:16" customFormat="1" ht="15" customHeight="1">
      <c r="A36" s="172" t="s">
        <v>245</v>
      </c>
      <c r="B36" s="175">
        <v>2</v>
      </c>
      <c r="C36" s="43">
        <v>0</v>
      </c>
      <c r="D36" s="43">
        <v>0</v>
      </c>
      <c r="E36" s="43">
        <v>3</v>
      </c>
      <c r="F36" s="43">
        <v>1</v>
      </c>
      <c r="G36" s="43">
        <v>0</v>
      </c>
      <c r="H36" s="43">
        <v>0</v>
      </c>
      <c r="I36" s="43">
        <v>0</v>
      </c>
      <c r="J36" s="43">
        <v>0</v>
      </c>
      <c r="K36" s="43">
        <v>1</v>
      </c>
      <c r="L36" s="43">
        <v>10</v>
      </c>
      <c r="M36" s="43">
        <v>2</v>
      </c>
      <c r="N36" s="174">
        <f t="shared" si="0"/>
        <v>19</v>
      </c>
      <c r="O36" s="170">
        <f t="shared" si="1"/>
        <v>1.5833333333333333</v>
      </c>
      <c r="P36" s="171">
        <f t="shared" si="2"/>
        <v>3.2886196451752489E-2</v>
      </c>
    </row>
    <row r="37" spans="1:16" customFormat="1" ht="15" customHeight="1">
      <c r="A37" s="172" t="s">
        <v>246</v>
      </c>
      <c r="B37" s="175">
        <v>37</v>
      </c>
      <c r="C37" s="43">
        <v>39</v>
      </c>
      <c r="D37" s="43">
        <v>46</v>
      </c>
      <c r="E37" s="43">
        <v>39</v>
      </c>
      <c r="F37" s="43">
        <v>39</v>
      </c>
      <c r="G37" s="43">
        <v>38</v>
      </c>
      <c r="H37" s="43">
        <v>33</v>
      </c>
      <c r="I37" s="43">
        <v>19</v>
      </c>
      <c r="J37" s="43">
        <v>14</v>
      </c>
      <c r="K37" s="43">
        <v>23</v>
      </c>
      <c r="L37" s="43">
        <v>29</v>
      </c>
      <c r="M37" s="43">
        <v>41</v>
      </c>
      <c r="N37" s="174">
        <f t="shared" ref="N37:N68" si="3">SUM(B37:M37)</f>
        <v>397</v>
      </c>
      <c r="O37" s="170">
        <f t="shared" ref="O37:O72" si="4">AVERAGE(B37:M37)</f>
        <v>33.083333333333336</v>
      </c>
      <c r="P37" s="171">
        <f t="shared" ref="P37:P71" si="5">(N37/$N$72)*100</f>
        <v>0.68714842059714409</v>
      </c>
    </row>
    <row r="38" spans="1:16" customFormat="1" ht="15" customHeight="1">
      <c r="A38" s="172" t="s">
        <v>247</v>
      </c>
      <c r="B38" s="175">
        <v>43</v>
      </c>
      <c r="C38" s="43">
        <v>43</v>
      </c>
      <c r="D38" s="43">
        <v>71</v>
      </c>
      <c r="E38" s="43">
        <v>57</v>
      </c>
      <c r="F38" s="43">
        <v>143</v>
      </c>
      <c r="G38" s="43">
        <v>110</v>
      </c>
      <c r="H38" s="43">
        <v>61</v>
      </c>
      <c r="I38" s="43">
        <v>83</v>
      </c>
      <c r="J38" s="43">
        <v>71</v>
      </c>
      <c r="K38" s="43">
        <v>72</v>
      </c>
      <c r="L38" s="43">
        <v>36</v>
      </c>
      <c r="M38" s="43">
        <v>30</v>
      </c>
      <c r="N38" s="174">
        <f t="shared" si="3"/>
        <v>820</v>
      </c>
      <c r="O38" s="170">
        <f t="shared" si="4"/>
        <v>68.333333333333329</v>
      </c>
      <c r="P38" s="171">
        <f t="shared" si="5"/>
        <v>1.4192990047598442</v>
      </c>
    </row>
    <row r="39" spans="1:16" customFormat="1" ht="15" customHeight="1">
      <c r="A39" s="172" t="s">
        <v>248</v>
      </c>
      <c r="B39" s="175">
        <v>24</v>
      </c>
      <c r="C39" s="43">
        <v>19</v>
      </c>
      <c r="D39" s="43">
        <v>29</v>
      </c>
      <c r="E39" s="43">
        <v>18</v>
      </c>
      <c r="F39" s="43">
        <v>38</v>
      </c>
      <c r="G39" s="43">
        <v>31</v>
      </c>
      <c r="H39" s="43">
        <v>33</v>
      </c>
      <c r="I39" s="43">
        <v>38</v>
      </c>
      <c r="J39" s="43">
        <v>25</v>
      </c>
      <c r="K39" s="43">
        <v>43</v>
      </c>
      <c r="L39" s="43">
        <v>10</v>
      </c>
      <c r="M39" s="43">
        <v>15</v>
      </c>
      <c r="N39" s="174">
        <f t="shared" si="3"/>
        <v>323</v>
      </c>
      <c r="O39" s="170">
        <f t="shared" si="4"/>
        <v>26.916666666666668</v>
      </c>
      <c r="P39" s="171">
        <f t="shared" si="5"/>
        <v>0.55906533967979233</v>
      </c>
    </row>
    <row r="40" spans="1:16" customFormat="1" ht="15" customHeight="1">
      <c r="A40" s="172" t="s">
        <v>249</v>
      </c>
      <c r="B40" s="175">
        <v>27</v>
      </c>
      <c r="C40" s="43">
        <v>43</v>
      </c>
      <c r="D40" s="43">
        <v>19</v>
      </c>
      <c r="E40" s="43">
        <v>21</v>
      </c>
      <c r="F40" s="43">
        <v>23</v>
      </c>
      <c r="G40" s="43">
        <v>37</v>
      </c>
      <c r="H40" s="43">
        <v>25</v>
      </c>
      <c r="I40" s="43">
        <v>29</v>
      </c>
      <c r="J40" s="43">
        <v>21</v>
      </c>
      <c r="K40" s="43">
        <v>40</v>
      </c>
      <c r="L40" s="43">
        <v>24</v>
      </c>
      <c r="M40" s="43">
        <v>24</v>
      </c>
      <c r="N40" s="174">
        <f t="shared" si="3"/>
        <v>333</v>
      </c>
      <c r="O40" s="170">
        <f t="shared" si="4"/>
        <v>27.75</v>
      </c>
      <c r="P40" s="171">
        <f t="shared" si="5"/>
        <v>0.576373864128083</v>
      </c>
    </row>
    <row r="41" spans="1:16" customFormat="1" ht="15" customHeight="1">
      <c r="A41" s="172" t="s">
        <v>250</v>
      </c>
      <c r="B41" s="175">
        <v>30</v>
      </c>
      <c r="C41" s="43">
        <v>49</v>
      </c>
      <c r="D41" s="43">
        <v>43</v>
      </c>
      <c r="E41" s="43">
        <v>56</v>
      </c>
      <c r="F41" s="43">
        <v>64</v>
      </c>
      <c r="G41" s="43">
        <v>51</v>
      </c>
      <c r="H41" s="43">
        <v>54</v>
      </c>
      <c r="I41" s="43">
        <v>80</v>
      </c>
      <c r="J41" s="43">
        <v>52</v>
      </c>
      <c r="K41" s="43">
        <v>66</v>
      </c>
      <c r="L41" s="43">
        <v>57</v>
      </c>
      <c r="M41" s="43">
        <v>52</v>
      </c>
      <c r="N41" s="174">
        <f t="shared" si="3"/>
        <v>654</v>
      </c>
      <c r="O41" s="170">
        <f t="shared" si="4"/>
        <v>54.5</v>
      </c>
      <c r="P41" s="171">
        <f t="shared" si="5"/>
        <v>1.1319774989182172</v>
      </c>
    </row>
    <row r="42" spans="1:16" customFormat="1" ht="15" customHeight="1">
      <c r="A42" s="172" t="s">
        <v>251</v>
      </c>
      <c r="B42" s="175">
        <v>28</v>
      </c>
      <c r="C42" s="43">
        <v>64</v>
      </c>
      <c r="D42" s="43">
        <v>40</v>
      </c>
      <c r="E42" s="43">
        <v>37</v>
      </c>
      <c r="F42" s="43">
        <v>43</v>
      </c>
      <c r="G42" s="43">
        <v>94</v>
      </c>
      <c r="H42" s="43">
        <v>41</v>
      </c>
      <c r="I42" s="43">
        <v>47</v>
      </c>
      <c r="J42" s="43">
        <v>40</v>
      </c>
      <c r="K42" s="43">
        <v>36</v>
      </c>
      <c r="L42" s="43">
        <v>48</v>
      </c>
      <c r="M42" s="43">
        <v>62</v>
      </c>
      <c r="N42" s="174">
        <f t="shared" si="3"/>
        <v>580</v>
      </c>
      <c r="O42" s="170">
        <f t="shared" si="4"/>
        <v>48.333333333333336</v>
      </c>
      <c r="P42" s="171">
        <f t="shared" si="5"/>
        <v>1.0038944180008655</v>
      </c>
    </row>
    <row r="43" spans="1:16" customFormat="1" ht="15" customHeight="1">
      <c r="A43" s="172" t="s">
        <v>252</v>
      </c>
      <c r="B43" s="175">
        <v>28</v>
      </c>
      <c r="C43" s="43">
        <v>67</v>
      </c>
      <c r="D43" s="43">
        <v>43</v>
      </c>
      <c r="E43" s="43">
        <v>44</v>
      </c>
      <c r="F43" s="43">
        <v>38</v>
      </c>
      <c r="G43" s="43">
        <v>34</v>
      </c>
      <c r="H43" s="43">
        <v>35</v>
      </c>
      <c r="I43" s="43">
        <v>45</v>
      </c>
      <c r="J43" s="43">
        <v>26</v>
      </c>
      <c r="K43" s="43">
        <v>50</v>
      </c>
      <c r="L43" s="43">
        <v>32</v>
      </c>
      <c r="M43" s="43">
        <v>29</v>
      </c>
      <c r="N43" s="174">
        <f t="shared" si="3"/>
        <v>471</v>
      </c>
      <c r="O43" s="170">
        <f t="shared" si="4"/>
        <v>39.25</v>
      </c>
      <c r="P43" s="171">
        <f t="shared" si="5"/>
        <v>0.81523150151449586</v>
      </c>
    </row>
    <row r="44" spans="1:16" customFormat="1" ht="15" customHeight="1">
      <c r="A44" s="172" t="s">
        <v>253</v>
      </c>
      <c r="B44" s="175">
        <v>34</v>
      </c>
      <c r="C44" s="43">
        <v>27</v>
      </c>
      <c r="D44" s="43">
        <v>43</v>
      </c>
      <c r="E44" s="43">
        <v>29</v>
      </c>
      <c r="F44" s="43">
        <v>23</v>
      </c>
      <c r="G44" s="43">
        <v>43</v>
      </c>
      <c r="H44" s="43">
        <v>29</v>
      </c>
      <c r="I44" s="43">
        <v>37</v>
      </c>
      <c r="J44" s="43">
        <v>40</v>
      </c>
      <c r="K44" s="43">
        <v>40</v>
      </c>
      <c r="L44" s="43">
        <v>43</v>
      </c>
      <c r="M44" s="43">
        <v>25</v>
      </c>
      <c r="N44" s="174">
        <f t="shared" si="3"/>
        <v>413</v>
      </c>
      <c r="O44" s="170">
        <f t="shared" si="4"/>
        <v>34.416666666666664</v>
      </c>
      <c r="P44" s="171">
        <f t="shared" si="5"/>
        <v>0.71484205971440939</v>
      </c>
    </row>
    <row r="45" spans="1:16" customFormat="1" ht="15" customHeight="1">
      <c r="A45" s="172" t="s">
        <v>254</v>
      </c>
      <c r="B45" s="175">
        <v>19</v>
      </c>
      <c r="C45" s="43">
        <v>33</v>
      </c>
      <c r="D45" s="43">
        <v>25</v>
      </c>
      <c r="E45" s="43">
        <v>27</v>
      </c>
      <c r="F45" s="43">
        <v>37</v>
      </c>
      <c r="G45" s="43">
        <v>34</v>
      </c>
      <c r="H45" s="43">
        <v>32</v>
      </c>
      <c r="I45" s="43">
        <v>69</v>
      </c>
      <c r="J45" s="43">
        <v>28</v>
      </c>
      <c r="K45" s="43">
        <v>37</v>
      </c>
      <c r="L45" s="43">
        <v>43</v>
      </c>
      <c r="M45" s="43">
        <v>41</v>
      </c>
      <c r="N45" s="174">
        <f t="shared" si="3"/>
        <v>425</v>
      </c>
      <c r="O45" s="170">
        <f t="shared" si="4"/>
        <v>35.416666666666664</v>
      </c>
      <c r="P45" s="171">
        <f t="shared" si="5"/>
        <v>0.7356122890523582</v>
      </c>
    </row>
    <row r="46" spans="1:16" customFormat="1" ht="15" customHeight="1">
      <c r="A46" s="172" t="s">
        <v>255</v>
      </c>
      <c r="B46" s="175">
        <v>7</v>
      </c>
      <c r="C46" s="43">
        <v>6</v>
      </c>
      <c r="D46" s="43">
        <v>3</v>
      </c>
      <c r="E46" s="43">
        <v>7</v>
      </c>
      <c r="F46" s="43">
        <v>3</v>
      </c>
      <c r="G46" s="43">
        <v>2</v>
      </c>
      <c r="H46" s="43">
        <v>5</v>
      </c>
      <c r="I46" s="43">
        <v>11</v>
      </c>
      <c r="J46" s="43">
        <v>17</v>
      </c>
      <c r="K46" s="43">
        <v>7</v>
      </c>
      <c r="L46" s="43">
        <v>6</v>
      </c>
      <c r="M46" s="43">
        <v>6</v>
      </c>
      <c r="N46" s="174">
        <f t="shared" si="3"/>
        <v>80</v>
      </c>
      <c r="O46" s="170">
        <f t="shared" si="4"/>
        <v>6.666666666666667</v>
      </c>
      <c r="P46" s="171">
        <f t="shared" si="5"/>
        <v>0.13846819558632628</v>
      </c>
    </row>
    <row r="47" spans="1:16" customFormat="1" ht="15" customHeight="1">
      <c r="A47" s="172" t="s">
        <v>256</v>
      </c>
      <c r="B47" s="175">
        <v>9</v>
      </c>
      <c r="C47" s="43">
        <v>8</v>
      </c>
      <c r="D47" s="43">
        <v>12</v>
      </c>
      <c r="E47" s="43">
        <v>11</v>
      </c>
      <c r="F47" s="43">
        <v>16</v>
      </c>
      <c r="G47" s="43">
        <v>19</v>
      </c>
      <c r="H47" s="43">
        <v>10</v>
      </c>
      <c r="I47" s="43">
        <v>16</v>
      </c>
      <c r="J47" s="43">
        <v>12</v>
      </c>
      <c r="K47" s="43">
        <v>10</v>
      </c>
      <c r="L47" s="43">
        <v>15</v>
      </c>
      <c r="M47" s="43">
        <v>14</v>
      </c>
      <c r="N47" s="174">
        <f t="shared" si="3"/>
        <v>152</v>
      </c>
      <c r="O47" s="170">
        <f t="shared" si="4"/>
        <v>12.666666666666666</v>
      </c>
      <c r="P47" s="171">
        <f t="shared" si="5"/>
        <v>0.26308957161401991</v>
      </c>
    </row>
    <row r="48" spans="1:16" customFormat="1" ht="15" customHeight="1">
      <c r="A48" s="172" t="s">
        <v>257</v>
      </c>
      <c r="B48" s="175">
        <v>17</v>
      </c>
      <c r="C48" s="43">
        <v>21</v>
      </c>
      <c r="D48" s="43">
        <v>27</v>
      </c>
      <c r="E48" s="43">
        <v>25</v>
      </c>
      <c r="F48" s="43">
        <v>29</v>
      </c>
      <c r="G48" s="43">
        <v>36</v>
      </c>
      <c r="H48" s="43">
        <v>26</v>
      </c>
      <c r="I48" s="43">
        <v>21</v>
      </c>
      <c r="J48" s="43">
        <v>14</v>
      </c>
      <c r="K48" s="43">
        <v>20</v>
      </c>
      <c r="L48" s="43">
        <v>27</v>
      </c>
      <c r="M48" s="43">
        <v>22</v>
      </c>
      <c r="N48" s="174">
        <f t="shared" si="3"/>
        <v>285</v>
      </c>
      <c r="O48" s="170">
        <f t="shared" si="4"/>
        <v>23.75</v>
      </c>
      <c r="P48" s="171">
        <f t="shared" si="5"/>
        <v>0.49329294677628738</v>
      </c>
    </row>
    <row r="49" spans="1:16" customFormat="1" ht="15" customHeight="1">
      <c r="A49" s="172" t="s">
        <v>258</v>
      </c>
      <c r="B49" s="175">
        <v>8</v>
      </c>
      <c r="C49" s="43">
        <v>11</v>
      </c>
      <c r="D49" s="43">
        <v>8</v>
      </c>
      <c r="E49" s="43">
        <v>11</v>
      </c>
      <c r="F49" s="43">
        <v>11</v>
      </c>
      <c r="G49" s="43">
        <v>9</v>
      </c>
      <c r="H49" s="43">
        <v>12</v>
      </c>
      <c r="I49" s="43">
        <v>11</v>
      </c>
      <c r="J49" s="43">
        <v>11</v>
      </c>
      <c r="K49" s="43">
        <v>10</v>
      </c>
      <c r="L49" s="43">
        <v>13</v>
      </c>
      <c r="M49" s="43">
        <v>10</v>
      </c>
      <c r="N49" s="174">
        <f t="shared" si="3"/>
        <v>125</v>
      </c>
      <c r="O49" s="170">
        <f t="shared" si="4"/>
        <v>10.416666666666666</v>
      </c>
      <c r="P49" s="171">
        <f t="shared" si="5"/>
        <v>0.21635655560363476</v>
      </c>
    </row>
    <row r="50" spans="1:16" customFormat="1" ht="15" customHeight="1">
      <c r="A50" s="172" t="s">
        <v>259</v>
      </c>
      <c r="B50" s="175">
        <v>42</v>
      </c>
      <c r="C50" s="43">
        <v>43</v>
      </c>
      <c r="D50" s="43">
        <v>44</v>
      </c>
      <c r="E50" s="43">
        <v>32</v>
      </c>
      <c r="F50" s="43">
        <v>46</v>
      </c>
      <c r="G50" s="43">
        <v>50</v>
      </c>
      <c r="H50" s="43">
        <v>47</v>
      </c>
      <c r="I50" s="43">
        <v>46</v>
      </c>
      <c r="J50" s="43">
        <v>50</v>
      </c>
      <c r="K50" s="43">
        <v>43</v>
      </c>
      <c r="L50" s="43">
        <v>65</v>
      </c>
      <c r="M50" s="43">
        <v>41</v>
      </c>
      <c r="N50" s="174">
        <f t="shared" si="3"/>
        <v>549</v>
      </c>
      <c r="O50" s="170">
        <f t="shared" si="4"/>
        <v>45.75</v>
      </c>
      <c r="P50" s="171">
        <f t="shared" si="5"/>
        <v>0.95023799221116401</v>
      </c>
    </row>
    <row r="51" spans="1:16" customFormat="1" ht="15" customHeight="1">
      <c r="A51" s="172" t="s">
        <v>260</v>
      </c>
      <c r="B51" s="175">
        <v>30</v>
      </c>
      <c r="C51" s="43">
        <v>33</v>
      </c>
      <c r="D51" s="43">
        <v>33</v>
      </c>
      <c r="E51" s="43">
        <v>104</v>
      </c>
      <c r="F51" s="43">
        <v>22</v>
      </c>
      <c r="G51" s="43">
        <v>27</v>
      </c>
      <c r="H51" s="43">
        <v>23</v>
      </c>
      <c r="I51" s="43">
        <v>26</v>
      </c>
      <c r="J51" s="43">
        <v>21</v>
      </c>
      <c r="K51" s="43">
        <v>27</v>
      </c>
      <c r="L51" s="43">
        <v>35</v>
      </c>
      <c r="M51" s="43">
        <v>28</v>
      </c>
      <c r="N51" s="174">
        <f t="shared" si="3"/>
        <v>409</v>
      </c>
      <c r="O51" s="170">
        <f t="shared" si="4"/>
        <v>34.083333333333336</v>
      </c>
      <c r="P51" s="171">
        <f t="shared" si="5"/>
        <v>0.70791864993509312</v>
      </c>
    </row>
    <row r="52" spans="1:16" customFormat="1" ht="15" customHeight="1">
      <c r="A52" s="172" t="s">
        <v>261</v>
      </c>
      <c r="B52" s="175">
        <v>41</v>
      </c>
      <c r="C52" s="43">
        <v>23</v>
      </c>
      <c r="D52" s="43">
        <v>44</v>
      </c>
      <c r="E52" s="43">
        <v>34</v>
      </c>
      <c r="F52" s="43">
        <v>43</v>
      </c>
      <c r="G52" s="43">
        <v>42</v>
      </c>
      <c r="H52" s="43">
        <v>38</v>
      </c>
      <c r="I52" s="43">
        <v>40</v>
      </c>
      <c r="J52" s="43">
        <v>45</v>
      </c>
      <c r="K52" s="43">
        <v>55</v>
      </c>
      <c r="L52" s="43">
        <v>47</v>
      </c>
      <c r="M52" s="43">
        <v>49</v>
      </c>
      <c r="N52" s="174">
        <f t="shared" si="3"/>
        <v>501</v>
      </c>
      <c r="O52" s="170">
        <f t="shared" si="4"/>
        <v>41.75</v>
      </c>
      <c r="P52" s="171">
        <f t="shared" si="5"/>
        <v>0.86715707485936822</v>
      </c>
    </row>
    <row r="53" spans="1:16" customFormat="1" ht="15" customHeight="1">
      <c r="A53" s="172" t="s">
        <v>262</v>
      </c>
      <c r="B53" s="175">
        <v>24</v>
      </c>
      <c r="C53" s="43">
        <v>19</v>
      </c>
      <c r="D53" s="43">
        <v>30</v>
      </c>
      <c r="E53" s="43">
        <v>16</v>
      </c>
      <c r="F53" s="43">
        <v>29</v>
      </c>
      <c r="G53" s="43">
        <v>23</v>
      </c>
      <c r="H53" s="43">
        <v>16</v>
      </c>
      <c r="I53" s="43">
        <v>29</v>
      </c>
      <c r="J53" s="43">
        <v>24</v>
      </c>
      <c r="K53" s="43">
        <v>28</v>
      </c>
      <c r="L53" s="43">
        <v>18</v>
      </c>
      <c r="M53" s="43">
        <v>20</v>
      </c>
      <c r="N53" s="174">
        <f t="shared" si="3"/>
        <v>276</v>
      </c>
      <c r="O53" s="170">
        <f t="shared" si="4"/>
        <v>23</v>
      </c>
      <c r="P53" s="171">
        <f t="shared" si="5"/>
        <v>0.4777152747728256</v>
      </c>
    </row>
    <row r="54" spans="1:16" customFormat="1" ht="15" customHeight="1">
      <c r="A54" s="172" t="s">
        <v>263</v>
      </c>
      <c r="B54" s="175">
        <v>18</v>
      </c>
      <c r="C54" s="43">
        <v>31</v>
      </c>
      <c r="D54" s="43">
        <v>23</v>
      </c>
      <c r="E54" s="43">
        <v>49</v>
      </c>
      <c r="F54" s="43">
        <v>38</v>
      </c>
      <c r="G54" s="43">
        <v>31</v>
      </c>
      <c r="H54" s="43">
        <v>30</v>
      </c>
      <c r="I54" s="43">
        <v>25</v>
      </c>
      <c r="J54" s="43">
        <v>16</v>
      </c>
      <c r="K54" s="43">
        <v>26</v>
      </c>
      <c r="L54" s="43">
        <v>17</v>
      </c>
      <c r="M54" s="43">
        <v>22</v>
      </c>
      <c r="N54" s="174">
        <f t="shared" si="3"/>
        <v>326</v>
      </c>
      <c r="O54" s="170">
        <f t="shared" si="4"/>
        <v>27.166666666666668</v>
      </c>
      <c r="P54" s="171">
        <f t="shared" si="5"/>
        <v>0.56425789701427953</v>
      </c>
    </row>
    <row r="55" spans="1:16" customFormat="1" ht="15" customHeight="1">
      <c r="A55" s="172" t="s">
        <v>264</v>
      </c>
      <c r="B55" s="175">
        <v>67</v>
      </c>
      <c r="C55" s="43">
        <v>77</v>
      </c>
      <c r="D55" s="43">
        <v>107</v>
      </c>
      <c r="E55" s="43">
        <v>159</v>
      </c>
      <c r="F55" s="43">
        <v>76</v>
      </c>
      <c r="G55" s="43">
        <v>80</v>
      </c>
      <c r="H55" s="43">
        <v>82</v>
      </c>
      <c r="I55" s="43">
        <v>125</v>
      </c>
      <c r="J55" s="43">
        <v>91</v>
      </c>
      <c r="K55" s="43">
        <v>140</v>
      </c>
      <c r="L55" s="43">
        <v>71</v>
      </c>
      <c r="M55" s="43">
        <v>70</v>
      </c>
      <c r="N55" s="174">
        <f t="shared" si="3"/>
        <v>1145</v>
      </c>
      <c r="O55" s="170">
        <f t="shared" si="4"/>
        <v>95.416666666666671</v>
      </c>
      <c r="P55" s="171">
        <f t="shared" si="5"/>
        <v>1.9818260493292945</v>
      </c>
    </row>
    <row r="56" spans="1:16" customFormat="1" ht="15" customHeight="1">
      <c r="A56" s="172" t="s">
        <v>265</v>
      </c>
      <c r="B56" s="175">
        <v>17</v>
      </c>
      <c r="C56" s="43">
        <v>23</v>
      </c>
      <c r="D56" s="43">
        <v>34</v>
      </c>
      <c r="E56" s="43">
        <v>16</v>
      </c>
      <c r="F56" s="43">
        <v>25</v>
      </c>
      <c r="G56" s="43">
        <v>37</v>
      </c>
      <c r="H56" s="43">
        <v>24</v>
      </c>
      <c r="I56" s="43">
        <v>34</v>
      </c>
      <c r="J56" s="43">
        <v>14</v>
      </c>
      <c r="K56" s="43">
        <v>33</v>
      </c>
      <c r="L56" s="43">
        <v>23</v>
      </c>
      <c r="M56" s="43">
        <v>22</v>
      </c>
      <c r="N56" s="174">
        <f t="shared" si="3"/>
        <v>302</v>
      </c>
      <c r="O56" s="170">
        <f t="shared" si="4"/>
        <v>25.166666666666668</v>
      </c>
      <c r="P56" s="171">
        <f t="shared" si="5"/>
        <v>0.52271743833838158</v>
      </c>
    </row>
    <row r="57" spans="1:16" customFormat="1" ht="15" customHeight="1">
      <c r="A57" s="172" t="s">
        <v>266</v>
      </c>
      <c r="B57" s="175">
        <v>54</v>
      </c>
      <c r="C57" s="43">
        <v>75</v>
      </c>
      <c r="D57" s="43">
        <v>58</v>
      </c>
      <c r="E57" s="43">
        <v>63</v>
      </c>
      <c r="F57" s="43">
        <v>57</v>
      </c>
      <c r="G57" s="43">
        <v>63</v>
      </c>
      <c r="H57" s="43">
        <v>61</v>
      </c>
      <c r="I57" s="43">
        <v>68</v>
      </c>
      <c r="J57" s="43">
        <v>51</v>
      </c>
      <c r="K57" s="43">
        <v>75</v>
      </c>
      <c r="L57" s="43">
        <v>55</v>
      </c>
      <c r="M57" s="43">
        <v>53</v>
      </c>
      <c r="N57" s="174">
        <f t="shared" si="3"/>
        <v>733</v>
      </c>
      <c r="O57" s="170">
        <f t="shared" si="4"/>
        <v>61.083333333333336</v>
      </c>
      <c r="P57" s="171">
        <f t="shared" si="5"/>
        <v>1.2687148420597145</v>
      </c>
    </row>
    <row r="58" spans="1:16" customFormat="1" ht="15" customHeight="1">
      <c r="A58" s="172" t="s">
        <v>267</v>
      </c>
      <c r="B58" s="175">
        <v>1</v>
      </c>
      <c r="C58" s="43">
        <v>11</v>
      </c>
      <c r="D58" s="43">
        <v>8</v>
      </c>
      <c r="E58" s="43">
        <v>8</v>
      </c>
      <c r="F58" s="43">
        <v>14</v>
      </c>
      <c r="G58" s="43">
        <v>11</v>
      </c>
      <c r="H58" s="43">
        <v>8</v>
      </c>
      <c r="I58" s="43">
        <v>22</v>
      </c>
      <c r="J58" s="43">
        <v>13</v>
      </c>
      <c r="K58" s="43">
        <v>7</v>
      </c>
      <c r="L58" s="43">
        <v>16</v>
      </c>
      <c r="M58" s="43">
        <v>5</v>
      </c>
      <c r="N58" s="174">
        <f t="shared" si="3"/>
        <v>124</v>
      </c>
      <c r="O58" s="170">
        <f t="shared" si="4"/>
        <v>10.333333333333334</v>
      </c>
      <c r="P58" s="171">
        <f t="shared" si="5"/>
        <v>0.21462570315880572</v>
      </c>
    </row>
    <row r="59" spans="1:16" customFormat="1" ht="15" customHeight="1">
      <c r="A59" s="172" t="s">
        <v>268</v>
      </c>
      <c r="B59" s="175">
        <v>43</v>
      </c>
      <c r="C59" s="43">
        <v>75</v>
      </c>
      <c r="D59" s="43">
        <v>79</v>
      </c>
      <c r="E59" s="43">
        <v>56</v>
      </c>
      <c r="F59" s="43">
        <v>79</v>
      </c>
      <c r="G59" s="43">
        <v>63</v>
      </c>
      <c r="H59" s="43">
        <v>55</v>
      </c>
      <c r="I59" s="43">
        <v>58</v>
      </c>
      <c r="J59" s="43">
        <v>59</v>
      </c>
      <c r="K59" s="43">
        <v>70</v>
      </c>
      <c r="L59" s="43">
        <v>52</v>
      </c>
      <c r="M59" s="43">
        <v>71</v>
      </c>
      <c r="N59" s="174">
        <f t="shared" si="3"/>
        <v>760</v>
      </c>
      <c r="O59" s="170">
        <f t="shared" si="4"/>
        <v>63.333333333333336</v>
      </c>
      <c r="P59" s="171">
        <f t="shared" si="5"/>
        <v>1.3154478580700995</v>
      </c>
    </row>
    <row r="60" spans="1:16" customFormat="1" ht="15" customHeight="1">
      <c r="A60" s="172" t="s">
        <v>269</v>
      </c>
      <c r="B60" s="175">
        <v>4</v>
      </c>
      <c r="C60" s="43">
        <v>3</v>
      </c>
      <c r="D60" s="43">
        <v>12</v>
      </c>
      <c r="E60" s="43">
        <v>11</v>
      </c>
      <c r="F60" s="43">
        <v>7</v>
      </c>
      <c r="G60" s="43">
        <v>8</v>
      </c>
      <c r="H60" s="43">
        <v>9</v>
      </c>
      <c r="I60" s="43">
        <v>13</v>
      </c>
      <c r="J60" s="43">
        <v>4</v>
      </c>
      <c r="K60" s="43">
        <v>14</v>
      </c>
      <c r="L60" s="43">
        <v>5</v>
      </c>
      <c r="M60" s="43">
        <v>10</v>
      </c>
      <c r="N60" s="174">
        <f t="shared" si="3"/>
        <v>100</v>
      </c>
      <c r="O60" s="170">
        <f t="shared" si="4"/>
        <v>8.3333333333333339</v>
      </c>
      <c r="P60" s="171">
        <f t="shared" si="5"/>
        <v>0.17308524448290782</v>
      </c>
    </row>
    <row r="61" spans="1:16" customFormat="1" ht="15" customHeight="1">
      <c r="A61" s="172" t="s">
        <v>270</v>
      </c>
      <c r="B61" s="175">
        <v>38</v>
      </c>
      <c r="C61" s="43">
        <v>56</v>
      </c>
      <c r="D61" s="43">
        <v>64</v>
      </c>
      <c r="E61" s="43">
        <v>71</v>
      </c>
      <c r="F61" s="43">
        <v>31</v>
      </c>
      <c r="G61" s="43">
        <v>50</v>
      </c>
      <c r="H61" s="43">
        <v>46</v>
      </c>
      <c r="I61" s="43">
        <v>65</v>
      </c>
      <c r="J61" s="43">
        <v>26</v>
      </c>
      <c r="K61" s="43">
        <v>51</v>
      </c>
      <c r="L61" s="43">
        <v>43</v>
      </c>
      <c r="M61" s="43">
        <v>47</v>
      </c>
      <c r="N61" s="174">
        <f t="shared" si="3"/>
        <v>588</v>
      </c>
      <c r="O61" s="170">
        <f t="shared" si="4"/>
        <v>49</v>
      </c>
      <c r="P61" s="171">
        <f t="shared" si="5"/>
        <v>1.0177412375594981</v>
      </c>
    </row>
    <row r="62" spans="1:16" customFormat="1" ht="15" customHeight="1">
      <c r="A62" s="172" t="s">
        <v>271</v>
      </c>
      <c r="B62" s="175">
        <v>48</v>
      </c>
      <c r="C62" s="43">
        <v>49</v>
      </c>
      <c r="D62" s="43">
        <v>40</v>
      </c>
      <c r="E62" s="43">
        <v>42</v>
      </c>
      <c r="F62" s="43">
        <v>46</v>
      </c>
      <c r="G62" s="43">
        <v>46</v>
      </c>
      <c r="H62" s="43">
        <v>36</v>
      </c>
      <c r="I62" s="43">
        <v>57</v>
      </c>
      <c r="J62" s="43">
        <v>25</v>
      </c>
      <c r="K62" s="43">
        <v>54</v>
      </c>
      <c r="L62" s="43">
        <v>52</v>
      </c>
      <c r="M62" s="43">
        <v>38</v>
      </c>
      <c r="N62" s="174">
        <f t="shared" si="3"/>
        <v>533</v>
      </c>
      <c r="O62" s="170">
        <f t="shared" si="4"/>
        <v>44.416666666666664</v>
      </c>
      <c r="P62" s="171">
        <f t="shared" si="5"/>
        <v>0.92254435309389871</v>
      </c>
    </row>
    <row r="63" spans="1:16" customFormat="1" ht="15" customHeight="1">
      <c r="A63" s="172" t="s">
        <v>272</v>
      </c>
      <c r="B63" s="175">
        <v>39</v>
      </c>
      <c r="C63" s="43">
        <v>44</v>
      </c>
      <c r="D63" s="43">
        <v>49</v>
      </c>
      <c r="E63" s="43">
        <v>48</v>
      </c>
      <c r="F63" s="43">
        <v>59</v>
      </c>
      <c r="G63" s="43">
        <v>65</v>
      </c>
      <c r="H63" s="43">
        <v>43</v>
      </c>
      <c r="I63" s="43">
        <v>53</v>
      </c>
      <c r="J63" s="43">
        <v>46</v>
      </c>
      <c r="K63" s="43">
        <v>57</v>
      </c>
      <c r="L63" s="43">
        <v>34</v>
      </c>
      <c r="M63" s="43">
        <v>42</v>
      </c>
      <c r="N63" s="174">
        <f t="shared" si="3"/>
        <v>579</v>
      </c>
      <c r="O63" s="170">
        <f t="shared" si="4"/>
        <v>48.25</v>
      </c>
      <c r="P63" s="171">
        <f t="shared" si="5"/>
        <v>1.0021635655560364</v>
      </c>
    </row>
    <row r="64" spans="1:16" customFormat="1" ht="15" customHeight="1">
      <c r="A64" s="172" t="s">
        <v>273</v>
      </c>
      <c r="B64" s="175">
        <v>38</v>
      </c>
      <c r="C64" s="43">
        <v>68</v>
      </c>
      <c r="D64" s="43">
        <v>58</v>
      </c>
      <c r="E64" s="43">
        <v>51</v>
      </c>
      <c r="F64" s="43">
        <v>64</v>
      </c>
      <c r="G64" s="43">
        <v>83</v>
      </c>
      <c r="H64" s="43">
        <v>63</v>
      </c>
      <c r="I64" s="43">
        <v>54</v>
      </c>
      <c r="J64" s="43">
        <v>69</v>
      </c>
      <c r="K64" s="43">
        <v>68</v>
      </c>
      <c r="L64" s="43">
        <v>51</v>
      </c>
      <c r="M64" s="43">
        <v>44</v>
      </c>
      <c r="N64" s="174">
        <f t="shared" si="3"/>
        <v>711</v>
      </c>
      <c r="O64" s="170">
        <f t="shared" si="4"/>
        <v>59.25</v>
      </c>
      <c r="P64" s="171">
        <f t="shared" si="5"/>
        <v>1.2306360882734746</v>
      </c>
    </row>
    <row r="65" spans="1:16" customFormat="1" ht="15" customHeight="1">
      <c r="A65" s="172" t="s">
        <v>274</v>
      </c>
      <c r="B65" s="175">
        <v>40</v>
      </c>
      <c r="C65" s="43">
        <v>24</v>
      </c>
      <c r="D65" s="43">
        <v>23</v>
      </c>
      <c r="E65" s="43">
        <v>24</v>
      </c>
      <c r="F65" s="43">
        <v>22</v>
      </c>
      <c r="G65" s="43">
        <v>21</v>
      </c>
      <c r="H65" s="43">
        <v>27</v>
      </c>
      <c r="I65" s="43">
        <v>33</v>
      </c>
      <c r="J65" s="43">
        <v>17</v>
      </c>
      <c r="K65" s="43">
        <v>27</v>
      </c>
      <c r="L65" s="43">
        <v>34</v>
      </c>
      <c r="M65" s="43">
        <v>32</v>
      </c>
      <c r="N65" s="174">
        <f t="shared" si="3"/>
        <v>324</v>
      </c>
      <c r="O65" s="170">
        <f t="shared" si="4"/>
        <v>27</v>
      </c>
      <c r="P65" s="171">
        <f t="shared" si="5"/>
        <v>0.5607961921246214</v>
      </c>
    </row>
    <row r="66" spans="1:16" customFormat="1" ht="15.75" customHeight="1">
      <c r="A66" s="172" t="s">
        <v>275</v>
      </c>
      <c r="B66" s="175">
        <v>9</v>
      </c>
      <c r="C66" s="43">
        <v>16</v>
      </c>
      <c r="D66" s="43">
        <v>11</v>
      </c>
      <c r="E66" s="43">
        <v>12</v>
      </c>
      <c r="F66" s="43">
        <v>15</v>
      </c>
      <c r="G66" s="43">
        <v>23</v>
      </c>
      <c r="H66" s="43">
        <v>18</v>
      </c>
      <c r="I66" s="43">
        <v>23</v>
      </c>
      <c r="J66" s="43">
        <v>17</v>
      </c>
      <c r="K66" s="43">
        <v>17</v>
      </c>
      <c r="L66" s="43">
        <v>20</v>
      </c>
      <c r="M66" s="43">
        <v>10</v>
      </c>
      <c r="N66" s="174">
        <f t="shared" si="3"/>
        <v>191</v>
      </c>
      <c r="O66" s="170">
        <f t="shared" si="4"/>
        <v>15.916666666666666</v>
      </c>
      <c r="P66" s="171">
        <f t="shared" si="5"/>
        <v>0.33059281696235399</v>
      </c>
    </row>
    <row r="67" spans="1:16" customFormat="1" ht="15.75" customHeight="1">
      <c r="A67" s="172" t="s">
        <v>276</v>
      </c>
      <c r="B67" s="175">
        <v>26</v>
      </c>
      <c r="C67" s="43">
        <v>16</v>
      </c>
      <c r="D67" s="43">
        <v>15</v>
      </c>
      <c r="E67" s="43">
        <v>12</v>
      </c>
      <c r="F67" s="43">
        <v>16</v>
      </c>
      <c r="G67" s="43">
        <v>20</v>
      </c>
      <c r="H67" s="43">
        <v>17</v>
      </c>
      <c r="I67" s="43">
        <v>29</v>
      </c>
      <c r="J67" s="43">
        <v>19</v>
      </c>
      <c r="K67" s="43">
        <v>21</v>
      </c>
      <c r="L67" s="43">
        <v>12</v>
      </c>
      <c r="M67" s="43">
        <v>23</v>
      </c>
      <c r="N67" s="174">
        <f t="shared" si="3"/>
        <v>226</v>
      </c>
      <c r="O67" s="170">
        <f t="shared" si="4"/>
        <v>18.833333333333332</v>
      </c>
      <c r="P67" s="171">
        <f t="shared" si="5"/>
        <v>0.39117265253137168</v>
      </c>
    </row>
    <row r="68" spans="1:16" customFormat="1" ht="15" customHeight="1">
      <c r="A68" s="172" t="s">
        <v>277</v>
      </c>
      <c r="B68" s="175">
        <v>54</v>
      </c>
      <c r="C68" s="43">
        <v>334</v>
      </c>
      <c r="D68" s="43">
        <v>84</v>
      </c>
      <c r="E68" s="43">
        <v>66</v>
      </c>
      <c r="F68" s="43">
        <v>57</v>
      </c>
      <c r="G68" s="43">
        <v>76</v>
      </c>
      <c r="H68" s="44">
        <v>72</v>
      </c>
      <c r="I68" s="43">
        <v>91</v>
      </c>
      <c r="J68" s="43">
        <v>63</v>
      </c>
      <c r="K68" s="43">
        <v>78</v>
      </c>
      <c r="L68" s="43">
        <v>72</v>
      </c>
      <c r="M68" s="43">
        <v>46</v>
      </c>
      <c r="N68" s="174">
        <f t="shared" si="3"/>
        <v>1093</v>
      </c>
      <c r="O68" s="170">
        <f t="shared" si="4"/>
        <v>91.083333333333329</v>
      </c>
      <c r="P68" s="171">
        <f t="shared" si="5"/>
        <v>1.8918217221981826</v>
      </c>
    </row>
    <row r="69" spans="1:16" customFormat="1" ht="15">
      <c r="A69" s="172" t="s">
        <v>278</v>
      </c>
      <c r="B69" s="175">
        <v>26</v>
      </c>
      <c r="C69" s="43">
        <v>41</v>
      </c>
      <c r="D69" s="43">
        <v>43</v>
      </c>
      <c r="E69" s="43">
        <v>38</v>
      </c>
      <c r="F69" s="43">
        <v>40</v>
      </c>
      <c r="G69" s="43">
        <v>50</v>
      </c>
      <c r="H69" s="44">
        <v>28</v>
      </c>
      <c r="I69" s="43">
        <v>33</v>
      </c>
      <c r="J69" s="43">
        <v>27</v>
      </c>
      <c r="K69" s="43">
        <v>27</v>
      </c>
      <c r="L69" s="43">
        <v>42</v>
      </c>
      <c r="M69" s="43">
        <v>28</v>
      </c>
      <c r="N69" s="174">
        <f t="shared" ref="N69:N71" si="6">SUM(B69:M69)</f>
        <v>423</v>
      </c>
      <c r="O69" s="170">
        <f t="shared" si="4"/>
        <v>35.25</v>
      </c>
      <c r="P69" s="171">
        <f t="shared" si="5"/>
        <v>0.73215058416270018</v>
      </c>
    </row>
    <row r="70" spans="1:16" customFormat="1" ht="15">
      <c r="A70" s="172" t="s">
        <v>279</v>
      </c>
      <c r="B70" s="175">
        <v>65</v>
      </c>
      <c r="C70" s="43">
        <v>72</v>
      </c>
      <c r="D70" s="43">
        <v>68</v>
      </c>
      <c r="E70" s="43">
        <v>50</v>
      </c>
      <c r="F70" s="43">
        <v>53</v>
      </c>
      <c r="G70" s="43">
        <v>59</v>
      </c>
      <c r="H70" s="44">
        <v>58</v>
      </c>
      <c r="I70" s="43">
        <v>62</v>
      </c>
      <c r="J70" s="43">
        <v>39</v>
      </c>
      <c r="K70" s="43">
        <v>65</v>
      </c>
      <c r="L70" s="43">
        <v>59</v>
      </c>
      <c r="M70" s="43">
        <v>48</v>
      </c>
      <c r="N70" s="174">
        <f t="shared" si="6"/>
        <v>698</v>
      </c>
      <c r="O70" s="170">
        <f t="shared" si="4"/>
        <v>58.166666666666664</v>
      </c>
      <c r="P70" s="171">
        <f t="shared" si="5"/>
        <v>1.2081350064906966</v>
      </c>
    </row>
    <row r="71" spans="1:16" customFormat="1" ht="15.75" thickBot="1">
      <c r="A71" s="176" t="s">
        <v>280</v>
      </c>
      <c r="B71" s="177">
        <v>16</v>
      </c>
      <c r="C71" s="50">
        <v>18</v>
      </c>
      <c r="D71" s="178">
        <v>21</v>
      </c>
      <c r="E71" s="178">
        <v>18</v>
      </c>
      <c r="F71" s="178">
        <v>26</v>
      </c>
      <c r="G71" s="178">
        <v>16</v>
      </c>
      <c r="H71" s="179">
        <v>12</v>
      </c>
      <c r="I71" s="178">
        <v>35</v>
      </c>
      <c r="J71" s="50">
        <v>57</v>
      </c>
      <c r="K71" s="43">
        <v>44</v>
      </c>
      <c r="L71" s="50">
        <v>32</v>
      </c>
      <c r="M71" s="50">
        <v>17</v>
      </c>
      <c r="N71" s="180">
        <f t="shared" si="6"/>
        <v>312</v>
      </c>
      <c r="O71" s="181">
        <f t="shared" si="4"/>
        <v>26</v>
      </c>
      <c r="P71" s="182">
        <f t="shared" si="5"/>
        <v>0.54002596278667236</v>
      </c>
    </row>
    <row r="72" spans="1:16" customFormat="1" ht="15.75" thickBot="1">
      <c r="A72" s="163" t="s">
        <v>5</v>
      </c>
      <c r="B72" s="59">
        <f t="shared" ref="B72:N72" si="7">SUM(B5:B71)</f>
        <v>4119</v>
      </c>
      <c r="C72" s="59">
        <f t="shared" si="7"/>
        <v>5058</v>
      </c>
      <c r="D72" s="59">
        <f t="shared" si="7"/>
        <v>5232</v>
      </c>
      <c r="E72" s="59">
        <f t="shared" si="7"/>
        <v>4624</v>
      </c>
      <c r="F72" s="59">
        <f t="shared" si="7"/>
        <v>4895</v>
      </c>
      <c r="G72" s="59">
        <f t="shared" si="7"/>
        <v>4703</v>
      </c>
      <c r="H72" s="59">
        <f t="shared" si="7"/>
        <v>4685</v>
      </c>
      <c r="I72" s="59">
        <f t="shared" si="7"/>
        <v>5353</v>
      </c>
      <c r="J72" s="59">
        <f t="shared" si="7"/>
        <v>4687</v>
      </c>
      <c r="K72" s="59">
        <f t="shared" si="7"/>
        <v>5517</v>
      </c>
      <c r="L72" s="59">
        <f t="shared" si="7"/>
        <v>4645</v>
      </c>
      <c r="M72" s="60">
        <f t="shared" si="7"/>
        <v>4257</v>
      </c>
      <c r="N72" s="183">
        <f t="shared" si="7"/>
        <v>57775</v>
      </c>
      <c r="O72" s="60">
        <f t="shared" si="4"/>
        <v>4814.583333333333</v>
      </c>
      <c r="P72" s="184">
        <f>SUM(P5:P71)</f>
        <v>99.999999999999957</v>
      </c>
    </row>
    <row r="73" spans="1:16" customFormat="1" ht="15">
      <c r="A73" s="128"/>
      <c r="B73" s="129"/>
      <c r="C73" s="129"/>
      <c r="D73" s="129"/>
      <c r="E73" s="129"/>
      <c r="F73" s="129"/>
      <c r="G73" s="114"/>
      <c r="H73" s="129"/>
      <c r="I73" s="129"/>
      <c r="J73" s="129"/>
      <c r="K73" s="129"/>
      <c r="L73" s="129"/>
      <c r="M73" s="130"/>
      <c r="N73" s="130"/>
      <c r="O73" s="13"/>
      <c r="P73" s="13"/>
    </row>
    <row r="74" spans="1:16">
      <c r="A74" s="185" t="s">
        <v>281</v>
      </c>
    </row>
    <row r="75" spans="1:16">
      <c r="A75" s="185" t="s">
        <v>463</v>
      </c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N72:O72" formula="1"/>
    <ignoredError sqref="I72:M72" formula="1" formulaRange="1"/>
    <ignoredError sqref="B72:H7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Normal="100" workbookViewId="0">
      <selection activeCell="N21" sqref="N21:P21"/>
    </sheetView>
  </sheetViews>
  <sheetFormatPr defaultColWidth="5.5703125" defaultRowHeight="14.25"/>
  <cols>
    <col min="1" max="1" width="52.140625" style="13" customWidth="1"/>
    <col min="2" max="2" width="7.5703125" style="13" bestFit="1" customWidth="1"/>
    <col min="3" max="3" width="7.7109375" style="114" bestFit="1" customWidth="1"/>
    <col min="4" max="4" width="7.140625" style="13" bestFit="1" customWidth="1"/>
    <col min="5" max="5" width="7" style="112" bestFit="1" customWidth="1"/>
    <col min="6" max="6" width="7.5703125" style="13" bestFit="1" customWidth="1"/>
    <col min="7" max="7" width="6.28515625" style="112" bestFit="1" customWidth="1"/>
    <col min="8" max="8" width="7" style="13" bestFit="1" customWidth="1"/>
    <col min="9" max="9" width="7.5703125" style="13" customWidth="1"/>
    <col min="10" max="10" width="7.140625" style="13" bestFit="1" customWidth="1"/>
    <col min="11" max="11" width="7.5703125" style="13" bestFit="1" customWidth="1"/>
    <col min="12" max="12" width="7.140625" style="13" bestFit="1" customWidth="1"/>
    <col min="13" max="13" width="6.85546875" style="13" bestFit="1" customWidth="1"/>
    <col min="14" max="14" width="6.7109375" style="13" bestFit="1" customWidth="1"/>
    <col min="15" max="15" width="7.140625" style="13" bestFit="1" customWidth="1"/>
    <col min="16" max="16" width="15.85546875" style="13" bestFit="1" customWidth="1"/>
    <col min="17" max="215" width="9.140625" style="13" customWidth="1"/>
    <col min="216" max="216" width="58.28515625" style="13" customWidth="1"/>
    <col min="217" max="217" width="3.7109375" style="13" bestFit="1" customWidth="1"/>
    <col min="218" max="218" width="5.5703125" style="13" bestFit="1" customWidth="1"/>
    <col min="219" max="219" width="5.5703125" style="13" customWidth="1"/>
    <col min="220" max="16384" width="5.5703125" style="13"/>
  </cols>
  <sheetData>
    <row r="1" spans="1:20" ht="15">
      <c r="A1" s="110" t="s">
        <v>0</v>
      </c>
      <c r="B1" s="110"/>
      <c r="C1" s="111"/>
      <c r="D1" s="110"/>
      <c r="G1" s="558"/>
      <c r="H1" s="556"/>
      <c r="I1" s="556"/>
      <c r="J1" s="556"/>
      <c r="K1" s="556"/>
      <c r="L1" s="556"/>
      <c r="M1" s="556"/>
      <c r="N1" s="556"/>
      <c r="O1" s="556"/>
      <c r="P1" s="556"/>
    </row>
    <row r="2" spans="1:20" ht="15">
      <c r="A2" s="1" t="s">
        <v>1</v>
      </c>
      <c r="B2" s="1"/>
      <c r="C2" s="88"/>
      <c r="D2" s="1"/>
      <c r="G2" s="558"/>
      <c r="H2" s="556"/>
      <c r="I2" s="556"/>
      <c r="J2" s="556"/>
      <c r="K2" s="556"/>
      <c r="L2" s="556"/>
      <c r="M2" s="556"/>
      <c r="N2" s="556"/>
      <c r="O2" s="556"/>
      <c r="P2" s="556"/>
    </row>
    <row r="3" spans="1:20" ht="15">
      <c r="A3" s="1"/>
      <c r="B3" s="1"/>
      <c r="C3" s="88"/>
      <c r="D3" s="1"/>
      <c r="G3" s="558"/>
      <c r="H3" s="556"/>
      <c r="I3" s="556"/>
      <c r="J3" s="556"/>
      <c r="K3" s="556"/>
      <c r="L3" s="556"/>
      <c r="M3" s="556"/>
      <c r="N3" s="556"/>
      <c r="O3" s="556"/>
      <c r="P3" s="556"/>
    </row>
    <row r="4" spans="1:20" ht="15">
      <c r="A4" s="1" t="s">
        <v>282</v>
      </c>
      <c r="B4" s="1"/>
      <c r="C4" s="88"/>
      <c r="D4" s="1"/>
      <c r="G4" s="558"/>
      <c r="H4" s="556"/>
      <c r="I4" s="556"/>
      <c r="J4" s="556"/>
      <c r="K4" s="556"/>
      <c r="L4" s="556"/>
      <c r="M4" s="556"/>
      <c r="N4" s="556"/>
      <c r="O4" s="556"/>
      <c r="P4" s="569">
        <f>UNIDADES!B72</f>
        <v>4119</v>
      </c>
    </row>
    <row r="5" spans="1:20" ht="15" thickBot="1">
      <c r="E5" s="13"/>
      <c r="F5" s="112"/>
      <c r="G5" s="556"/>
      <c r="H5" s="558"/>
      <c r="I5" s="556"/>
      <c r="J5" s="556"/>
      <c r="K5" s="556"/>
      <c r="L5" s="556"/>
      <c r="M5" s="556"/>
      <c r="N5" s="556"/>
      <c r="O5" s="556"/>
      <c r="P5" s="556"/>
    </row>
    <row r="6" spans="1:20" ht="48.75" thickBot="1">
      <c r="A6" s="701" t="s">
        <v>206</v>
      </c>
      <c r="B6" s="702">
        <v>45261</v>
      </c>
      <c r="C6" s="703">
        <v>45231</v>
      </c>
      <c r="D6" s="704">
        <v>45200</v>
      </c>
      <c r="E6" s="704">
        <v>45170</v>
      </c>
      <c r="F6" s="704">
        <v>45139</v>
      </c>
      <c r="G6" s="705">
        <v>45108</v>
      </c>
      <c r="H6" s="703">
        <v>45078</v>
      </c>
      <c r="I6" s="705">
        <v>45047</v>
      </c>
      <c r="J6" s="702">
        <v>45017</v>
      </c>
      <c r="K6" s="703">
        <v>44986</v>
      </c>
      <c r="L6" s="704">
        <v>44958</v>
      </c>
      <c r="M6" s="703">
        <v>44927</v>
      </c>
      <c r="N6" s="704" t="s">
        <v>5</v>
      </c>
      <c r="O6" s="706" t="s">
        <v>6</v>
      </c>
      <c r="P6" s="707" t="s">
        <v>496</v>
      </c>
    </row>
    <row r="7" spans="1:20" ht="14.25" customHeight="1" thickBot="1">
      <c r="A7" s="602" t="s">
        <v>232</v>
      </c>
      <c r="B7" s="700">
        <v>350</v>
      </c>
      <c r="C7" s="604">
        <v>630</v>
      </c>
      <c r="D7" s="604">
        <v>880</v>
      </c>
      <c r="E7" s="604">
        <v>607</v>
      </c>
      <c r="F7" s="604">
        <v>632</v>
      </c>
      <c r="G7" s="604">
        <v>485</v>
      </c>
      <c r="H7" s="604">
        <v>784</v>
      </c>
      <c r="I7" s="604">
        <v>878</v>
      </c>
      <c r="J7" s="604">
        <v>1034</v>
      </c>
      <c r="K7" s="604">
        <v>886</v>
      </c>
      <c r="L7" s="604">
        <v>527</v>
      </c>
      <c r="M7" s="604">
        <v>564</v>
      </c>
      <c r="N7" s="188">
        <f t="shared" ref="N7:N16" si="0">SUM(B7:M7)</f>
        <v>8257</v>
      </c>
      <c r="O7" s="189">
        <f t="shared" ref="O7:O17" si="1">AVERAGE(B7:M7)</f>
        <v>688.08333333333337</v>
      </c>
      <c r="P7" s="708">
        <f>(B7*100)/$P$4</f>
        <v>8.4972080602087878</v>
      </c>
      <c r="S7" s="112"/>
      <c r="T7" s="112"/>
    </row>
    <row r="8" spans="1:20" ht="15" customHeight="1" thickBot="1">
      <c r="A8" s="603" t="s">
        <v>231</v>
      </c>
      <c r="B8" s="173">
        <v>514</v>
      </c>
      <c r="C8" s="43">
        <v>592</v>
      </c>
      <c r="D8" s="33">
        <v>681</v>
      </c>
      <c r="E8" s="33">
        <v>622</v>
      </c>
      <c r="F8" s="33">
        <v>700</v>
      </c>
      <c r="G8" s="43">
        <v>734</v>
      </c>
      <c r="H8" s="43">
        <v>737</v>
      </c>
      <c r="I8" s="43">
        <v>704</v>
      </c>
      <c r="J8" s="43">
        <v>572</v>
      </c>
      <c r="K8" s="43">
        <v>573</v>
      </c>
      <c r="L8" s="43">
        <v>536</v>
      </c>
      <c r="M8" s="43">
        <v>545</v>
      </c>
      <c r="N8" s="190">
        <f t="shared" si="0"/>
        <v>7510</v>
      </c>
      <c r="O8" s="170">
        <f t="shared" si="1"/>
        <v>625.83333333333337</v>
      </c>
      <c r="P8" s="708">
        <f t="shared" ref="P8:P17" si="2">(B8*100)/$P$4</f>
        <v>12.478756979849479</v>
      </c>
      <c r="S8" s="112"/>
      <c r="T8" s="112"/>
    </row>
    <row r="9" spans="1:20" ht="15.75" thickBot="1">
      <c r="A9" s="603" t="s">
        <v>230</v>
      </c>
      <c r="B9" s="175">
        <v>398</v>
      </c>
      <c r="C9" s="43">
        <v>394</v>
      </c>
      <c r="D9" s="43">
        <v>441</v>
      </c>
      <c r="E9" s="43">
        <v>365</v>
      </c>
      <c r="F9" s="43">
        <v>374</v>
      </c>
      <c r="G9" s="43">
        <v>342</v>
      </c>
      <c r="H9" s="43">
        <v>343</v>
      </c>
      <c r="I9" s="43">
        <v>427</v>
      </c>
      <c r="J9" s="43">
        <v>332</v>
      </c>
      <c r="K9" s="43">
        <v>373</v>
      </c>
      <c r="L9" s="43">
        <v>318</v>
      </c>
      <c r="M9" s="43">
        <v>343</v>
      </c>
      <c r="N9" s="190">
        <f t="shared" si="0"/>
        <v>4450</v>
      </c>
      <c r="O9" s="170">
        <f t="shared" si="1"/>
        <v>370.83333333333331</v>
      </c>
      <c r="P9" s="708">
        <f t="shared" si="2"/>
        <v>9.662539451323136</v>
      </c>
      <c r="S9" s="112"/>
      <c r="T9" s="112"/>
    </row>
    <row r="10" spans="1:20" ht="15.75" thickBot="1">
      <c r="A10" s="603" t="s">
        <v>217</v>
      </c>
      <c r="B10" s="175">
        <v>266</v>
      </c>
      <c r="C10" s="43">
        <v>274</v>
      </c>
      <c r="D10" s="43">
        <v>295</v>
      </c>
      <c r="E10" s="43">
        <v>288</v>
      </c>
      <c r="F10" s="43">
        <v>324</v>
      </c>
      <c r="G10" s="43">
        <v>244</v>
      </c>
      <c r="H10" s="44">
        <v>272</v>
      </c>
      <c r="I10" s="43">
        <v>279</v>
      </c>
      <c r="J10" s="43">
        <v>231</v>
      </c>
      <c r="K10" s="43">
        <v>299</v>
      </c>
      <c r="L10" s="43">
        <v>330</v>
      </c>
      <c r="M10" s="43">
        <v>327</v>
      </c>
      <c r="N10" s="190">
        <f t="shared" si="0"/>
        <v>3429</v>
      </c>
      <c r="O10" s="170">
        <f t="shared" si="1"/>
        <v>285.75</v>
      </c>
      <c r="P10" s="708">
        <f t="shared" si="2"/>
        <v>6.457878125758679</v>
      </c>
      <c r="S10" s="112"/>
      <c r="T10" s="112"/>
    </row>
    <row r="11" spans="1:20" ht="15.75" thickBot="1">
      <c r="A11" s="603" t="s">
        <v>228</v>
      </c>
      <c r="B11" s="175">
        <v>301</v>
      </c>
      <c r="C11" s="43">
        <v>269</v>
      </c>
      <c r="D11" s="43">
        <v>271</v>
      </c>
      <c r="E11" s="43">
        <v>220</v>
      </c>
      <c r="F11" s="43">
        <v>263</v>
      </c>
      <c r="G11" s="43">
        <v>298</v>
      </c>
      <c r="H11" s="43">
        <v>242</v>
      </c>
      <c r="I11" s="43">
        <v>278</v>
      </c>
      <c r="J11" s="43">
        <v>222</v>
      </c>
      <c r="K11" s="43">
        <v>306</v>
      </c>
      <c r="L11" s="43">
        <v>292</v>
      </c>
      <c r="M11" s="43">
        <v>328</v>
      </c>
      <c r="N11" s="190">
        <f t="shared" si="0"/>
        <v>3290</v>
      </c>
      <c r="O11" s="170">
        <f t="shared" si="1"/>
        <v>274.16666666666669</v>
      </c>
      <c r="P11" s="708">
        <f t="shared" si="2"/>
        <v>7.307598931779558</v>
      </c>
      <c r="S11" s="112"/>
      <c r="T11" s="112"/>
    </row>
    <row r="12" spans="1:20" ht="15" customHeight="1" thickBot="1">
      <c r="A12" s="603" t="s">
        <v>227</v>
      </c>
      <c r="B12" s="175">
        <v>336</v>
      </c>
      <c r="C12" s="43">
        <v>255</v>
      </c>
      <c r="D12" s="43">
        <v>214</v>
      </c>
      <c r="E12" s="43">
        <v>200</v>
      </c>
      <c r="F12" s="43">
        <v>222</v>
      </c>
      <c r="G12" s="43">
        <v>174</v>
      </c>
      <c r="H12" s="43">
        <v>272</v>
      </c>
      <c r="I12" s="43">
        <v>269</v>
      </c>
      <c r="J12" s="43">
        <v>247</v>
      </c>
      <c r="K12" s="43">
        <v>318</v>
      </c>
      <c r="L12" s="43">
        <v>286</v>
      </c>
      <c r="M12" s="43">
        <v>247</v>
      </c>
      <c r="N12" s="190">
        <f t="shared" si="0"/>
        <v>3040</v>
      </c>
      <c r="O12" s="170">
        <f t="shared" si="1"/>
        <v>253.33333333333334</v>
      </c>
      <c r="P12" s="708">
        <f t="shared" si="2"/>
        <v>8.157319737800437</v>
      </c>
      <c r="S12" s="112"/>
      <c r="T12" s="112"/>
    </row>
    <row r="13" spans="1:20" ht="15.75" thickBot="1">
      <c r="A13" s="603" t="s">
        <v>223</v>
      </c>
      <c r="B13" s="175">
        <v>163</v>
      </c>
      <c r="C13" s="43">
        <v>234</v>
      </c>
      <c r="D13" s="43">
        <v>224</v>
      </c>
      <c r="E13" s="43">
        <v>221</v>
      </c>
      <c r="F13" s="43">
        <v>261</v>
      </c>
      <c r="G13" s="43">
        <v>207</v>
      </c>
      <c r="H13" s="43">
        <v>210</v>
      </c>
      <c r="I13" s="43">
        <v>285</v>
      </c>
      <c r="J13" s="43">
        <v>238</v>
      </c>
      <c r="K13" s="43">
        <v>333</v>
      </c>
      <c r="L13" s="43">
        <v>204</v>
      </c>
      <c r="M13" s="43">
        <v>140</v>
      </c>
      <c r="N13" s="190">
        <f t="shared" si="0"/>
        <v>2720</v>
      </c>
      <c r="O13" s="170">
        <f t="shared" si="1"/>
        <v>226.66666666666666</v>
      </c>
      <c r="P13" s="708">
        <f t="shared" si="2"/>
        <v>3.9572711823258073</v>
      </c>
      <c r="S13" s="112"/>
      <c r="T13" s="112"/>
    </row>
    <row r="14" spans="1:20" ht="15.75" thickBot="1">
      <c r="A14" s="603" t="s">
        <v>236</v>
      </c>
      <c r="B14" s="175">
        <v>148</v>
      </c>
      <c r="C14" s="43">
        <v>146</v>
      </c>
      <c r="D14" s="43">
        <v>190</v>
      </c>
      <c r="E14" s="43">
        <v>187</v>
      </c>
      <c r="F14" s="43">
        <v>215</v>
      </c>
      <c r="G14" s="43">
        <v>164</v>
      </c>
      <c r="H14" s="43">
        <v>161</v>
      </c>
      <c r="I14" s="43">
        <v>206</v>
      </c>
      <c r="J14" s="43">
        <v>183</v>
      </c>
      <c r="K14" s="43">
        <v>326</v>
      </c>
      <c r="L14" s="43">
        <v>377</v>
      </c>
      <c r="M14" s="43">
        <v>131</v>
      </c>
      <c r="N14" s="190">
        <f t="shared" si="0"/>
        <v>2434</v>
      </c>
      <c r="O14" s="170">
        <f t="shared" si="1"/>
        <v>202.83333333333334</v>
      </c>
      <c r="P14" s="708">
        <f t="shared" si="2"/>
        <v>3.5931051226025734</v>
      </c>
      <c r="S14" s="112"/>
      <c r="T14" s="112"/>
    </row>
    <row r="15" spans="1:20" ht="15.75" thickBot="1">
      <c r="A15" s="603" t="s">
        <v>144</v>
      </c>
      <c r="B15" s="175">
        <v>159</v>
      </c>
      <c r="C15" s="43">
        <v>195</v>
      </c>
      <c r="D15" s="43">
        <v>245</v>
      </c>
      <c r="E15" s="43">
        <v>153</v>
      </c>
      <c r="F15" s="43">
        <v>120</v>
      </c>
      <c r="G15" s="43">
        <v>118</v>
      </c>
      <c r="H15" s="44">
        <v>82</v>
      </c>
      <c r="I15" s="43">
        <v>107</v>
      </c>
      <c r="J15" s="43">
        <v>76</v>
      </c>
      <c r="K15" s="43">
        <v>89</v>
      </c>
      <c r="L15" s="43">
        <v>72</v>
      </c>
      <c r="M15" s="43">
        <v>84</v>
      </c>
      <c r="N15" s="190">
        <f t="shared" si="0"/>
        <v>1500</v>
      </c>
      <c r="O15" s="170">
        <f t="shared" si="1"/>
        <v>125</v>
      </c>
      <c r="P15" s="708">
        <f t="shared" si="2"/>
        <v>3.8601602330662783</v>
      </c>
      <c r="S15" s="112"/>
      <c r="T15" s="112"/>
    </row>
    <row r="16" spans="1:20" ht="15.75" thickBot="1">
      <c r="A16" s="603" t="s">
        <v>264</v>
      </c>
      <c r="B16" s="175">
        <v>67</v>
      </c>
      <c r="C16" s="43">
        <v>77</v>
      </c>
      <c r="D16" s="43">
        <v>107</v>
      </c>
      <c r="E16" s="43">
        <v>159</v>
      </c>
      <c r="F16" s="43">
        <v>76</v>
      </c>
      <c r="G16" s="43">
        <v>80</v>
      </c>
      <c r="H16" s="43">
        <v>82</v>
      </c>
      <c r="I16" s="43">
        <v>125</v>
      </c>
      <c r="J16" s="43">
        <v>91</v>
      </c>
      <c r="K16" s="43">
        <v>140</v>
      </c>
      <c r="L16" s="43">
        <v>71</v>
      </c>
      <c r="M16" s="43">
        <v>70</v>
      </c>
      <c r="N16" s="191">
        <f t="shared" si="0"/>
        <v>1145</v>
      </c>
      <c r="O16" s="181">
        <f t="shared" si="1"/>
        <v>95.416666666666671</v>
      </c>
      <c r="P16" s="784">
        <f t="shared" si="2"/>
        <v>1.6266084000971111</v>
      </c>
      <c r="S16" s="112"/>
      <c r="T16" s="112"/>
    </row>
    <row r="17" spans="1:41" ht="15.75" customHeight="1" thickBot="1">
      <c r="A17" s="572" t="s">
        <v>5</v>
      </c>
      <c r="B17" s="709">
        <f t="shared" ref="B17:N17" si="3">SUM(B7:B16)</f>
        <v>2702</v>
      </c>
      <c r="C17" s="709">
        <f t="shared" si="3"/>
        <v>3066</v>
      </c>
      <c r="D17" s="709">
        <f t="shared" si="3"/>
        <v>3548</v>
      </c>
      <c r="E17" s="709">
        <f t="shared" si="3"/>
        <v>3022</v>
      </c>
      <c r="F17" s="709">
        <f t="shared" si="3"/>
        <v>3187</v>
      </c>
      <c r="G17" s="709">
        <f t="shared" si="3"/>
        <v>2846</v>
      </c>
      <c r="H17" s="709">
        <f t="shared" si="3"/>
        <v>3185</v>
      </c>
      <c r="I17" s="709">
        <f t="shared" si="3"/>
        <v>3558</v>
      </c>
      <c r="J17" s="709">
        <f t="shared" si="3"/>
        <v>3226</v>
      </c>
      <c r="K17" s="709">
        <f t="shared" si="3"/>
        <v>3643</v>
      </c>
      <c r="L17" s="709">
        <f t="shared" si="3"/>
        <v>3013</v>
      </c>
      <c r="M17" s="710">
        <f t="shared" si="3"/>
        <v>2779</v>
      </c>
      <c r="N17" s="711">
        <f t="shared" si="3"/>
        <v>37775</v>
      </c>
      <c r="O17" s="712">
        <f t="shared" si="1"/>
        <v>3147.9166666666665</v>
      </c>
      <c r="P17" s="553">
        <f t="shared" si="2"/>
        <v>65.598446224811852</v>
      </c>
      <c r="S17" s="112"/>
      <c r="T17" s="112"/>
    </row>
    <row r="18" spans="1:41" s="569" customFormat="1" ht="23.25" customHeight="1">
      <c r="A18" s="569" t="s">
        <v>207</v>
      </c>
      <c r="C18" s="570"/>
      <c r="O18" s="569" t="s">
        <v>208</v>
      </c>
      <c r="P18" s="571">
        <f>100-P17</f>
        <v>34.401553775188148</v>
      </c>
    </row>
    <row r="19" spans="1:41" ht="54.75" customHeight="1">
      <c r="A19" s="574"/>
      <c r="B19" s="574"/>
      <c r="C19" s="586"/>
      <c r="D19" s="569"/>
      <c r="E19" s="587"/>
      <c r="F19" s="569"/>
      <c r="G19" s="569"/>
      <c r="H19" s="569"/>
      <c r="I19" s="569"/>
      <c r="J19" s="569"/>
      <c r="K19" s="569"/>
      <c r="L19" s="569"/>
      <c r="M19" s="569"/>
      <c r="N19" s="936"/>
      <c r="O19" s="936"/>
      <c r="P19" s="936"/>
      <c r="Q19" s="569"/>
      <c r="R19" s="569"/>
      <c r="S19" s="569"/>
      <c r="T19" s="569"/>
      <c r="U19" s="569"/>
      <c r="V19" s="569"/>
      <c r="W19" s="587"/>
      <c r="X19" s="569"/>
      <c r="Y19" s="569"/>
      <c r="Z19" s="569"/>
      <c r="AA19" s="569"/>
      <c r="AB19" s="569"/>
      <c r="AC19" s="569"/>
      <c r="AD19" s="569"/>
      <c r="AE19" s="569"/>
      <c r="AF19" s="569"/>
      <c r="AG19" s="569"/>
    </row>
    <row r="20" spans="1:41">
      <c r="A20" s="579"/>
      <c r="B20" s="579"/>
      <c r="C20" s="588"/>
      <c r="D20" s="569"/>
      <c r="E20" s="587"/>
      <c r="F20" s="569"/>
      <c r="G20" s="569"/>
      <c r="H20" s="569"/>
      <c r="I20" s="569"/>
      <c r="J20" s="569"/>
      <c r="K20" s="569"/>
      <c r="L20" s="569"/>
      <c r="M20" s="569"/>
      <c r="N20" s="569"/>
      <c r="O20" s="587"/>
      <c r="P20" s="569"/>
      <c r="Q20" s="569"/>
      <c r="R20" s="569"/>
      <c r="S20" s="569"/>
      <c r="T20" s="569"/>
      <c r="U20" s="569"/>
      <c r="V20" s="569"/>
      <c r="W20" s="587"/>
      <c r="X20" s="569"/>
      <c r="Y20" s="569"/>
      <c r="Z20" s="569"/>
      <c r="AA20" s="569"/>
      <c r="AB20" s="569"/>
      <c r="AC20" s="576"/>
      <c r="AD20" s="577"/>
      <c r="AE20" s="577"/>
      <c r="AF20" s="577"/>
      <c r="AG20" s="577"/>
      <c r="AH20" s="129"/>
      <c r="AI20" s="129"/>
      <c r="AJ20" s="114"/>
      <c r="AK20" s="129"/>
      <c r="AL20" s="129"/>
      <c r="AM20" s="129"/>
      <c r="AN20" s="129"/>
      <c r="AO20" s="130"/>
    </row>
    <row r="21" spans="1:41" ht="92.25" customHeight="1">
      <c r="A21" s="574"/>
      <c r="B21" s="574"/>
      <c r="C21" s="586"/>
      <c r="D21" s="569"/>
      <c r="E21" s="587"/>
      <c r="F21" s="569"/>
      <c r="G21" s="569"/>
      <c r="H21" s="569"/>
      <c r="I21" s="569"/>
      <c r="J21" s="569"/>
      <c r="K21" s="569"/>
      <c r="L21" s="589"/>
      <c r="M21" s="569"/>
      <c r="N21" s="936"/>
      <c r="O21" s="936"/>
      <c r="P21" s="936"/>
      <c r="Q21" s="569"/>
      <c r="R21" s="569"/>
      <c r="S21" s="569"/>
      <c r="T21" s="569"/>
      <c r="U21" s="569"/>
      <c r="V21" s="569"/>
      <c r="W21" s="587"/>
      <c r="X21" s="569"/>
      <c r="Y21" s="569"/>
      <c r="Z21" s="569"/>
      <c r="AA21" s="569"/>
      <c r="AB21" s="569"/>
      <c r="AC21" s="576"/>
      <c r="AD21" s="577"/>
      <c r="AE21" s="577"/>
      <c r="AF21" s="577"/>
      <c r="AG21" s="577"/>
      <c r="AH21" s="129"/>
      <c r="AI21" s="129"/>
      <c r="AJ21" s="114"/>
      <c r="AK21" s="129"/>
      <c r="AL21" s="129"/>
      <c r="AM21" s="129"/>
      <c r="AN21" s="129"/>
      <c r="AO21" s="130"/>
    </row>
    <row r="22" spans="1:41">
      <c r="A22" s="574"/>
      <c r="B22" s="574"/>
      <c r="C22" s="586"/>
      <c r="D22" s="569"/>
      <c r="E22" s="587"/>
      <c r="F22" s="569"/>
      <c r="G22" s="569"/>
      <c r="H22" s="569"/>
      <c r="I22" s="569"/>
      <c r="J22" s="569"/>
      <c r="K22" s="569"/>
      <c r="L22" s="569"/>
      <c r="M22" s="569"/>
      <c r="N22" s="569"/>
      <c r="O22" s="587"/>
      <c r="P22" s="569"/>
      <c r="Q22" s="569"/>
      <c r="R22" s="569"/>
      <c r="S22" s="569"/>
      <c r="T22" s="569"/>
      <c r="U22" s="569"/>
      <c r="V22" s="569"/>
      <c r="W22" s="590"/>
      <c r="X22" s="569"/>
      <c r="Y22" s="569"/>
      <c r="Z22" s="569"/>
      <c r="AA22" s="569"/>
      <c r="AB22" s="569"/>
      <c r="AC22" s="576"/>
      <c r="AD22" s="577"/>
      <c r="AE22" s="577"/>
      <c r="AF22" s="577"/>
      <c r="AG22" s="577"/>
      <c r="AH22" s="129"/>
      <c r="AI22" s="129"/>
      <c r="AJ22" s="114"/>
      <c r="AK22" s="129"/>
      <c r="AL22" s="129"/>
      <c r="AM22" s="129"/>
      <c r="AN22" s="129"/>
      <c r="AO22" s="130"/>
    </row>
    <row r="23" spans="1:41" ht="66.75" customHeight="1">
      <c r="A23" s="574"/>
      <c r="B23" s="574"/>
      <c r="C23" s="586"/>
      <c r="D23" s="569"/>
      <c r="E23" s="587"/>
      <c r="F23" s="569"/>
      <c r="G23" s="569"/>
      <c r="H23" s="569"/>
      <c r="I23" s="569"/>
      <c r="J23" s="569"/>
      <c r="K23" s="569"/>
      <c r="L23" s="569"/>
      <c r="M23" s="569"/>
      <c r="N23" s="936"/>
      <c r="O23" s="936"/>
      <c r="P23" s="936"/>
      <c r="Q23" s="569"/>
      <c r="R23" s="569"/>
      <c r="S23" s="569"/>
      <c r="T23" s="569"/>
      <c r="U23" s="569"/>
      <c r="V23" s="569"/>
      <c r="W23" s="587"/>
      <c r="X23" s="569"/>
      <c r="Y23" s="569"/>
      <c r="Z23" s="569"/>
      <c r="AA23" s="569"/>
      <c r="AB23" s="569"/>
      <c r="AC23" s="576"/>
      <c r="AD23" s="577"/>
      <c r="AE23" s="577"/>
      <c r="AF23" s="577"/>
      <c r="AG23" s="577"/>
      <c r="AH23" s="129"/>
      <c r="AI23" s="129"/>
      <c r="AJ23" s="114"/>
      <c r="AK23" s="129"/>
      <c r="AL23" s="129"/>
      <c r="AM23" s="129"/>
      <c r="AN23" s="129"/>
      <c r="AO23" s="130"/>
    </row>
    <row r="24" spans="1:41">
      <c r="A24" s="579"/>
      <c r="B24" s="579"/>
      <c r="C24" s="588"/>
      <c r="D24" s="569"/>
      <c r="E24" s="587"/>
      <c r="F24" s="569"/>
      <c r="G24" s="569"/>
      <c r="H24" s="569"/>
      <c r="I24" s="569"/>
      <c r="J24" s="569"/>
      <c r="K24" s="569"/>
      <c r="L24" s="569"/>
      <c r="M24" s="569"/>
      <c r="N24" s="569"/>
      <c r="O24" s="569"/>
      <c r="P24" s="569"/>
      <c r="Q24" s="569"/>
      <c r="R24" s="569"/>
      <c r="S24" s="569"/>
      <c r="T24" s="569"/>
      <c r="U24" s="569"/>
      <c r="V24" s="569"/>
      <c r="W24" s="587"/>
      <c r="X24" s="569"/>
      <c r="Y24" s="569"/>
      <c r="Z24" s="569"/>
      <c r="AA24" s="569"/>
      <c r="AB24" s="569"/>
      <c r="AC24" s="576"/>
      <c r="AD24" s="577"/>
      <c r="AE24" s="577"/>
      <c r="AF24" s="577"/>
      <c r="AG24" s="577"/>
      <c r="AH24" s="129"/>
      <c r="AI24" s="129"/>
      <c r="AJ24" s="114"/>
      <c r="AK24" s="129"/>
      <c r="AL24" s="129"/>
      <c r="AM24" s="129"/>
      <c r="AN24" s="129"/>
      <c r="AO24" s="130"/>
    </row>
    <row r="25" spans="1:41">
      <c r="A25" s="574"/>
      <c r="B25" s="574"/>
      <c r="C25" s="586"/>
      <c r="D25" s="569"/>
      <c r="E25" s="587"/>
      <c r="F25" s="569"/>
      <c r="G25" s="569"/>
      <c r="H25" s="569"/>
      <c r="I25" s="569"/>
      <c r="J25" s="569"/>
      <c r="K25" s="569"/>
      <c r="L25" s="569"/>
      <c r="M25" s="569"/>
      <c r="N25" s="569"/>
      <c r="O25" s="569"/>
      <c r="P25" s="569"/>
      <c r="Q25" s="569"/>
      <c r="R25" s="569"/>
      <c r="S25" s="569"/>
      <c r="T25" s="569"/>
      <c r="U25" s="569"/>
      <c r="V25" s="569"/>
      <c r="W25" s="587"/>
      <c r="X25" s="569"/>
      <c r="Y25" s="569"/>
      <c r="Z25" s="569"/>
      <c r="AA25" s="569"/>
      <c r="AB25" s="569"/>
      <c r="AC25" s="576"/>
      <c r="AD25" s="577"/>
      <c r="AE25" s="577"/>
      <c r="AF25" s="577"/>
      <c r="AG25" s="577"/>
      <c r="AH25" s="129"/>
      <c r="AI25" s="129"/>
      <c r="AJ25" s="114"/>
      <c r="AK25" s="129"/>
      <c r="AL25" s="129"/>
      <c r="AM25" s="129"/>
      <c r="AN25" s="129"/>
      <c r="AO25" s="130"/>
    </row>
    <row r="26" spans="1:41">
      <c r="A26" s="569"/>
      <c r="B26" s="569"/>
      <c r="C26" s="570"/>
      <c r="D26" s="569"/>
      <c r="E26" s="587"/>
      <c r="F26" s="569"/>
      <c r="G26" s="587"/>
      <c r="H26" s="569"/>
      <c r="I26" s="569"/>
      <c r="J26" s="569"/>
      <c r="K26" s="569"/>
      <c r="L26" s="569"/>
      <c r="M26" s="569"/>
      <c r="N26" s="569"/>
      <c r="O26" s="569"/>
      <c r="P26" s="569"/>
      <c r="Q26" s="569"/>
      <c r="R26" s="569"/>
      <c r="S26" s="569"/>
      <c r="T26" s="569"/>
      <c r="U26" s="569"/>
      <c r="V26" s="569"/>
      <c r="W26" s="569"/>
      <c r="X26" s="569"/>
      <c r="Y26" s="569"/>
      <c r="Z26" s="569"/>
      <c r="AA26" s="569"/>
      <c r="AB26" s="569"/>
      <c r="AC26" s="576"/>
      <c r="AD26" s="577"/>
      <c r="AE26" s="577"/>
      <c r="AF26" s="577"/>
      <c r="AG26" s="577"/>
      <c r="AH26" s="129"/>
      <c r="AI26" s="129"/>
      <c r="AJ26" s="114"/>
      <c r="AK26" s="129"/>
      <c r="AL26" s="129"/>
      <c r="AM26" s="129"/>
      <c r="AN26" s="129"/>
      <c r="AO26" s="130"/>
    </row>
    <row r="27" spans="1:41">
      <c r="A27" s="569"/>
      <c r="B27" s="569"/>
      <c r="C27" s="570"/>
      <c r="D27" s="569"/>
      <c r="E27" s="587"/>
      <c r="F27" s="569"/>
      <c r="G27" s="587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76"/>
      <c r="S27" s="577"/>
      <c r="T27" s="578"/>
      <c r="U27" s="578"/>
      <c r="V27" s="578"/>
      <c r="W27" s="591"/>
      <c r="X27" s="569"/>
      <c r="Y27" s="569"/>
      <c r="Z27" s="569"/>
      <c r="AA27" s="569"/>
      <c r="AB27" s="569"/>
      <c r="AC27" s="576"/>
      <c r="AD27" s="577"/>
      <c r="AE27" s="577"/>
      <c r="AF27" s="577"/>
      <c r="AG27" s="577"/>
      <c r="AH27" s="129"/>
      <c r="AI27" s="129"/>
      <c r="AJ27" s="114"/>
      <c r="AK27" s="129"/>
      <c r="AL27" s="129"/>
      <c r="AM27" s="129"/>
      <c r="AN27" s="129"/>
      <c r="AO27" s="130"/>
    </row>
    <row r="28" spans="1:41">
      <c r="A28" s="569"/>
      <c r="B28" s="569"/>
      <c r="C28" s="570"/>
      <c r="D28" s="569"/>
      <c r="E28" s="587"/>
      <c r="F28" s="569"/>
      <c r="G28" s="587"/>
      <c r="H28" s="569"/>
      <c r="I28" s="569"/>
      <c r="J28" s="569"/>
      <c r="K28" s="569"/>
      <c r="L28" s="569"/>
      <c r="M28" s="569"/>
      <c r="N28" s="569"/>
      <c r="O28" s="569"/>
      <c r="P28" s="569"/>
      <c r="Q28" s="569"/>
      <c r="R28" s="576"/>
      <c r="S28" s="577"/>
      <c r="T28" s="578"/>
      <c r="U28" s="578"/>
      <c r="V28" s="578"/>
      <c r="W28" s="591"/>
      <c r="X28" s="569"/>
      <c r="Y28" s="569"/>
      <c r="Z28" s="569"/>
      <c r="AA28" s="569"/>
      <c r="AB28" s="569"/>
      <c r="AC28" s="576"/>
      <c r="AD28" s="577"/>
      <c r="AE28" s="577"/>
      <c r="AF28" s="577"/>
      <c r="AG28" s="577"/>
      <c r="AH28" s="129"/>
      <c r="AI28" s="129"/>
      <c r="AJ28" s="114"/>
      <c r="AK28" s="129"/>
      <c r="AL28" s="129"/>
      <c r="AM28" s="129"/>
      <c r="AN28" s="129"/>
      <c r="AO28" s="130"/>
    </row>
    <row r="29" spans="1:41">
      <c r="A29" s="569"/>
      <c r="B29" s="569"/>
      <c r="C29" s="570"/>
      <c r="D29" s="569"/>
      <c r="E29" s="587"/>
      <c r="F29" s="569"/>
      <c r="G29" s="587"/>
      <c r="H29" s="569"/>
      <c r="I29" s="569"/>
      <c r="J29" s="569"/>
      <c r="K29" s="569"/>
      <c r="L29" s="569"/>
      <c r="M29" s="569"/>
      <c r="N29" s="569"/>
      <c r="O29" s="569"/>
      <c r="P29" s="569"/>
      <c r="Q29" s="569"/>
      <c r="R29" s="576"/>
      <c r="S29" s="577"/>
      <c r="T29" s="578"/>
      <c r="U29" s="578"/>
      <c r="V29" s="578"/>
      <c r="W29" s="591"/>
      <c r="X29" s="569"/>
      <c r="Y29" s="569"/>
      <c r="Z29" s="569"/>
      <c r="AA29" s="569"/>
      <c r="AB29" s="569"/>
      <c r="AC29" s="576"/>
      <c r="AD29" s="577"/>
      <c r="AE29" s="577"/>
      <c r="AF29" s="577"/>
      <c r="AG29" s="577"/>
      <c r="AH29" s="129"/>
      <c r="AI29" s="129"/>
      <c r="AJ29" s="114"/>
      <c r="AK29" s="129"/>
      <c r="AL29" s="129"/>
      <c r="AM29" s="129"/>
      <c r="AN29" s="129"/>
      <c r="AO29" s="130"/>
    </row>
    <row r="30" spans="1:41">
      <c r="A30" s="569"/>
      <c r="B30" s="569"/>
      <c r="C30" s="570"/>
      <c r="D30" s="569"/>
      <c r="E30" s="587"/>
      <c r="F30" s="569"/>
      <c r="G30" s="587"/>
      <c r="H30" s="569"/>
      <c r="I30" s="569"/>
      <c r="J30" s="569"/>
      <c r="K30" s="569"/>
      <c r="L30" s="569"/>
      <c r="M30" s="569"/>
      <c r="N30" s="569"/>
      <c r="O30" s="569"/>
      <c r="P30" s="569"/>
      <c r="Q30" s="569"/>
      <c r="R30" s="576"/>
      <c r="S30" s="577"/>
      <c r="T30" s="578"/>
      <c r="U30" s="578"/>
      <c r="V30" s="578"/>
      <c r="W30" s="591"/>
      <c r="X30" s="569"/>
      <c r="Y30" s="569"/>
      <c r="Z30" s="569"/>
      <c r="AA30" s="569"/>
      <c r="AB30" s="569"/>
      <c r="AC30" s="569"/>
      <c r="AD30" s="569"/>
      <c r="AE30" s="569"/>
      <c r="AF30" s="569"/>
      <c r="AG30" s="569"/>
      <c r="AO30" s="112"/>
    </row>
    <row r="31" spans="1:41">
      <c r="A31" s="569"/>
      <c r="B31" s="569"/>
      <c r="C31" s="570"/>
      <c r="D31" s="569"/>
      <c r="E31" s="587"/>
      <c r="F31" s="569"/>
      <c r="G31" s="587"/>
      <c r="H31" s="569"/>
      <c r="I31" s="569"/>
      <c r="J31" s="569"/>
      <c r="K31" s="569"/>
      <c r="L31" s="569"/>
      <c r="M31" s="569"/>
      <c r="N31" s="569"/>
      <c r="O31" s="569"/>
      <c r="P31" s="569"/>
      <c r="Q31" s="569"/>
      <c r="R31" s="576"/>
      <c r="S31" s="577"/>
      <c r="T31" s="578"/>
      <c r="U31" s="578"/>
      <c r="V31" s="578"/>
      <c r="W31" s="591"/>
      <c r="X31" s="569"/>
      <c r="Y31" s="569"/>
      <c r="Z31" s="569"/>
      <c r="AA31" s="569"/>
      <c r="AB31" s="569"/>
      <c r="AC31" s="569"/>
      <c r="AD31" s="569"/>
      <c r="AE31" s="569"/>
      <c r="AF31" s="569"/>
      <c r="AG31" s="569"/>
    </row>
    <row r="32" spans="1:41">
      <c r="A32" s="569"/>
      <c r="B32" s="569"/>
      <c r="C32" s="570"/>
      <c r="D32" s="569"/>
      <c r="E32" s="587"/>
      <c r="F32" s="569"/>
      <c r="G32" s="587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76"/>
      <c r="S32" s="577"/>
      <c r="T32" s="578"/>
      <c r="U32" s="578"/>
      <c r="V32" s="578"/>
      <c r="W32" s="591"/>
      <c r="X32" s="569"/>
      <c r="Y32" s="569"/>
      <c r="Z32" s="569"/>
      <c r="AA32" s="569"/>
      <c r="AB32" s="569"/>
      <c r="AC32" s="569"/>
      <c r="AD32" s="569"/>
      <c r="AE32" s="569"/>
      <c r="AF32" s="569"/>
      <c r="AG32" s="569"/>
    </row>
    <row r="33" spans="1:33">
      <c r="A33" s="569"/>
      <c r="B33" s="569"/>
      <c r="C33" s="570"/>
      <c r="D33" s="569"/>
      <c r="E33" s="587"/>
      <c r="F33" s="569"/>
      <c r="G33" s="587"/>
      <c r="H33" s="569"/>
      <c r="I33" s="569"/>
      <c r="J33" s="569"/>
      <c r="K33" s="569"/>
      <c r="L33" s="569"/>
      <c r="M33" s="569"/>
      <c r="N33" s="569"/>
      <c r="O33" s="569"/>
      <c r="P33" s="569"/>
      <c r="Q33" s="569"/>
      <c r="R33" s="576"/>
      <c r="S33" s="577"/>
      <c r="T33" s="578"/>
      <c r="U33" s="578"/>
      <c r="V33" s="578"/>
      <c r="W33" s="591"/>
      <c r="X33" s="569"/>
      <c r="Y33" s="569"/>
      <c r="Z33" s="569"/>
      <c r="AA33" s="569"/>
      <c r="AB33" s="569"/>
      <c r="AC33" s="569"/>
      <c r="AD33" s="569"/>
      <c r="AE33" s="569"/>
      <c r="AF33" s="569"/>
      <c r="AG33" s="569"/>
    </row>
    <row r="34" spans="1:33">
      <c r="A34" s="569"/>
      <c r="B34" s="569"/>
      <c r="C34" s="570"/>
      <c r="D34" s="569"/>
      <c r="E34" s="587"/>
      <c r="F34" s="569"/>
      <c r="G34" s="587"/>
      <c r="H34" s="569"/>
      <c r="I34" s="569"/>
      <c r="J34" s="569"/>
      <c r="K34" s="569"/>
      <c r="L34" s="569"/>
      <c r="M34" s="569"/>
      <c r="N34" s="569"/>
      <c r="O34" s="569"/>
      <c r="P34" s="569"/>
      <c r="Q34" s="569"/>
      <c r="R34" s="576"/>
      <c r="S34" s="577"/>
      <c r="T34" s="578"/>
      <c r="U34" s="578"/>
      <c r="V34" s="578"/>
      <c r="W34" s="591"/>
      <c r="X34" s="569"/>
      <c r="Y34" s="569"/>
      <c r="Z34" s="569"/>
      <c r="AA34" s="569"/>
      <c r="AB34" s="569"/>
      <c r="AC34" s="569"/>
      <c r="AD34" s="569"/>
      <c r="AE34" s="569"/>
      <c r="AF34" s="569"/>
      <c r="AG34" s="569"/>
    </row>
    <row r="35" spans="1:33">
      <c r="A35" s="569"/>
      <c r="B35" s="569"/>
      <c r="C35" s="570"/>
      <c r="D35" s="569"/>
      <c r="E35" s="587"/>
      <c r="F35" s="569"/>
      <c r="G35" s="587"/>
      <c r="H35" s="569"/>
      <c r="I35" s="569"/>
      <c r="J35" s="569"/>
      <c r="K35" s="569"/>
      <c r="L35" s="569"/>
      <c r="M35" s="569"/>
      <c r="N35" s="569"/>
      <c r="O35" s="569"/>
      <c r="P35" s="569"/>
      <c r="Q35" s="569"/>
      <c r="R35" s="576"/>
      <c r="S35" s="577"/>
      <c r="T35" s="578"/>
      <c r="U35" s="578"/>
      <c r="V35" s="578"/>
      <c r="W35" s="591"/>
      <c r="X35" s="569"/>
      <c r="Y35" s="569"/>
      <c r="Z35" s="569"/>
      <c r="AA35" s="569"/>
      <c r="AB35" s="569"/>
      <c r="AC35" s="569"/>
      <c r="AD35" s="569"/>
      <c r="AE35" s="569"/>
      <c r="AF35" s="569"/>
      <c r="AG35" s="569"/>
    </row>
    <row r="36" spans="1:33">
      <c r="A36" s="569"/>
      <c r="B36" s="569"/>
      <c r="C36" s="570"/>
      <c r="D36" s="569"/>
      <c r="E36" s="587"/>
      <c r="F36" s="569"/>
      <c r="G36" s="587"/>
      <c r="H36" s="569"/>
      <c r="I36" s="569"/>
      <c r="J36" s="569"/>
      <c r="K36" s="569"/>
      <c r="L36" s="569"/>
      <c r="M36" s="569"/>
      <c r="N36" s="569"/>
      <c r="O36" s="569"/>
      <c r="P36" s="569"/>
      <c r="Q36" s="569"/>
      <c r="R36" s="576"/>
      <c r="S36" s="577"/>
      <c r="T36" s="578"/>
      <c r="U36" s="578"/>
      <c r="V36" s="578"/>
      <c r="W36" s="591"/>
      <c r="X36" s="569"/>
      <c r="Y36" s="569"/>
      <c r="Z36" s="569"/>
      <c r="AA36" s="569"/>
      <c r="AB36" s="569"/>
      <c r="AC36" s="569"/>
      <c r="AD36" s="569"/>
      <c r="AE36" s="569"/>
      <c r="AF36" s="569"/>
      <c r="AG36" s="569"/>
    </row>
    <row r="37" spans="1:33">
      <c r="A37" s="569"/>
      <c r="B37" s="569"/>
      <c r="C37" s="570"/>
      <c r="D37" s="569"/>
      <c r="E37" s="587"/>
      <c r="F37" s="569"/>
      <c r="G37" s="587"/>
      <c r="H37" s="569"/>
      <c r="I37" s="569"/>
      <c r="J37" s="569"/>
      <c r="K37" s="569"/>
      <c r="L37" s="569"/>
      <c r="M37" s="569"/>
      <c r="N37" s="569"/>
      <c r="O37" s="569"/>
      <c r="P37" s="569"/>
      <c r="Q37" s="569"/>
      <c r="R37" s="569"/>
      <c r="S37" s="569"/>
      <c r="T37" s="569"/>
      <c r="U37" s="569"/>
      <c r="V37" s="569"/>
      <c r="W37" s="569"/>
      <c r="X37" s="569"/>
      <c r="Y37" s="569"/>
      <c r="Z37" s="569"/>
      <c r="AA37" s="569"/>
      <c r="AB37" s="569"/>
      <c r="AC37" s="569"/>
      <c r="AD37" s="569"/>
      <c r="AE37" s="569"/>
      <c r="AF37" s="569"/>
      <c r="AG37" s="569"/>
    </row>
    <row r="38" spans="1:33">
      <c r="A38" s="569"/>
      <c r="B38" s="569"/>
      <c r="C38" s="570"/>
      <c r="D38" s="569"/>
      <c r="E38" s="587"/>
      <c r="F38" s="569"/>
      <c r="G38" s="587"/>
      <c r="H38" s="569"/>
      <c r="I38" s="569"/>
      <c r="J38" s="569"/>
      <c r="K38" s="569"/>
      <c r="L38" s="569"/>
      <c r="M38" s="569"/>
      <c r="N38" s="569"/>
      <c r="O38" s="569"/>
      <c r="P38" s="569"/>
      <c r="Q38" s="569"/>
      <c r="R38" s="569"/>
      <c r="S38" s="569"/>
      <c r="T38" s="569"/>
      <c r="U38" s="569"/>
      <c r="V38" s="569"/>
      <c r="W38" s="569"/>
      <c r="X38" s="569"/>
      <c r="Y38" s="569"/>
      <c r="Z38" s="569"/>
      <c r="AA38" s="569"/>
      <c r="AB38" s="569"/>
      <c r="AC38" s="569"/>
      <c r="AD38" s="569"/>
      <c r="AE38" s="569"/>
      <c r="AF38" s="569"/>
      <c r="AG38" s="569"/>
    </row>
    <row r="39" spans="1:33">
      <c r="A39" s="569"/>
      <c r="B39" s="569"/>
      <c r="C39" s="570"/>
      <c r="D39" s="569"/>
      <c r="E39" s="587"/>
      <c r="F39" s="569"/>
      <c r="G39" s="587"/>
      <c r="H39" s="569"/>
      <c r="I39" s="569"/>
      <c r="J39" s="569"/>
      <c r="K39" s="569"/>
      <c r="L39" s="569"/>
      <c r="M39" s="569"/>
      <c r="N39" s="569"/>
      <c r="O39" s="569"/>
      <c r="P39" s="569"/>
      <c r="Q39" s="569"/>
      <c r="R39" s="569"/>
      <c r="S39" s="569"/>
      <c r="T39" s="569"/>
      <c r="U39" s="569"/>
      <c r="V39" s="569"/>
      <c r="W39" s="569"/>
      <c r="X39" s="569"/>
      <c r="Y39" s="569"/>
      <c r="Z39" s="569"/>
      <c r="AA39" s="569"/>
      <c r="AB39" s="569"/>
      <c r="AC39" s="569"/>
      <c r="AD39" s="569"/>
      <c r="AE39" s="569"/>
      <c r="AF39" s="569"/>
      <c r="AG39" s="569"/>
    </row>
    <row r="40" spans="1:33">
      <c r="A40" s="569"/>
      <c r="B40" s="569"/>
      <c r="C40" s="570"/>
      <c r="D40" s="569"/>
      <c r="E40" s="587"/>
      <c r="F40" s="569"/>
      <c r="G40" s="587"/>
      <c r="H40" s="569"/>
      <c r="I40" s="569"/>
      <c r="J40" s="569"/>
      <c r="K40" s="569"/>
      <c r="L40" s="569"/>
      <c r="M40" s="569"/>
      <c r="N40" s="569"/>
      <c r="O40" s="569"/>
      <c r="P40" s="569"/>
      <c r="Q40" s="569"/>
      <c r="R40" s="569"/>
      <c r="S40" s="569"/>
      <c r="T40" s="569"/>
      <c r="U40" s="569"/>
      <c r="V40" s="569"/>
      <c r="W40" s="569"/>
      <c r="X40" s="569"/>
      <c r="Y40" s="569"/>
      <c r="Z40" s="569"/>
      <c r="AA40" s="569"/>
      <c r="AB40" s="569"/>
      <c r="AC40" s="569"/>
      <c r="AD40" s="569"/>
      <c r="AE40" s="569"/>
      <c r="AF40" s="569"/>
      <c r="AG40" s="569"/>
    </row>
    <row r="41" spans="1:33">
      <c r="A41" s="569"/>
      <c r="B41" s="569"/>
      <c r="C41" s="570"/>
      <c r="D41" s="569"/>
      <c r="E41" s="587"/>
      <c r="F41" s="569"/>
      <c r="G41" s="587"/>
      <c r="H41" s="569"/>
      <c r="I41" s="569"/>
      <c r="J41" s="569"/>
      <c r="K41" s="569"/>
      <c r="L41" s="569"/>
      <c r="M41" s="569"/>
      <c r="N41" s="569"/>
      <c r="O41" s="569"/>
      <c r="P41" s="569"/>
      <c r="Q41" s="569"/>
      <c r="R41" s="569"/>
      <c r="S41" s="569"/>
      <c r="T41" s="569"/>
      <c r="U41" s="569"/>
      <c r="V41" s="569"/>
      <c r="W41" s="569"/>
      <c r="X41" s="569"/>
      <c r="Y41" s="569"/>
      <c r="Z41" s="569"/>
      <c r="AA41" s="569"/>
      <c r="AB41" s="569"/>
      <c r="AC41" s="569"/>
      <c r="AD41" s="569"/>
      <c r="AE41" s="569"/>
      <c r="AF41" s="569"/>
      <c r="AG41" s="569"/>
    </row>
    <row r="42" spans="1:33" ht="14.25" customHeight="1">
      <c r="A42" s="569"/>
      <c r="B42" s="569"/>
      <c r="C42" s="570"/>
      <c r="D42" s="569"/>
      <c r="E42" s="587"/>
      <c r="F42" s="569"/>
      <c r="G42" s="587"/>
      <c r="H42" s="569"/>
      <c r="I42" s="569"/>
      <c r="J42" s="569"/>
      <c r="K42" s="569"/>
      <c r="L42" s="569"/>
      <c r="M42" s="569"/>
      <c r="N42" s="569"/>
      <c r="O42" s="569"/>
      <c r="P42" s="569"/>
      <c r="Q42" s="569"/>
      <c r="R42" s="569"/>
      <c r="S42" s="569"/>
      <c r="T42" s="569"/>
      <c r="U42" s="569"/>
      <c r="V42" s="569"/>
      <c r="W42" s="569"/>
      <c r="X42" s="569"/>
      <c r="Y42" s="569"/>
      <c r="Z42" s="569"/>
      <c r="AA42" s="569"/>
      <c r="AB42" s="569"/>
      <c r="AC42" s="569"/>
      <c r="AD42" s="569"/>
      <c r="AE42" s="569"/>
      <c r="AF42" s="569"/>
      <c r="AG42" s="569"/>
    </row>
    <row r="43" spans="1:33">
      <c r="A43" s="579"/>
      <c r="B43" s="579"/>
      <c r="C43" s="588"/>
      <c r="D43" s="579"/>
      <c r="E43" s="587"/>
      <c r="F43" s="569"/>
      <c r="G43" s="587"/>
      <c r="H43" s="569"/>
      <c r="I43" s="569"/>
      <c r="J43" s="569"/>
      <c r="K43" s="569"/>
      <c r="L43" s="569"/>
      <c r="M43" s="569"/>
      <c r="N43" s="569"/>
      <c r="O43" s="569"/>
      <c r="P43" s="569"/>
      <c r="Q43" s="569"/>
      <c r="R43" s="569"/>
      <c r="S43" s="569"/>
      <c r="T43" s="569"/>
      <c r="U43" s="569"/>
      <c r="V43" s="569"/>
      <c r="W43" s="569"/>
      <c r="X43" s="569"/>
      <c r="Y43" s="569"/>
      <c r="Z43" s="569"/>
      <c r="AA43" s="569"/>
      <c r="AB43" s="569"/>
      <c r="AC43" s="569"/>
      <c r="AD43" s="569"/>
      <c r="AE43" s="569"/>
      <c r="AF43" s="569"/>
      <c r="AG43" s="569"/>
    </row>
    <row r="44" spans="1:33" ht="14.25" customHeight="1">
      <c r="A44" s="569"/>
      <c r="B44" s="569"/>
      <c r="C44" s="570"/>
      <c r="D44" s="569"/>
      <c r="E44" s="587"/>
      <c r="F44" s="569"/>
      <c r="G44" s="587"/>
      <c r="H44" s="569"/>
      <c r="I44" s="569"/>
      <c r="J44" s="569"/>
      <c r="K44" s="569"/>
      <c r="L44" s="569"/>
      <c r="M44" s="569"/>
      <c r="N44" s="569"/>
      <c r="O44" s="569"/>
      <c r="P44" s="569"/>
      <c r="Q44" s="569"/>
      <c r="R44" s="569"/>
      <c r="S44" s="569"/>
      <c r="T44" s="569"/>
      <c r="U44" s="569"/>
      <c r="V44" s="569"/>
      <c r="W44" s="569"/>
      <c r="X44" s="569"/>
      <c r="Y44" s="569"/>
      <c r="Z44" s="569"/>
      <c r="AA44" s="569"/>
      <c r="AB44" s="569"/>
      <c r="AC44" s="569"/>
      <c r="AD44" s="569"/>
      <c r="AE44" s="569"/>
      <c r="AF44" s="569"/>
      <c r="AG44" s="569"/>
    </row>
    <row r="45" spans="1:33">
      <c r="A45" s="126"/>
      <c r="B45" s="126"/>
      <c r="C45" s="127"/>
      <c r="D45" s="126"/>
    </row>
    <row r="46" spans="1:33" ht="14.25" customHeight="1"/>
  </sheetData>
  <mergeCells count="3">
    <mergeCell ref="N19:P19"/>
    <mergeCell ref="N21:P21"/>
    <mergeCell ref="N23:P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:M17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opLeftCell="A22" workbookViewId="0"/>
  </sheetViews>
  <sheetFormatPr defaultRowHeight="14.25"/>
  <cols>
    <col min="1" max="1" width="10.42578125" style="13" customWidth="1"/>
    <col min="2" max="2" width="13.42578125" style="112" customWidth="1"/>
    <col min="3" max="3" width="11.7109375" style="112" bestFit="1" customWidth="1"/>
    <col min="4" max="4" width="6.28515625" style="13" bestFit="1" customWidth="1"/>
    <col min="5" max="5" width="12" style="13" bestFit="1" customWidth="1"/>
    <col min="6" max="6" width="13.42578125" style="13" bestFit="1" customWidth="1"/>
    <col min="7" max="7" width="11.28515625" style="13" bestFit="1" customWidth="1"/>
    <col min="8" max="8" width="7.5703125" style="13" bestFit="1" customWidth="1"/>
    <col min="9" max="9" width="8.5703125" style="13" bestFit="1" customWidth="1"/>
    <col min="10" max="10" width="13.42578125" style="13" bestFit="1" customWidth="1"/>
    <col min="11" max="11" width="11.28515625" style="13" bestFit="1" customWidth="1"/>
    <col min="12" max="12" width="7.140625" style="13" customWidth="1"/>
    <col min="13" max="13" width="8.5703125" style="13" bestFit="1" customWidth="1"/>
    <col min="14" max="14" width="13.42578125" style="13" bestFit="1" customWidth="1"/>
    <col min="15" max="15" width="12" style="13" customWidth="1"/>
    <col min="16" max="16" width="9.7109375" style="13" customWidth="1"/>
    <col min="17" max="17" width="9.140625" style="13" customWidth="1"/>
    <col min="18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283</v>
      </c>
    </row>
    <row r="5" spans="1:15" ht="15">
      <c r="A5" s="1"/>
    </row>
    <row r="6" spans="1:15">
      <c r="A6" s="13" t="s">
        <v>210</v>
      </c>
    </row>
    <row r="7" spans="1:15">
      <c r="A7" s="13" t="s">
        <v>211</v>
      </c>
    </row>
    <row r="8" spans="1:15" ht="15" thickBot="1">
      <c r="B8" s="13"/>
      <c r="C8" s="13"/>
    </row>
    <row r="9" spans="1:15" s="135" customFormat="1" ht="41.25" customHeight="1" thickBot="1">
      <c r="A9" s="937" t="str">
        <f>'10_UNIDADES_+_demandadas_2023'!A7</f>
        <v>Secretaria Municipal de Assistência e Desenvolvimento Social</v>
      </c>
      <c r="B9" s="938"/>
      <c r="C9" s="939"/>
      <c r="E9" s="937" t="str">
        <f>'10_UNIDADES_+_demandadas_2023'!A8</f>
        <v>Secretaria Municipal das Subprefeituras</v>
      </c>
      <c r="F9" s="938"/>
      <c r="G9" s="939"/>
      <c r="I9" s="937" t="str">
        <f>'10_UNIDADES_+_demandadas_2023'!A9</f>
        <v>Secretaria Municipal da Saúde</v>
      </c>
      <c r="J9" s="938"/>
      <c r="K9" s="939"/>
      <c r="M9" s="937" t="str">
        <f>'10_UNIDADES_+_demandadas_2023'!A10</f>
        <v>Companhia de Engenharia de Tráfego - CET</v>
      </c>
      <c r="N9" s="938"/>
      <c r="O9" s="939"/>
    </row>
    <row r="10" spans="1:15" ht="15.75" thickBot="1">
      <c r="A10" s="882" t="s">
        <v>2</v>
      </c>
      <c r="B10" s="4" t="s">
        <v>212</v>
      </c>
      <c r="C10" s="886" t="s">
        <v>213</v>
      </c>
      <c r="E10" s="880" t="s">
        <v>2</v>
      </c>
      <c r="F10" s="4" t="s">
        <v>212</v>
      </c>
      <c r="G10" s="886" t="s">
        <v>213</v>
      </c>
      <c r="I10" s="882" t="s">
        <v>2</v>
      </c>
      <c r="J10" s="4" t="s">
        <v>212</v>
      </c>
      <c r="K10" s="886" t="s">
        <v>213</v>
      </c>
      <c r="M10" s="880" t="s">
        <v>2</v>
      </c>
      <c r="N10" s="5" t="s">
        <v>212</v>
      </c>
      <c r="O10" s="881" t="s">
        <v>213</v>
      </c>
    </row>
    <row r="11" spans="1:15" ht="15">
      <c r="A11" s="868">
        <v>44927</v>
      </c>
      <c r="B11" s="193">
        <f>'10_UNIDADES_+_demandadas_2023'!M7</f>
        <v>564</v>
      </c>
      <c r="C11" s="887">
        <f>((B11-424)/424)*100</f>
        <v>33.018867924528301</v>
      </c>
      <c r="E11" s="868">
        <v>44927</v>
      </c>
      <c r="F11" s="193">
        <f>'10_UNIDADES_+_demandadas_2023'!M8</f>
        <v>545</v>
      </c>
      <c r="G11" s="887">
        <f>((F11-454)/454)*100</f>
        <v>20.044052863436125</v>
      </c>
      <c r="I11" s="868">
        <v>44927</v>
      </c>
      <c r="J11" s="193">
        <f>'10_UNIDADES_+_demandadas_2023'!M9</f>
        <v>343</v>
      </c>
      <c r="K11" s="887">
        <f>((J11-251)/251)*100</f>
        <v>36.65338645418327</v>
      </c>
      <c r="M11" s="868">
        <v>44927</v>
      </c>
      <c r="N11" s="137">
        <f>'10_UNIDADES_+_demandadas_2023'!M10</f>
        <v>327</v>
      </c>
      <c r="O11" s="891">
        <f>((N11-263)/263)*100</f>
        <v>24.334600760456272</v>
      </c>
    </row>
    <row r="12" spans="1:15" ht="15">
      <c r="A12" s="870">
        <v>44958</v>
      </c>
      <c r="B12" s="194">
        <f>'10_UNIDADES_+_demandadas_2023'!L7</f>
        <v>527</v>
      </c>
      <c r="C12" s="888">
        <f t="shared" ref="C12:C18" si="0">((B12-B11)/B11)*100</f>
        <v>-6.5602836879432624</v>
      </c>
      <c r="E12" s="870">
        <v>44958</v>
      </c>
      <c r="F12" s="194">
        <f>'10_UNIDADES_+_demandadas_2023'!L8</f>
        <v>536</v>
      </c>
      <c r="G12" s="888">
        <f t="shared" ref="G12:G17" si="1">((F12-F11)/F11)*100</f>
        <v>-1.6513761467889909</v>
      </c>
      <c r="I12" s="870">
        <v>44958</v>
      </c>
      <c r="J12" s="194">
        <f>'10_UNIDADES_+_demandadas_2023'!L9</f>
        <v>318</v>
      </c>
      <c r="K12" s="888">
        <f t="shared" ref="K12:K17" si="2">((J12-J11)/J11)*100</f>
        <v>-7.2886297376093294</v>
      </c>
      <c r="M12" s="870">
        <v>44958</v>
      </c>
      <c r="N12" s="138">
        <f>'10_UNIDADES_+_demandadas_2023'!L10</f>
        <v>330</v>
      </c>
      <c r="O12" s="869">
        <f t="shared" ref="O12:O17" si="3">((N12-N11)/N11)*100</f>
        <v>0.91743119266055051</v>
      </c>
    </row>
    <row r="13" spans="1:15" ht="15">
      <c r="A13" s="870">
        <v>44986</v>
      </c>
      <c r="B13" s="194">
        <f>'10_UNIDADES_+_demandadas_2023'!K7</f>
        <v>886</v>
      </c>
      <c r="C13" s="888">
        <f t="shared" si="0"/>
        <v>68.121442125237195</v>
      </c>
      <c r="E13" s="870">
        <v>44986</v>
      </c>
      <c r="F13" s="194">
        <f>'10_UNIDADES_+_demandadas_2023'!K8</f>
        <v>573</v>
      </c>
      <c r="G13" s="888">
        <f t="shared" si="1"/>
        <v>6.9029850746268657</v>
      </c>
      <c r="I13" s="870">
        <v>44986</v>
      </c>
      <c r="J13" s="194">
        <f>'10_UNIDADES_+_demandadas_2023'!K9</f>
        <v>373</v>
      </c>
      <c r="K13" s="888">
        <f t="shared" si="2"/>
        <v>17.29559748427673</v>
      </c>
      <c r="M13" s="870">
        <v>44986</v>
      </c>
      <c r="N13" s="138">
        <f>'10_UNIDADES_+_demandadas_2023'!K10</f>
        <v>299</v>
      </c>
      <c r="O13" s="869">
        <f t="shared" si="3"/>
        <v>-9.3939393939393927</v>
      </c>
    </row>
    <row r="14" spans="1:15" ht="15">
      <c r="A14" s="870">
        <v>45017</v>
      </c>
      <c r="B14" s="194">
        <f>'10_UNIDADES_+_demandadas_2023'!J$7</f>
        <v>1034</v>
      </c>
      <c r="C14" s="888">
        <f t="shared" si="0"/>
        <v>16.704288939051921</v>
      </c>
      <c r="E14" s="870">
        <v>45017</v>
      </c>
      <c r="F14" s="194">
        <f>'10_UNIDADES_+_demandadas_2023'!J$8</f>
        <v>572</v>
      </c>
      <c r="G14" s="888">
        <f t="shared" si="1"/>
        <v>-0.17452006980802792</v>
      </c>
      <c r="I14" s="870">
        <v>45017</v>
      </c>
      <c r="J14" s="194">
        <f>'10_UNIDADES_+_demandadas_2023'!J$9</f>
        <v>332</v>
      </c>
      <c r="K14" s="888">
        <f t="shared" si="2"/>
        <v>-10.991957104557642</v>
      </c>
      <c r="M14" s="870">
        <v>45017</v>
      </c>
      <c r="N14" s="138">
        <f>'10_UNIDADES_+_demandadas_2023'!J$10</f>
        <v>231</v>
      </c>
      <c r="O14" s="869">
        <f t="shared" si="3"/>
        <v>-22.742474916387959</v>
      </c>
    </row>
    <row r="15" spans="1:15" ht="15">
      <c r="A15" s="870">
        <v>45047</v>
      </c>
      <c r="B15" s="194">
        <f>'10_UNIDADES_+_demandadas_2023'!I$7</f>
        <v>878</v>
      </c>
      <c r="C15" s="888">
        <f t="shared" si="0"/>
        <v>-15.087040618955513</v>
      </c>
      <c r="E15" s="870">
        <v>45047</v>
      </c>
      <c r="F15" s="194">
        <f>'10_UNIDADES_+_demandadas_2023'!I$8</f>
        <v>704</v>
      </c>
      <c r="G15" s="888">
        <f t="shared" si="1"/>
        <v>23.076923076923077</v>
      </c>
      <c r="I15" s="870">
        <v>45047</v>
      </c>
      <c r="J15" s="194">
        <f>'10_UNIDADES_+_demandadas_2023'!I$9</f>
        <v>427</v>
      </c>
      <c r="K15" s="888">
        <f t="shared" si="2"/>
        <v>28.614457831325304</v>
      </c>
      <c r="M15" s="870">
        <v>45047</v>
      </c>
      <c r="N15" s="138">
        <f>'10_UNIDADES_+_demandadas_2023'!I$10</f>
        <v>279</v>
      </c>
      <c r="O15" s="869">
        <f t="shared" si="3"/>
        <v>20.779220779220779</v>
      </c>
    </row>
    <row r="16" spans="1:15" ht="15">
      <c r="A16" s="870">
        <v>45078</v>
      </c>
      <c r="B16" s="194">
        <f>'10_UNIDADES_+_demandadas_2023'!H$7</f>
        <v>784</v>
      </c>
      <c r="C16" s="888">
        <f t="shared" si="0"/>
        <v>-10.70615034168565</v>
      </c>
      <c r="E16" s="870">
        <v>45078</v>
      </c>
      <c r="F16" s="194">
        <f>'10_UNIDADES_+_demandadas_2023'!H$8</f>
        <v>737</v>
      </c>
      <c r="G16" s="888">
        <f t="shared" si="1"/>
        <v>4.6875</v>
      </c>
      <c r="I16" s="870">
        <v>45078</v>
      </c>
      <c r="J16" s="194">
        <f>'10_UNIDADES_+_demandadas_2023'!H$9</f>
        <v>343</v>
      </c>
      <c r="K16" s="888">
        <f t="shared" si="2"/>
        <v>-19.672131147540984</v>
      </c>
      <c r="M16" s="870">
        <v>45078</v>
      </c>
      <c r="N16" s="138">
        <f>'10_UNIDADES_+_demandadas_2023'!H$10</f>
        <v>272</v>
      </c>
      <c r="O16" s="869">
        <f t="shared" si="3"/>
        <v>-2.5089605734767026</v>
      </c>
    </row>
    <row r="17" spans="1:15" ht="15">
      <c r="A17" s="870">
        <v>45108</v>
      </c>
      <c r="B17" s="194">
        <f>'10_UNIDADES_+_demandadas_2023'!G$7</f>
        <v>485</v>
      </c>
      <c r="C17" s="888">
        <f t="shared" si="0"/>
        <v>-38.137755102040813</v>
      </c>
      <c r="E17" s="870">
        <v>45108</v>
      </c>
      <c r="F17" s="194">
        <f>'10_UNIDADES_+_demandadas_2023'!G$8</f>
        <v>734</v>
      </c>
      <c r="G17" s="888">
        <f t="shared" si="1"/>
        <v>-0.40705563093622793</v>
      </c>
      <c r="I17" s="870">
        <v>45108</v>
      </c>
      <c r="J17" s="194">
        <f>'10_UNIDADES_+_demandadas_2023'!G$9</f>
        <v>342</v>
      </c>
      <c r="K17" s="888">
        <f t="shared" si="2"/>
        <v>-0.29154518950437319</v>
      </c>
      <c r="M17" s="870">
        <v>45108</v>
      </c>
      <c r="N17" s="138">
        <f>'10_UNIDADES_+_demandadas_2023'!G$10</f>
        <v>244</v>
      </c>
      <c r="O17" s="869">
        <f t="shared" si="3"/>
        <v>-10.294117647058822</v>
      </c>
    </row>
    <row r="18" spans="1:15" ht="15">
      <c r="A18" s="870">
        <v>45139</v>
      </c>
      <c r="B18" s="194">
        <f>'10_UNIDADES_+_demandadas_2023'!F$7</f>
        <v>632</v>
      </c>
      <c r="C18" s="888">
        <f t="shared" si="0"/>
        <v>30.309278350515463</v>
      </c>
      <c r="E18" s="870">
        <v>45139</v>
      </c>
      <c r="F18" s="194">
        <f>'10_UNIDADES_+_demandadas_2023'!F$8</f>
        <v>700</v>
      </c>
      <c r="G18" s="888">
        <f t="shared" ref="G18" si="4">((F18-F17)/F17)*100</f>
        <v>-4.6321525885558579</v>
      </c>
      <c r="I18" s="870">
        <v>45139</v>
      </c>
      <c r="J18" s="194">
        <f>'10_UNIDADES_+_demandadas_2023'!F$9</f>
        <v>374</v>
      </c>
      <c r="K18" s="888">
        <f t="shared" ref="K18" si="5">((J18-J17)/J17)*100</f>
        <v>9.3567251461988299</v>
      </c>
      <c r="M18" s="870">
        <v>45139</v>
      </c>
      <c r="N18" s="138">
        <f>'10_UNIDADES_+_demandadas_2023'!F$10</f>
        <v>324</v>
      </c>
      <c r="O18" s="869">
        <f t="shared" ref="O18" si="6">((N18-N17)/N17)*100</f>
        <v>32.786885245901637</v>
      </c>
    </row>
    <row r="19" spans="1:15" ht="15">
      <c r="A19" s="870">
        <v>45170</v>
      </c>
      <c r="B19" s="194">
        <f>'10_UNIDADES_+_demandadas_2023'!E$7</f>
        <v>607</v>
      </c>
      <c r="C19" s="888">
        <f t="shared" ref="C19:C21" si="7">((B19-B18)/B18)*100</f>
        <v>-3.9556962025316458</v>
      </c>
      <c r="E19" s="870">
        <v>45170</v>
      </c>
      <c r="F19" s="194">
        <f>'10_UNIDADES_+_demandadas_2023'!E$8</f>
        <v>622</v>
      </c>
      <c r="G19" s="888">
        <f t="shared" ref="G19:G21" si="8">((F19-F18)/F18)*100</f>
        <v>-11.142857142857142</v>
      </c>
      <c r="I19" s="870">
        <v>45170</v>
      </c>
      <c r="J19" s="194">
        <f>'10_UNIDADES_+_demandadas_2023'!E$9</f>
        <v>365</v>
      </c>
      <c r="K19" s="888">
        <f t="shared" ref="K19:K21" si="9">((J19-J18)/J18)*100</f>
        <v>-2.4064171122994651</v>
      </c>
      <c r="M19" s="870">
        <v>45170</v>
      </c>
      <c r="N19" s="138">
        <f>'10_UNIDADES_+_demandadas_2023'!E$10</f>
        <v>288</v>
      </c>
      <c r="O19" s="869">
        <f t="shared" ref="O19:O21" si="10">((N19-N18)/N18)*100</f>
        <v>-11.111111111111111</v>
      </c>
    </row>
    <row r="20" spans="1:15" ht="15">
      <c r="A20" s="870">
        <v>45200</v>
      </c>
      <c r="B20" s="194">
        <f>'10_UNIDADES_+_demandadas_2023'!D$7</f>
        <v>880</v>
      </c>
      <c r="C20" s="888">
        <f t="shared" si="7"/>
        <v>44.975288303130149</v>
      </c>
      <c r="E20" s="870">
        <v>45200</v>
      </c>
      <c r="F20" s="194">
        <f>'10_UNIDADES_+_demandadas_2023'!D$8</f>
        <v>681</v>
      </c>
      <c r="G20" s="888">
        <f t="shared" si="8"/>
        <v>9.485530546623794</v>
      </c>
      <c r="I20" s="870">
        <v>45200</v>
      </c>
      <c r="J20" s="194">
        <f>'10_UNIDADES_+_demandadas_2023'!D$9</f>
        <v>441</v>
      </c>
      <c r="K20" s="888">
        <f t="shared" si="9"/>
        <v>20.82191780821918</v>
      </c>
      <c r="M20" s="870">
        <v>45200</v>
      </c>
      <c r="N20" s="138">
        <f>'10_UNIDADES_+_demandadas_2023'!D$10</f>
        <v>295</v>
      </c>
      <c r="O20" s="869">
        <f t="shared" si="10"/>
        <v>2.4305555555555558</v>
      </c>
    </row>
    <row r="21" spans="1:15" ht="15">
      <c r="A21" s="870">
        <v>45231</v>
      </c>
      <c r="B21" s="194">
        <f>'10_UNIDADES_+_demandadas_2023'!C$7</f>
        <v>630</v>
      </c>
      <c r="C21" s="888">
        <f t="shared" si="7"/>
        <v>-28.40909090909091</v>
      </c>
      <c r="E21" s="870">
        <v>45231</v>
      </c>
      <c r="F21" s="194">
        <f>'10_UNIDADES_+_demandadas_2023'!C$8</f>
        <v>592</v>
      </c>
      <c r="G21" s="888">
        <f t="shared" si="8"/>
        <v>-13.069016152716593</v>
      </c>
      <c r="I21" s="870">
        <v>45231</v>
      </c>
      <c r="J21" s="194">
        <f>'10_UNIDADES_+_demandadas_2023'!C$9</f>
        <v>394</v>
      </c>
      <c r="K21" s="888">
        <f t="shared" si="9"/>
        <v>-10.657596371882086</v>
      </c>
      <c r="M21" s="870">
        <v>45231</v>
      </c>
      <c r="N21" s="138">
        <f>'10_UNIDADES_+_demandadas_2023'!C$10</f>
        <v>274</v>
      </c>
      <c r="O21" s="869">
        <f t="shared" si="10"/>
        <v>-7.1186440677966107</v>
      </c>
    </row>
    <row r="22" spans="1:15" ht="15.75" thickBot="1">
      <c r="A22" s="871">
        <v>45261</v>
      </c>
      <c r="B22" s="889">
        <f>'10_UNIDADES_+_demandadas_2023'!B$7</f>
        <v>350</v>
      </c>
      <c r="C22" s="890">
        <f t="shared" ref="C22" si="11">((B22-B21)/B21)*100</f>
        <v>-44.444444444444443</v>
      </c>
      <c r="E22" s="871">
        <v>45261</v>
      </c>
      <c r="F22" s="889">
        <f>'10_UNIDADES_+_demandadas_2023'!B$8</f>
        <v>514</v>
      </c>
      <c r="G22" s="890">
        <f t="shared" ref="G22" si="12">((F22-F21)/F21)*100</f>
        <v>-13.175675675675674</v>
      </c>
      <c r="I22" s="871">
        <v>45261</v>
      </c>
      <c r="J22" s="889">
        <f>'10_UNIDADES_+_demandadas_2023'!B$9</f>
        <v>398</v>
      </c>
      <c r="K22" s="890">
        <f t="shared" ref="K22" si="13">((J22-J21)/J21)*100</f>
        <v>1.015228426395939</v>
      </c>
      <c r="M22" s="871">
        <v>45261</v>
      </c>
      <c r="N22" s="872">
        <f>'10_UNIDADES_+_demandadas_2023'!B$10</f>
        <v>266</v>
      </c>
      <c r="O22" s="873">
        <f t="shared" ref="O22" si="14">((N22-N21)/N21)*100</f>
        <v>-2.9197080291970803</v>
      </c>
    </row>
    <row r="23" spans="1:15">
      <c r="B23" s="13"/>
      <c r="C23" s="13"/>
    </row>
    <row r="24" spans="1:15" ht="15" thickBot="1">
      <c r="B24" s="13"/>
      <c r="C24" s="13"/>
    </row>
    <row r="25" spans="1:15" ht="30.75" customHeight="1" thickBot="1">
      <c r="A25" s="937" t="str">
        <f>'10_UNIDADES_+_demandadas_2023'!A11</f>
        <v>Secretaria Municipal da Fazenda</v>
      </c>
      <c r="B25" s="938"/>
      <c r="C25" s="939"/>
      <c r="E25" s="937" t="str">
        <f>'10_UNIDADES_+_demandadas_2023'!A12</f>
        <v>Secretaria Executiva de Limpeza Urbana**</v>
      </c>
      <c r="F25" s="938"/>
      <c r="G25" s="939"/>
      <c r="I25" s="937" t="str">
        <f>'10_UNIDADES_+_demandadas_2023'!A13</f>
        <v>São Paulo Transportes - SPTRANS</v>
      </c>
      <c r="J25" s="938"/>
      <c r="K25" s="939"/>
      <c r="M25" s="937" t="str">
        <f>'10_UNIDADES_+_demandadas_2023'!A14</f>
        <v>Secretaria Municipal de Educação</v>
      </c>
      <c r="N25" s="938"/>
      <c r="O25" s="939"/>
    </row>
    <row r="26" spans="1:15" ht="15.75" thickBot="1">
      <c r="A26" s="882" t="s">
        <v>2</v>
      </c>
      <c r="B26" s="5" t="s">
        <v>212</v>
      </c>
      <c r="C26" s="881" t="s">
        <v>213</v>
      </c>
      <c r="E26" s="880" t="s">
        <v>2</v>
      </c>
      <c r="F26" s="5" t="s">
        <v>212</v>
      </c>
      <c r="G26" s="881" t="s">
        <v>213</v>
      </c>
      <c r="I26" s="882" t="s">
        <v>2</v>
      </c>
      <c r="J26" s="5" t="s">
        <v>212</v>
      </c>
      <c r="K26" s="881" t="s">
        <v>213</v>
      </c>
      <c r="M26" s="892" t="s">
        <v>2</v>
      </c>
      <c r="N26" s="5" t="s">
        <v>212</v>
      </c>
      <c r="O26" s="881" t="s">
        <v>213</v>
      </c>
    </row>
    <row r="27" spans="1:15" ht="15">
      <c r="A27" s="868">
        <v>44927</v>
      </c>
      <c r="B27" s="137">
        <f>'10_UNIDADES_+_demandadas_2023'!M11</f>
        <v>328</v>
      </c>
      <c r="C27" s="891">
        <f>((B27-213)/213)*100</f>
        <v>53.990610328638496</v>
      </c>
      <c r="E27" s="868">
        <v>44927</v>
      </c>
      <c r="F27" s="137">
        <f>'10_UNIDADES_+_demandadas_2023'!M12</f>
        <v>247</v>
      </c>
      <c r="G27" s="891">
        <f>((F27-242)/242)*100</f>
        <v>2.0661157024793391</v>
      </c>
      <c r="I27" s="868">
        <v>44927</v>
      </c>
      <c r="J27" s="137">
        <f>'10_UNIDADES_+_demandadas_2023'!M13</f>
        <v>140</v>
      </c>
      <c r="K27" s="891">
        <f>((J27-135)/135)*100</f>
        <v>3.7037037037037033</v>
      </c>
      <c r="M27" s="868">
        <v>44927</v>
      </c>
      <c r="N27" s="137">
        <f>'10_UNIDADES_+_demandadas_2023'!M14</f>
        <v>131</v>
      </c>
      <c r="O27" s="891">
        <f>((N27-112)/112)*100</f>
        <v>16.964285714285715</v>
      </c>
    </row>
    <row r="28" spans="1:15" ht="15">
      <c r="A28" s="870">
        <v>44958</v>
      </c>
      <c r="B28" s="138">
        <f>'10_UNIDADES_+_demandadas_2023'!L11</f>
        <v>292</v>
      </c>
      <c r="C28" s="869">
        <f t="shared" ref="C28:C33" si="15">((B28-B27)/B27)*100</f>
        <v>-10.975609756097562</v>
      </c>
      <c r="E28" s="870">
        <v>44958</v>
      </c>
      <c r="F28" s="138">
        <f>'10_UNIDADES_+_demandadas_2023'!L12</f>
        <v>286</v>
      </c>
      <c r="G28" s="869">
        <f t="shared" ref="G28:G33" si="16">((F28-F27)/F27)*100</f>
        <v>15.789473684210526</v>
      </c>
      <c r="I28" s="870">
        <v>44958</v>
      </c>
      <c r="J28" s="138">
        <f>'10_UNIDADES_+_demandadas_2023'!L13</f>
        <v>204</v>
      </c>
      <c r="K28" s="869">
        <f t="shared" ref="K28:K33" si="17">((J28-J27)/J27)*100</f>
        <v>45.714285714285715</v>
      </c>
      <c r="M28" s="870">
        <v>44958</v>
      </c>
      <c r="N28" s="138">
        <f>'10_UNIDADES_+_demandadas_2023'!L14</f>
        <v>377</v>
      </c>
      <c r="O28" s="869">
        <f t="shared" ref="O28:O33" si="18">((N28-N27)/N27)*100</f>
        <v>187.78625954198475</v>
      </c>
    </row>
    <row r="29" spans="1:15" ht="15">
      <c r="A29" s="870">
        <v>44986</v>
      </c>
      <c r="B29" s="138">
        <f>'10_UNIDADES_+_demandadas_2023'!K11</f>
        <v>306</v>
      </c>
      <c r="C29" s="869">
        <f t="shared" si="15"/>
        <v>4.7945205479452051</v>
      </c>
      <c r="E29" s="870">
        <v>44986</v>
      </c>
      <c r="F29" s="138">
        <f>'10_UNIDADES_+_demandadas_2023'!K12</f>
        <v>318</v>
      </c>
      <c r="G29" s="869">
        <f t="shared" si="16"/>
        <v>11.188811188811188</v>
      </c>
      <c r="I29" s="870">
        <v>44986</v>
      </c>
      <c r="J29" s="138">
        <f>'10_UNIDADES_+_demandadas_2023'!K13</f>
        <v>333</v>
      </c>
      <c r="K29" s="869">
        <f t="shared" si="17"/>
        <v>63.235294117647058</v>
      </c>
      <c r="M29" s="870">
        <v>44986</v>
      </c>
      <c r="N29" s="138">
        <f>'10_UNIDADES_+_demandadas_2023'!K14</f>
        <v>326</v>
      </c>
      <c r="O29" s="869">
        <f t="shared" si="18"/>
        <v>-13.527851458885943</v>
      </c>
    </row>
    <row r="30" spans="1:15" ht="15">
      <c r="A30" s="870">
        <v>45017</v>
      </c>
      <c r="B30" s="138">
        <f>'10_UNIDADES_+_demandadas_2023'!J$11</f>
        <v>222</v>
      </c>
      <c r="C30" s="869">
        <f t="shared" si="15"/>
        <v>-27.450980392156865</v>
      </c>
      <c r="E30" s="870">
        <v>45017</v>
      </c>
      <c r="F30" s="138">
        <f>'10_UNIDADES_+_demandadas_2023'!J$12</f>
        <v>247</v>
      </c>
      <c r="G30" s="869">
        <f t="shared" si="16"/>
        <v>-22.327044025157232</v>
      </c>
      <c r="I30" s="870">
        <v>45017</v>
      </c>
      <c r="J30" s="138">
        <f>'10_UNIDADES_+_demandadas_2023'!J$13</f>
        <v>238</v>
      </c>
      <c r="K30" s="869">
        <f t="shared" si="17"/>
        <v>-28.528528528528529</v>
      </c>
      <c r="M30" s="870">
        <v>45017</v>
      </c>
      <c r="N30" s="138">
        <f>'10_UNIDADES_+_demandadas_2023'!J$14</f>
        <v>183</v>
      </c>
      <c r="O30" s="869">
        <f t="shared" si="18"/>
        <v>-43.865030674846629</v>
      </c>
    </row>
    <row r="31" spans="1:15" ht="15">
      <c r="A31" s="870">
        <v>45047</v>
      </c>
      <c r="B31" s="138">
        <f>'10_UNIDADES_+_demandadas_2023'!I$11</f>
        <v>278</v>
      </c>
      <c r="C31" s="869">
        <f t="shared" si="15"/>
        <v>25.225225225225223</v>
      </c>
      <c r="E31" s="870">
        <v>45047</v>
      </c>
      <c r="F31" s="138">
        <f>'10_UNIDADES_+_demandadas_2023'!I$12</f>
        <v>269</v>
      </c>
      <c r="G31" s="869">
        <f t="shared" si="16"/>
        <v>8.9068825910931171</v>
      </c>
      <c r="I31" s="870">
        <v>45047</v>
      </c>
      <c r="J31" s="138">
        <f>'10_UNIDADES_+_demandadas_2023'!I$13</f>
        <v>285</v>
      </c>
      <c r="K31" s="869">
        <f t="shared" si="17"/>
        <v>19.747899159663866</v>
      </c>
      <c r="M31" s="870">
        <v>45047</v>
      </c>
      <c r="N31" s="138">
        <f>'10_UNIDADES_+_demandadas_2023'!I$14</f>
        <v>206</v>
      </c>
      <c r="O31" s="869">
        <f t="shared" si="18"/>
        <v>12.568306010928962</v>
      </c>
    </row>
    <row r="32" spans="1:15" ht="15">
      <c r="A32" s="870">
        <v>45078</v>
      </c>
      <c r="B32" s="138">
        <f>'10_UNIDADES_+_demandadas_2023'!H$11</f>
        <v>242</v>
      </c>
      <c r="C32" s="869">
        <f t="shared" si="15"/>
        <v>-12.949640287769784</v>
      </c>
      <c r="E32" s="870">
        <v>45078</v>
      </c>
      <c r="F32" s="138">
        <f>'10_UNIDADES_+_demandadas_2023'!H$12</f>
        <v>272</v>
      </c>
      <c r="G32" s="869">
        <f t="shared" si="16"/>
        <v>1.1152416356877324</v>
      </c>
      <c r="I32" s="870">
        <v>45078</v>
      </c>
      <c r="J32" s="138">
        <f>'10_UNIDADES_+_demandadas_2023'!H$13</f>
        <v>210</v>
      </c>
      <c r="K32" s="869">
        <f t="shared" si="17"/>
        <v>-26.315789473684209</v>
      </c>
      <c r="M32" s="870">
        <v>45078</v>
      </c>
      <c r="N32" s="138">
        <f>'10_UNIDADES_+_demandadas_2023'!H$14</f>
        <v>161</v>
      </c>
      <c r="O32" s="869">
        <f t="shared" si="18"/>
        <v>-21.844660194174757</v>
      </c>
    </row>
    <row r="33" spans="1:15" ht="15">
      <c r="A33" s="870">
        <v>45108</v>
      </c>
      <c r="B33" s="138">
        <f>'10_UNIDADES_+_demandadas_2023'!G$11</f>
        <v>298</v>
      </c>
      <c r="C33" s="869">
        <f t="shared" si="15"/>
        <v>23.140495867768596</v>
      </c>
      <c r="E33" s="870">
        <v>45108</v>
      </c>
      <c r="F33" s="138">
        <f>'10_UNIDADES_+_demandadas_2023'!G$12</f>
        <v>174</v>
      </c>
      <c r="G33" s="869">
        <f t="shared" si="16"/>
        <v>-36.029411764705884</v>
      </c>
      <c r="I33" s="870">
        <v>45108</v>
      </c>
      <c r="J33" s="138">
        <f>'10_UNIDADES_+_demandadas_2023'!G$13</f>
        <v>207</v>
      </c>
      <c r="K33" s="869">
        <f t="shared" si="17"/>
        <v>-1.4285714285714286</v>
      </c>
      <c r="M33" s="870">
        <v>45108</v>
      </c>
      <c r="N33" s="138">
        <f>'10_UNIDADES_+_demandadas_2023'!G$14</f>
        <v>164</v>
      </c>
      <c r="O33" s="869">
        <f t="shared" si="18"/>
        <v>1.8633540372670807</v>
      </c>
    </row>
    <row r="34" spans="1:15" ht="15">
      <c r="A34" s="870">
        <v>45139</v>
      </c>
      <c r="B34" s="138">
        <f>'10_UNIDADES_+_demandadas_2023'!F$11</f>
        <v>263</v>
      </c>
      <c r="C34" s="869">
        <f t="shared" ref="C34" si="19">((B34-B33)/B33)*100</f>
        <v>-11.74496644295302</v>
      </c>
      <c r="E34" s="870">
        <v>45139</v>
      </c>
      <c r="F34" s="138">
        <f>'10_UNIDADES_+_demandadas_2023'!F$12</f>
        <v>222</v>
      </c>
      <c r="G34" s="869">
        <f t="shared" ref="G34" si="20">((F34-F33)/F33)*100</f>
        <v>27.586206896551722</v>
      </c>
      <c r="I34" s="870">
        <v>45139</v>
      </c>
      <c r="J34" s="138">
        <f>'10_UNIDADES_+_demandadas_2023'!F$13</f>
        <v>261</v>
      </c>
      <c r="K34" s="869">
        <f t="shared" ref="K34" si="21">((J34-J33)/J33)*100</f>
        <v>26.086956521739129</v>
      </c>
      <c r="M34" s="870">
        <v>45139</v>
      </c>
      <c r="N34" s="138">
        <f>'10_UNIDADES_+_demandadas_2023'!F$14</f>
        <v>215</v>
      </c>
      <c r="O34" s="869">
        <f t="shared" ref="O34" si="22">((N34-N33)/N33)*100</f>
        <v>31.097560975609756</v>
      </c>
    </row>
    <row r="35" spans="1:15" ht="15">
      <c r="A35" s="870">
        <v>45170</v>
      </c>
      <c r="B35" s="138">
        <f>'10_UNIDADES_+_demandadas_2023'!E$11</f>
        <v>220</v>
      </c>
      <c r="C35" s="869">
        <f t="shared" ref="C35:C37" si="23">((B35-B34)/B34)*100</f>
        <v>-16.34980988593156</v>
      </c>
      <c r="E35" s="870">
        <v>45170</v>
      </c>
      <c r="F35" s="138">
        <f>'10_UNIDADES_+_demandadas_2023'!E$12</f>
        <v>200</v>
      </c>
      <c r="G35" s="869">
        <f t="shared" ref="G35:G38" si="24">((F35-F34)/F34)*100</f>
        <v>-9.9099099099099099</v>
      </c>
      <c r="I35" s="870">
        <v>45170</v>
      </c>
      <c r="J35" s="138">
        <f>'10_UNIDADES_+_demandadas_2023'!E$13</f>
        <v>221</v>
      </c>
      <c r="K35" s="869">
        <f t="shared" ref="K35:K37" si="25">((J35-J34)/J34)*100</f>
        <v>-15.325670498084291</v>
      </c>
      <c r="M35" s="870">
        <v>45170</v>
      </c>
      <c r="N35" s="138">
        <f>'10_UNIDADES_+_demandadas_2023'!E$14</f>
        <v>187</v>
      </c>
      <c r="O35" s="869">
        <f t="shared" ref="O35:O37" si="26">((N35-N34)/N34)*100</f>
        <v>-13.023255813953488</v>
      </c>
    </row>
    <row r="36" spans="1:15" ht="15">
      <c r="A36" s="870">
        <v>45200</v>
      </c>
      <c r="B36" s="138">
        <f>'10_UNIDADES_+_demandadas_2023'!D$11</f>
        <v>271</v>
      </c>
      <c r="C36" s="869">
        <f t="shared" si="23"/>
        <v>23.18181818181818</v>
      </c>
      <c r="E36" s="870">
        <v>45200</v>
      </c>
      <c r="F36" s="138">
        <f>'10_UNIDADES_+_demandadas_2023'!D$12</f>
        <v>214</v>
      </c>
      <c r="G36" s="869">
        <f t="shared" si="24"/>
        <v>7.0000000000000009</v>
      </c>
      <c r="I36" s="870">
        <v>45200</v>
      </c>
      <c r="J36" s="138">
        <f>'10_UNIDADES_+_demandadas_2023'!D$13</f>
        <v>224</v>
      </c>
      <c r="K36" s="869">
        <f t="shared" si="25"/>
        <v>1.3574660633484164</v>
      </c>
      <c r="M36" s="870">
        <v>45200</v>
      </c>
      <c r="N36" s="138">
        <f>'10_UNIDADES_+_demandadas_2023'!D$14</f>
        <v>190</v>
      </c>
      <c r="O36" s="869">
        <f t="shared" si="26"/>
        <v>1.6042780748663104</v>
      </c>
    </row>
    <row r="37" spans="1:15" ht="15">
      <c r="A37" s="870">
        <v>45231</v>
      </c>
      <c r="B37" s="138">
        <f>'10_UNIDADES_+_demandadas_2023'!C$11</f>
        <v>269</v>
      </c>
      <c r="C37" s="869">
        <f t="shared" si="23"/>
        <v>-0.73800738007380073</v>
      </c>
      <c r="E37" s="870">
        <v>45231</v>
      </c>
      <c r="F37" s="138">
        <f>'10_UNIDADES_+_demandadas_2023'!C$12</f>
        <v>255</v>
      </c>
      <c r="G37" s="869">
        <f t="shared" si="24"/>
        <v>19.158878504672895</v>
      </c>
      <c r="I37" s="870">
        <v>45231</v>
      </c>
      <c r="J37" s="138">
        <f>'10_UNIDADES_+_demandadas_2023'!C$13</f>
        <v>234</v>
      </c>
      <c r="K37" s="869">
        <f t="shared" si="25"/>
        <v>4.4642857142857144</v>
      </c>
      <c r="M37" s="870">
        <v>45231</v>
      </c>
      <c r="N37" s="138">
        <f>'10_UNIDADES_+_demandadas_2023'!C$14</f>
        <v>146</v>
      </c>
      <c r="O37" s="869">
        <f t="shared" si="26"/>
        <v>-23.157894736842106</v>
      </c>
    </row>
    <row r="38" spans="1:15" ht="15.75" thickBot="1">
      <c r="A38" s="871">
        <v>45261</v>
      </c>
      <c r="B38" s="872">
        <f>'10_UNIDADES_+_demandadas_2023'!B$11</f>
        <v>301</v>
      </c>
      <c r="C38" s="873">
        <f t="shared" ref="C38" si="27">((B38-B37)/B37)*100</f>
        <v>11.895910780669144</v>
      </c>
      <c r="E38" s="871">
        <v>45261</v>
      </c>
      <c r="F38" s="872">
        <f>'10_UNIDADES_+_demandadas_2023'!B$12</f>
        <v>336</v>
      </c>
      <c r="G38" s="873">
        <f t="shared" si="24"/>
        <v>31.764705882352938</v>
      </c>
      <c r="I38" s="871">
        <v>45261</v>
      </c>
      <c r="J38" s="872">
        <f>'10_UNIDADES_+_demandadas_2023'!B$13</f>
        <v>163</v>
      </c>
      <c r="K38" s="873">
        <f t="shared" ref="K38" si="28">((J38-J37)/J37)*100</f>
        <v>-30.341880341880341</v>
      </c>
      <c r="M38" s="871">
        <v>45261</v>
      </c>
      <c r="N38" s="872">
        <f>'10_UNIDADES_+_demandadas_2023'!B$14</f>
        <v>148</v>
      </c>
      <c r="O38" s="873">
        <f t="shared" ref="O38" si="29">((N38-N37)/N37)*100</f>
        <v>1.3698630136986301</v>
      </c>
    </row>
    <row r="39" spans="1:15">
      <c r="B39" s="13"/>
      <c r="C39" s="13"/>
    </row>
    <row r="40" spans="1:15" ht="15" thickBot="1">
      <c r="B40" s="13"/>
      <c r="C40" s="13"/>
    </row>
    <row r="41" spans="1:15" ht="30.75" customHeight="1" thickBot="1">
      <c r="A41" s="937" t="str">
        <f>'10_UNIDADES_+_demandadas_2023'!A15</f>
        <v>Órgão externo</v>
      </c>
      <c r="B41" s="938"/>
      <c r="C41" s="939"/>
      <c r="E41" s="937" t="str">
        <f>'10_UNIDADES_+_demandadas_2023'!A16</f>
        <v>Subprefeitura Lapa</v>
      </c>
      <c r="F41" s="938"/>
      <c r="G41" s="939"/>
    </row>
    <row r="42" spans="1:15" ht="15.75" thickBot="1">
      <c r="A42" s="892" t="s">
        <v>2</v>
      </c>
      <c r="B42" s="5" t="s">
        <v>212</v>
      </c>
      <c r="C42" s="881" t="s">
        <v>213</v>
      </c>
      <c r="E42" s="882" t="s">
        <v>2</v>
      </c>
      <c r="F42" s="5" t="s">
        <v>212</v>
      </c>
      <c r="G42" s="881" t="s">
        <v>213</v>
      </c>
    </row>
    <row r="43" spans="1:15" ht="15">
      <c r="A43" s="868">
        <v>44927</v>
      </c>
      <c r="B43" s="137">
        <f>'10_UNIDADES_+_demandadas_2023'!M15</f>
        <v>84</v>
      </c>
      <c r="C43" s="891">
        <f>((B43-76)/76)*100</f>
        <v>10.526315789473683</v>
      </c>
      <c r="E43" s="868">
        <v>44927</v>
      </c>
      <c r="F43" s="137">
        <f>'10_UNIDADES_+_demandadas_2023'!M16</f>
        <v>70</v>
      </c>
      <c r="G43" s="891">
        <f>((F43-55)/55)*100</f>
        <v>27.27272727272727</v>
      </c>
    </row>
    <row r="44" spans="1:15" ht="15">
      <c r="A44" s="870">
        <v>44958</v>
      </c>
      <c r="B44" s="138">
        <f>'10_UNIDADES_+_demandadas_2023'!L15</f>
        <v>72</v>
      </c>
      <c r="C44" s="869">
        <f t="shared" ref="C44:C49" si="30">((B44-B43)/B43)*100</f>
        <v>-14.285714285714285</v>
      </c>
      <c r="E44" s="870">
        <v>44958</v>
      </c>
      <c r="F44" s="138">
        <f>'10_UNIDADES_+_demandadas_2023'!L16</f>
        <v>71</v>
      </c>
      <c r="G44" s="869">
        <f t="shared" ref="G44:G49" si="31">((F44-F43)/F43)*100</f>
        <v>1.4285714285714286</v>
      </c>
    </row>
    <row r="45" spans="1:15" ht="15">
      <c r="A45" s="870">
        <v>44986</v>
      </c>
      <c r="B45" s="138">
        <f>'10_UNIDADES_+_demandadas_2023'!K15</f>
        <v>89</v>
      </c>
      <c r="C45" s="869">
        <f t="shared" si="30"/>
        <v>23.611111111111111</v>
      </c>
      <c r="E45" s="870">
        <v>44986</v>
      </c>
      <c r="F45" s="138">
        <f>'10_UNIDADES_+_demandadas_2023'!K16</f>
        <v>140</v>
      </c>
      <c r="G45" s="869">
        <f t="shared" si="31"/>
        <v>97.183098591549296</v>
      </c>
    </row>
    <row r="46" spans="1:15" ht="15">
      <c r="A46" s="870">
        <v>45017</v>
      </c>
      <c r="B46" s="138">
        <f>'10_UNIDADES_+_demandadas_2023'!J$15</f>
        <v>76</v>
      </c>
      <c r="C46" s="869">
        <f t="shared" si="30"/>
        <v>-14.606741573033707</v>
      </c>
      <c r="E46" s="870">
        <v>45017</v>
      </c>
      <c r="F46" s="138">
        <f>'10_UNIDADES_+_demandadas_2023'!J$16</f>
        <v>91</v>
      </c>
      <c r="G46" s="869">
        <f t="shared" si="31"/>
        <v>-35</v>
      </c>
    </row>
    <row r="47" spans="1:15" ht="15">
      <c r="A47" s="870">
        <v>45047</v>
      </c>
      <c r="B47" s="138">
        <f>'10_UNIDADES_+_demandadas_2023'!I$15</f>
        <v>107</v>
      </c>
      <c r="C47" s="869">
        <f t="shared" si="30"/>
        <v>40.789473684210527</v>
      </c>
      <c r="E47" s="870">
        <v>45047</v>
      </c>
      <c r="F47" s="138">
        <f>'10_UNIDADES_+_demandadas_2023'!I$16</f>
        <v>125</v>
      </c>
      <c r="G47" s="869">
        <f t="shared" si="31"/>
        <v>37.362637362637365</v>
      </c>
    </row>
    <row r="48" spans="1:15" ht="15">
      <c r="A48" s="870">
        <v>45078</v>
      </c>
      <c r="B48" s="138">
        <f>'10_UNIDADES_+_demandadas_2023'!H$15</f>
        <v>82</v>
      </c>
      <c r="C48" s="869">
        <f t="shared" si="30"/>
        <v>-23.364485981308412</v>
      </c>
      <c r="E48" s="870">
        <v>45078</v>
      </c>
      <c r="F48" s="138">
        <f>'10_UNIDADES_+_demandadas_2023'!H$16</f>
        <v>82</v>
      </c>
      <c r="G48" s="869">
        <f t="shared" si="31"/>
        <v>-34.4</v>
      </c>
    </row>
    <row r="49" spans="1:7" ht="15">
      <c r="A49" s="870">
        <v>45108</v>
      </c>
      <c r="B49" s="138">
        <f>'10_UNIDADES_+_demandadas_2023'!G$15</f>
        <v>118</v>
      </c>
      <c r="C49" s="869">
        <f t="shared" si="30"/>
        <v>43.902439024390247</v>
      </c>
      <c r="E49" s="870">
        <v>45108</v>
      </c>
      <c r="F49" s="138">
        <f>'10_UNIDADES_+_demandadas_2023'!G$16</f>
        <v>80</v>
      </c>
      <c r="G49" s="869">
        <f t="shared" si="31"/>
        <v>-2.4390243902439024</v>
      </c>
    </row>
    <row r="50" spans="1:7" ht="15">
      <c r="A50" s="870">
        <v>45139</v>
      </c>
      <c r="B50" s="138">
        <f>'10_UNIDADES_+_demandadas_2023'!F$15</f>
        <v>120</v>
      </c>
      <c r="C50" s="869">
        <f t="shared" ref="C50" si="32">((B50-B49)/B49)*100</f>
        <v>1.6949152542372881</v>
      </c>
      <c r="E50" s="870">
        <v>45139</v>
      </c>
      <c r="F50" s="138">
        <f>'10_UNIDADES_+_demandadas_2023'!F$16</f>
        <v>76</v>
      </c>
      <c r="G50" s="869">
        <f t="shared" ref="G50" si="33">((F50-F49)/F49)*100</f>
        <v>-5</v>
      </c>
    </row>
    <row r="51" spans="1:7" ht="15">
      <c r="A51" s="870">
        <v>45170</v>
      </c>
      <c r="B51" s="138">
        <f>'10_UNIDADES_+_demandadas_2023'!E$15</f>
        <v>153</v>
      </c>
      <c r="C51" s="869">
        <f t="shared" ref="C51:C53" si="34">((B51-B50)/B50)*100</f>
        <v>27.500000000000004</v>
      </c>
      <c r="E51" s="870">
        <v>45170</v>
      </c>
      <c r="F51" s="138">
        <f>'10_UNIDADES_+_demandadas_2023'!E$16</f>
        <v>159</v>
      </c>
      <c r="G51" s="869">
        <f t="shared" ref="G51:G53" si="35">((F51-F50)/F50)*100</f>
        <v>109.21052631578947</v>
      </c>
    </row>
    <row r="52" spans="1:7" ht="15">
      <c r="A52" s="870">
        <v>45200</v>
      </c>
      <c r="B52" s="138">
        <f>'10_UNIDADES_+_demandadas_2023'!D$15</f>
        <v>245</v>
      </c>
      <c r="C52" s="869">
        <f t="shared" si="34"/>
        <v>60.130718954248366</v>
      </c>
      <c r="E52" s="870">
        <v>45200</v>
      </c>
      <c r="F52" s="138">
        <f>'10_UNIDADES_+_demandadas_2023'!D$16</f>
        <v>107</v>
      </c>
      <c r="G52" s="869">
        <f t="shared" si="35"/>
        <v>-32.704402515723267</v>
      </c>
    </row>
    <row r="53" spans="1:7" ht="15">
      <c r="A53" s="870">
        <v>45231</v>
      </c>
      <c r="B53" s="138">
        <f>'10_UNIDADES_+_demandadas_2023'!C$15</f>
        <v>195</v>
      </c>
      <c r="C53" s="869">
        <f t="shared" si="34"/>
        <v>-20.408163265306122</v>
      </c>
      <c r="E53" s="870">
        <v>45231</v>
      </c>
      <c r="F53" s="138">
        <f>'10_UNIDADES_+_demandadas_2023'!C$16</f>
        <v>77</v>
      </c>
      <c r="G53" s="869">
        <f t="shared" si="35"/>
        <v>-28.037383177570092</v>
      </c>
    </row>
    <row r="54" spans="1:7" ht="15.75" thickBot="1">
      <c r="A54" s="871">
        <v>45261</v>
      </c>
      <c r="B54" s="872">
        <f>'10_UNIDADES_+_demandadas_2023'!B$15</f>
        <v>159</v>
      </c>
      <c r="C54" s="873">
        <f t="shared" ref="C54" si="36">((B54-B53)/B53)*100</f>
        <v>-18.461538461538463</v>
      </c>
      <c r="E54" s="871">
        <v>45261</v>
      </c>
      <c r="F54" s="872">
        <f>'10_UNIDADES_+_demandadas_2023'!B$16</f>
        <v>67</v>
      </c>
      <c r="G54" s="873">
        <f t="shared" ref="G54" si="37">((F54-F53)/F53)*100</f>
        <v>-12.987012987012985</v>
      </c>
    </row>
    <row r="55" spans="1:7">
      <c r="B55" s="13"/>
      <c r="C55" s="13"/>
    </row>
    <row r="56" spans="1:7">
      <c r="B56" s="13"/>
      <c r="C56" s="13"/>
    </row>
    <row r="57" spans="1:7">
      <c r="B57" s="13"/>
      <c r="C57" s="13"/>
    </row>
    <row r="58" spans="1:7">
      <c r="B58" s="13"/>
      <c r="C58" s="13"/>
    </row>
    <row r="59" spans="1:7">
      <c r="B59" s="13"/>
      <c r="C59" s="13"/>
    </row>
    <row r="60" spans="1:7" ht="15">
      <c r="A60" s="1"/>
    </row>
  </sheetData>
  <mergeCells count="10">
    <mergeCell ref="A41:C41"/>
    <mergeCell ref="E41:G41"/>
    <mergeCell ref="A9:C9"/>
    <mergeCell ref="E9:G9"/>
    <mergeCell ref="I9:K9"/>
    <mergeCell ref="M9:O9"/>
    <mergeCell ref="A25:C25"/>
    <mergeCell ref="E25:G25"/>
    <mergeCell ref="I25:K25"/>
    <mergeCell ref="M25:O2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Normal="100" workbookViewId="0"/>
  </sheetViews>
  <sheetFormatPr defaultColWidth="5.5703125" defaultRowHeight="14.25"/>
  <cols>
    <col min="1" max="1" width="52.42578125" style="13" customWidth="1"/>
    <col min="2" max="2" width="7.7109375" style="129" bestFit="1" customWidth="1"/>
    <col min="3" max="4" width="7.5703125" style="129" bestFit="1" customWidth="1"/>
    <col min="5" max="5" width="7.5703125" style="129" customWidth="1"/>
    <col min="6" max="6" width="9.140625" style="129" customWidth="1"/>
    <col min="7" max="7" width="3" style="13" customWidth="1"/>
    <col min="8" max="17" width="9.140625" style="13" customWidth="1"/>
    <col min="18" max="18" width="15.42578125" style="13" customWidth="1"/>
    <col min="19" max="222" width="9.140625" style="13" customWidth="1"/>
    <col min="223" max="223" width="58.28515625" style="13" customWidth="1"/>
    <col min="224" max="224" width="3.7109375" style="13" bestFit="1" customWidth="1"/>
    <col min="225" max="225" width="5.5703125" style="13" bestFit="1" customWidth="1"/>
    <col min="226" max="226" width="5.5703125" style="13" customWidth="1"/>
    <col min="227" max="16384" width="5.5703125" style="13"/>
  </cols>
  <sheetData>
    <row r="1" spans="1:18" ht="15">
      <c r="A1" s="110" t="s">
        <v>0</v>
      </c>
      <c r="B1" s="161"/>
      <c r="C1" s="161"/>
      <c r="D1" s="161"/>
      <c r="E1" s="161"/>
    </row>
    <row r="2" spans="1:18" ht="15">
      <c r="A2" s="1" t="s">
        <v>1</v>
      </c>
      <c r="B2" s="6"/>
      <c r="C2" s="6"/>
      <c r="D2" s="6"/>
      <c r="E2" s="6"/>
    </row>
    <row r="3" spans="1:18" ht="15">
      <c r="A3" s="1"/>
      <c r="B3" s="6"/>
      <c r="C3" s="6"/>
      <c r="D3" s="6"/>
      <c r="E3" s="6"/>
    </row>
    <row r="4" spans="1:18" ht="15">
      <c r="A4" s="1" t="s">
        <v>284</v>
      </c>
      <c r="B4" s="6"/>
      <c r="C4" s="6"/>
      <c r="D4" s="6"/>
      <c r="E4" s="6"/>
    </row>
    <row r="6" spans="1:18" ht="15.75" thickBot="1">
      <c r="A6" s="195" t="s">
        <v>206</v>
      </c>
      <c r="B6" s="155">
        <v>45261</v>
      </c>
      <c r="C6" s="155">
        <v>45231</v>
      </c>
      <c r="D6" s="166">
        <v>45200</v>
      </c>
      <c r="E6" s="155" t="s">
        <v>5</v>
      </c>
      <c r="F6" s="192" t="s">
        <v>6</v>
      </c>
    </row>
    <row r="7" spans="1:18" ht="14.25" customHeight="1" thickBot="1">
      <c r="A7" s="602" t="s">
        <v>232</v>
      </c>
      <c r="B7" s="604">
        <v>350</v>
      </c>
      <c r="C7" s="604">
        <v>630</v>
      </c>
      <c r="D7" s="604">
        <v>880</v>
      </c>
      <c r="E7" s="196">
        <f>SUM(B7:D7)</f>
        <v>1860</v>
      </c>
      <c r="F7" s="197">
        <f>AVERAGE(B7:D7)</f>
        <v>620</v>
      </c>
      <c r="R7" s="128"/>
    </row>
    <row r="8" spans="1:18" ht="15" customHeight="1" thickBot="1">
      <c r="A8" s="603" t="s">
        <v>231</v>
      </c>
      <c r="B8" s="33">
        <v>514</v>
      </c>
      <c r="C8" s="33">
        <v>592</v>
      </c>
      <c r="D8" s="43">
        <v>681</v>
      </c>
      <c r="E8" s="38">
        <f t="shared" ref="E8:E16" si="0">SUM(B8:D8)</f>
        <v>1787</v>
      </c>
      <c r="F8" s="169">
        <f t="shared" ref="F8:F17" si="1">AVERAGE(B8:D8)</f>
        <v>595.66666666666663</v>
      </c>
      <c r="R8" s="128"/>
    </row>
    <row r="9" spans="1:18" ht="15.75" thickBot="1">
      <c r="A9" s="603" t="s">
        <v>230</v>
      </c>
      <c r="B9" s="43">
        <v>398</v>
      </c>
      <c r="C9" s="43">
        <v>394</v>
      </c>
      <c r="D9" s="43">
        <v>441</v>
      </c>
      <c r="E9" s="38">
        <f t="shared" si="0"/>
        <v>1233</v>
      </c>
      <c r="F9" s="169">
        <f t="shared" si="1"/>
        <v>411</v>
      </c>
      <c r="R9" s="128"/>
    </row>
    <row r="10" spans="1:18" ht="15.75" thickBot="1">
      <c r="A10" s="603" t="s">
        <v>228</v>
      </c>
      <c r="B10" s="43">
        <v>301</v>
      </c>
      <c r="C10" s="43">
        <v>269</v>
      </c>
      <c r="D10" s="43">
        <v>271</v>
      </c>
      <c r="E10" s="38">
        <f t="shared" si="0"/>
        <v>841</v>
      </c>
      <c r="F10" s="169">
        <f t="shared" si="1"/>
        <v>280.33333333333331</v>
      </c>
      <c r="R10" s="128"/>
    </row>
    <row r="11" spans="1:18" ht="15.75" thickBot="1">
      <c r="A11" s="603" t="s">
        <v>217</v>
      </c>
      <c r="B11" s="43">
        <v>266</v>
      </c>
      <c r="C11" s="43">
        <v>274</v>
      </c>
      <c r="D11" s="43">
        <v>295</v>
      </c>
      <c r="E11" s="38">
        <f t="shared" si="0"/>
        <v>835</v>
      </c>
      <c r="F11" s="169">
        <f t="shared" si="1"/>
        <v>278.33333333333331</v>
      </c>
      <c r="R11" s="128"/>
    </row>
    <row r="12" spans="1:18" ht="15" customHeight="1" thickBot="1">
      <c r="A12" s="603" t="s">
        <v>227</v>
      </c>
      <c r="B12" s="43">
        <v>336</v>
      </c>
      <c r="C12" s="43">
        <v>255</v>
      </c>
      <c r="D12" s="43">
        <v>214</v>
      </c>
      <c r="E12" s="38">
        <f t="shared" si="0"/>
        <v>805</v>
      </c>
      <c r="F12" s="169">
        <f t="shared" si="1"/>
        <v>268.33333333333331</v>
      </c>
      <c r="R12" s="128"/>
    </row>
    <row r="13" spans="1:18" ht="15.75" thickBot="1">
      <c r="A13" s="603" t="s">
        <v>223</v>
      </c>
      <c r="B13" s="43">
        <v>163</v>
      </c>
      <c r="C13" s="43">
        <v>234</v>
      </c>
      <c r="D13" s="43">
        <v>224</v>
      </c>
      <c r="E13" s="38">
        <f t="shared" si="0"/>
        <v>621</v>
      </c>
      <c r="F13" s="169">
        <f t="shared" si="1"/>
        <v>207</v>
      </c>
      <c r="R13" s="128"/>
    </row>
    <row r="14" spans="1:18" ht="15.75" thickBot="1">
      <c r="A14" s="603" t="s">
        <v>144</v>
      </c>
      <c r="B14" s="43">
        <v>159</v>
      </c>
      <c r="C14" s="43">
        <v>195</v>
      </c>
      <c r="D14" s="43">
        <v>245</v>
      </c>
      <c r="E14" s="38">
        <f t="shared" si="0"/>
        <v>599</v>
      </c>
      <c r="F14" s="169">
        <f t="shared" si="1"/>
        <v>199.66666666666666</v>
      </c>
      <c r="R14" s="128"/>
    </row>
    <row r="15" spans="1:18" ht="15.75" thickBot="1">
      <c r="A15" s="603" t="s">
        <v>236</v>
      </c>
      <c r="B15" s="43">
        <v>148</v>
      </c>
      <c r="C15" s="43">
        <v>146</v>
      </c>
      <c r="D15" s="43">
        <v>190</v>
      </c>
      <c r="E15" s="38">
        <f t="shared" si="0"/>
        <v>484</v>
      </c>
      <c r="F15" s="169">
        <f t="shared" si="1"/>
        <v>161.33333333333334</v>
      </c>
      <c r="R15" s="128"/>
    </row>
    <row r="16" spans="1:18" ht="15.75" thickBot="1">
      <c r="A16" s="603" t="s">
        <v>277</v>
      </c>
      <c r="B16" s="43">
        <v>54</v>
      </c>
      <c r="C16" s="43">
        <v>334</v>
      </c>
      <c r="D16" s="43">
        <v>84</v>
      </c>
      <c r="E16" s="198">
        <f t="shared" si="0"/>
        <v>472</v>
      </c>
      <c r="F16" s="199">
        <f t="shared" si="1"/>
        <v>157.33333333333334</v>
      </c>
      <c r="R16" s="128"/>
    </row>
    <row r="17" spans="1:7" ht="15.75" customHeight="1" thickBot="1">
      <c r="A17" s="123" t="s">
        <v>5</v>
      </c>
      <c r="B17" s="59">
        <f>SUM(B7:B16)</f>
        <v>2689</v>
      </c>
      <c r="C17" s="195">
        <f>SUM(C7:C16)</f>
        <v>3323</v>
      </c>
      <c r="D17" s="60">
        <f>SUM(D7:D16)</f>
        <v>3525</v>
      </c>
      <c r="E17" s="183">
        <f>SUM(E7:E16)</f>
        <v>9537</v>
      </c>
      <c r="F17" s="200">
        <f t="shared" si="1"/>
        <v>3179</v>
      </c>
    </row>
    <row r="18" spans="1:7" ht="15">
      <c r="A18" s="201"/>
      <c r="B18" s="6"/>
      <c r="C18" s="6"/>
      <c r="D18" s="6"/>
      <c r="E18" s="6"/>
    </row>
    <row r="19" spans="1:7" ht="57" customHeight="1">
      <c r="A19" s="125"/>
      <c r="B19" s="202"/>
      <c r="C19" s="202"/>
      <c r="D19" s="202"/>
      <c r="E19" s="202"/>
      <c r="F19" s="924"/>
      <c r="G19" s="924"/>
    </row>
    <row r="20" spans="1:7">
      <c r="A20" s="126"/>
      <c r="B20" s="203"/>
      <c r="C20" s="203"/>
      <c r="D20" s="203"/>
      <c r="E20" s="203"/>
    </row>
    <row r="21" spans="1:7" ht="82.5" customHeight="1">
      <c r="A21" s="125"/>
      <c r="B21" s="202"/>
      <c r="C21" s="202"/>
      <c r="D21" s="202"/>
      <c r="E21" s="202"/>
      <c r="F21" s="924"/>
      <c r="G21" s="924"/>
    </row>
    <row r="22" spans="1:7">
      <c r="A22" s="125"/>
      <c r="B22" s="202"/>
      <c r="C22" s="202"/>
      <c r="D22" s="202"/>
      <c r="E22" s="202"/>
    </row>
    <row r="23" spans="1:7" ht="66.75" customHeight="1">
      <c r="A23" s="125"/>
      <c r="B23" s="202"/>
      <c r="C23" s="202"/>
      <c r="D23" s="202"/>
      <c r="E23" s="202"/>
      <c r="F23" s="924"/>
      <c r="G23" s="924"/>
    </row>
    <row r="24" spans="1:7">
      <c r="A24" s="126"/>
      <c r="B24" s="203"/>
      <c r="C24" s="203"/>
      <c r="D24" s="203"/>
      <c r="E24" s="203"/>
    </row>
    <row r="25" spans="1:7">
      <c r="A25" s="125"/>
      <c r="B25" s="202"/>
      <c r="C25" s="202"/>
      <c r="D25" s="202"/>
      <c r="E25" s="202"/>
    </row>
  </sheetData>
  <mergeCells count="3">
    <mergeCell ref="F19:G19"/>
    <mergeCell ref="F21:G21"/>
    <mergeCell ref="F23:G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zoomScaleNormal="100" workbookViewId="0"/>
  </sheetViews>
  <sheetFormatPr defaultColWidth="5.5703125" defaultRowHeight="14.25"/>
  <cols>
    <col min="1" max="1" width="58.28515625" style="13" customWidth="1"/>
    <col min="2" max="2" width="8.140625" style="129" customWidth="1"/>
    <col min="3" max="16" width="9.140625" style="13" customWidth="1"/>
    <col min="17" max="21" width="9.140625" style="113" customWidth="1"/>
    <col min="22" max="22" width="12" style="113" customWidth="1"/>
    <col min="23" max="23" width="9.140625" style="113" customWidth="1"/>
    <col min="24" max="24" width="12.85546875" style="113" customWidth="1"/>
    <col min="25" max="25" width="20.28515625" style="113" bestFit="1" customWidth="1"/>
    <col min="26" max="26" width="24.28515625" style="113" hidden="1" customWidth="1"/>
    <col min="27" max="27" width="9.140625" style="113" customWidth="1"/>
    <col min="28" max="235" width="9.140625" style="13" customWidth="1"/>
    <col min="236" max="236" width="58.28515625" style="13" customWidth="1"/>
    <col min="237" max="237" width="3.7109375" style="13" bestFit="1" customWidth="1"/>
    <col min="238" max="238" width="5.5703125" style="13" bestFit="1" customWidth="1"/>
    <col min="239" max="239" width="5.5703125" style="13" customWidth="1"/>
    <col min="240" max="16384" width="5.5703125" style="13"/>
  </cols>
  <sheetData>
    <row r="1" spans="1:15" ht="15">
      <c r="A1" s="110" t="s">
        <v>0</v>
      </c>
    </row>
    <row r="2" spans="1:15" ht="15">
      <c r="A2" s="1" t="s">
        <v>1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ht="15">
      <c r="A3" s="1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5" ht="15">
      <c r="A4" s="1" t="s">
        <v>498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ht="15" thickBot="1"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5" ht="15.75" thickBot="1">
      <c r="A6" s="793" t="s">
        <v>206</v>
      </c>
      <c r="B6" s="61">
        <v>45261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15">
      <c r="A7" s="800" t="s">
        <v>231</v>
      </c>
      <c r="B7" s="795">
        <v>514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</row>
    <row r="8" spans="1:15">
      <c r="A8" s="794" t="s">
        <v>230</v>
      </c>
      <c r="B8" s="801">
        <v>398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1:15" ht="15" customHeight="1">
      <c r="A9" s="794" t="s">
        <v>232</v>
      </c>
      <c r="B9" s="796">
        <v>350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1:15">
      <c r="A10" s="794" t="s">
        <v>227</v>
      </c>
      <c r="B10" s="796">
        <v>336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</row>
    <row r="11" spans="1:15">
      <c r="A11" s="794" t="s">
        <v>228</v>
      </c>
      <c r="B11" s="796">
        <v>301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</row>
    <row r="12" spans="1:15">
      <c r="A12" s="794" t="s">
        <v>217</v>
      </c>
      <c r="B12" s="796">
        <v>266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</row>
    <row r="13" spans="1:15" ht="15" customHeight="1">
      <c r="A13" s="794" t="s">
        <v>223</v>
      </c>
      <c r="B13" s="796">
        <v>163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</row>
    <row r="14" spans="1:15">
      <c r="A14" s="794" t="s">
        <v>144</v>
      </c>
      <c r="B14" s="796">
        <v>159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</row>
    <row r="15" spans="1:15">
      <c r="A15" s="794" t="s">
        <v>236</v>
      </c>
      <c r="B15" s="796">
        <v>148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</row>
    <row r="16" spans="1:15" ht="15" thickBot="1">
      <c r="A16" s="798" t="s">
        <v>264</v>
      </c>
      <c r="B16" s="797">
        <v>67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</row>
    <row r="17" spans="1:31" ht="15.75" thickBot="1">
      <c r="A17" s="799" t="s">
        <v>5</v>
      </c>
      <c r="B17" s="713">
        <f>SUM(B7:B16)</f>
        <v>2702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</row>
    <row r="18" spans="1:31" ht="15">
      <c r="A18" s="605"/>
      <c r="B18" s="606"/>
      <c r="C18" s="569"/>
      <c r="D18" s="569"/>
      <c r="E18" s="569"/>
      <c r="F18" s="569"/>
      <c r="G18" s="569"/>
      <c r="H18" s="569"/>
      <c r="I18" s="569"/>
      <c r="J18" s="569"/>
      <c r="K18" s="569"/>
      <c r="L18" s="569"/>
      <c r="M18" s="569"/>
      <c r="N18" s="569"/>
      <c r="O18" s="569"/>
      <c r="P18" s="569"/>
      <c r="Q18" s="569"/>
      <c r="R18" s="569"/>
    </row>
    <row r="19" spans="1:31">
      <c r="A19" s="574" t="s">
        <v>285</v>
      </c>
      <c r="B19" s="592"/>
      <c r="C19" s="569"/>
      <c r="D19" s="569"/>
      <c r="E19" s="569"/>
      <c r="F19" s="569"/>
      <c r="G19" s="569"/>
      <c r="H19" s="569"/>
      <c r="I19" s="569"/>
      <c r="J19" s="569"/>
      <c r="K19" s="569"/>
      <c r="L19" s="569"/>
      <c r="M19" s="569"/>
      <c r="N19" s="569"/>
      <c r="O19" s="569"/>
      <c r="P19" s="556"/>
      <c r="Q19" s="556"/>
      <c r="R19" s="569"/>
      <c r="S19" s="13"/>
      <c r="T19" s="13"/>
    </row>
    <row r="20" spans="1:31" s="186" customFormat="1" ht="15.75" customHeight="1">
      <c r="A20" s="561"/>
      <c r="B20" s="893"/>
      <c r="C20" s="556"/>
      <c r="D20" s="556"/>
      <c r="E20" s="556"/>
      <c r="F20" s="556"/>
      <c r="G20" s="556"/>
      <c r="H20" s="556"/>
      <c r="I20" s="556"/>
      <c r="J20" s="556"/>
      <c r="K20" s="556"/>
      <c r="L20" s="556"/>
      <c r="M20" s="556"/>
      <c r="N20" s="556"/>
      <c r="O20" s="569"/>
      <c r="P20" s="556"/>
      <c r="Q20" s="556"/>
      <c r="R20" s="569"/>
    </row>
    <row r="21" spans="1:31" s="186" customFormat="1">
      <c r="A21" s="559"/>
      <c r="B21" s="592"/>
      <c r="C21" s="569"/>
      <c r="D21" s="569"/>
      <c r="E21" s="569"/>
      <c r="F21" s="569"/>
      <c r="G21" s="569"/>
      <c r="H21" s="569"/>
      <c r="I21" s="569"/>
      <c r="J21" s="569"/>
      <c r="K21" s="569"/>
      <c r="L21" s="569"/>
      <c r="M21" s="556"/>
      <c r="N21" s="556"/>
      <c r="O21" s="569"/>
      <c r="P21" s="556"/>
      <c r="Q21" s="556"/>
      <c r="R21" s="569"/>
    </row>
    <row r="22" spans="1:31" s="569" customFormat="1" ht="15" customHeight="1">
      <c r="A22" s="894"/>
      <c r="B22" s="569" t="str">
        <f>A7</f>
        <v>Secretaria Municipal das Subprefeituras</v>
      </c>
      <c r="C22" s="569" t="str">
        <f>A8</f>
        <v>Secretaria Municipal da Saúde</v>
      </c>
      <c r="D22" s="569" t="str">
        <f>A9</f>
        <v>Secretaria Municipal de Assistência e Desenvolvimento Social</v>
      </c>
      <c r="E22" s="569" t="str">
        <f>A10</f>
        <v>Secretaria Executiva de Limpeza Urbana**</v>
      </c>
      <c r="F22" s="569" t="str">
        <f>A11</f>
        <v>Secretaria Municipal da Fazenda</v>
      </c>
      <c r="G22" s="569" t="str">
        <f>A12</f>
        <v>Companhia de Engenharia de Tráfego - CET</v>
      </c>
      <c r="H22" s="569" t="str">
        <f>A13</f>
        <v>São Paulo Transportes - SPTRANS</v>
      </c>
      <c r="I22" s="569" t="str">
        <f>A14</f>
        <v>Órgão externo</v>
      </c>
      <c r="J22" s="569" t="str">
        <f>A15</f>
        <v>Secretaria Municipal de Educação</v>
      </c>
      <c r="K22" s="569" t="str">
        <f>A16</f>
        <v>Subprefeitura Lapa</v>
      </c>
      <c r="L22" s="569" t="s">
        <v>5</v>
      </c>
      <c r="M22" s="556"/>
      <c r="N22" s="556"/>
      <c r="P22" s="556"/>
      <c r="Q22" s="556"/>
    </row>
    <row r="23" spans="1:31" s="569" customFormat="1">
      <c r="A23" s="559"/>
      <c r="B23" s="569">
        <f>B7</f>
        <v>514</v>
      </c>
      <c r="C23" s="569">
        <f>B8</f>
        <v>398</v>
      </c>
      <c r="D23" s="569">
        <f>B9</f>
        <v>350</v>
      </c>
      <c r="E23" s="569">
        <f>B10</f>
        <v>336</v>
      </c>
      <c r="F23" s="569">
        <f>B11</f>
        <v>301</v>
      </c>
      <c r="G23" s="569">
        <f>B12</f>
        <v>266</v>
      </c>
      <c r="H23" s="569">
        <f>B13</f>
        <v>163</v>
      </c>
      <c r="I23" s="569">
        <f>B14</f>
        <v>159</v>
      </c>
      <c r="J23" s="569">
        <f>B15</f>
        <v>148</v>
      </c>
      <c r="K23" s="569">
        <f>B16</f>
        <v>67</v>
      </c>
      <c r="L23" s="575"/>
      <c r="M23" s="556"/>
      <c r="N23" s="556"/>
      <c r="P23" s="556"/>
      <c r="Q23" s="556"/>
      <c r="S23" s="576"/>
      <c r="T23" s="577"/>
      <c r="U23" s="577"/>
      <c r="V23" s="577"/>
      <c r="W23" s="577"/>
      <c r="X23" s="577"/>
      <c r="Y23" s="577"/>
      <c r="Z23" s="570"/>
      <c r="AA23" s="577"/>
      <c r="AB23" s="577"/>
      <c r="AC23" s="577"/>
      <c r="AD23" s="577"/>
      <c r="AE23" s="578"/>
    </row>
    <row r="24" spans="1:31" s="569" customFormat="1" ht="16.5" customHeight="1">
      <c r="A24" s="561"/>
      <c r="L24" s="575"/>
      <c r="M24" s="556"/>
      <c r="N24" s="556"/>
      <c r="P24" s="556"/>
      <c r="Q24" s="556"/>
      <c r="S24" s="576"/>
      <c r="T24" s="577"/>
      <c r="U24" s="577"/>
      <c r="V24" s="577"/>
      <c r="W24" s="577"/>
      <c r="X24" s="577"/>
      <c r="Y24" s="577"/>
      <c r="Z24" s="570"/>
      <c r="AA24" s="577"/>
      <c r="AB24" s="577"/>
      <c r="AC24" s="577"/>
      <c r="AD24" s="577"/>
      <c r="AE24" s="578"/>
    </row>
    <row r="25" spans="1:31" s="569" customFormat="1">
      <c r="A25" s="559"/>
      <c r="K25" s="569">
        <v>200</v>
      </c>
      <c r="L25" s="575">
        <f>UNIDADES!B72</f>
        <v>4119</v>
      </c>
      <c r="M25" s="556"/>
      <c r="N25" s="556"/>
      <c r="P25" s="556"/>
      <c r="Q25" s="556"/>
      <c r="S25" s="576"/>
      <c r="T25" s="577"/>
      <c r="U25" s="577"/>
      <c r="V25" s="577"/>
      <c r="W25" s="577"/>
      <c r="X25" s="577"/>
      <c r="Y25" s="577"/>
      <c r="Z25" s="570"/>
      <c r="AA25" s="577"/>
      <c r="AB25" s="577"/>
      <c r="AC25" s="577"/>
      <c r="AD25" s="577"/>
      <c r="AE25" s="578"/>
    </row>
    <row r="26" spans="1:31" s="186" customFormat="1" ht="15">
      <c r="A26" s="556"/>
      <c r="B26" s="564"/>
      <c r="C26" s="556"/>
      <c r="D26" s="556"/>
      <c r="E26" s="556"/>
      <c r="F26" s="556"/>
      <c r="G26" s="556"/>
      <c r="H26" s="649"/>
      <c r="I26" s="556"/>
      <c r="J26" s="556"/>
      <c r="K26" s="556"/>
      <c r="L26" s="556"/>
      <c r="M26" s="556"/>
      <c r="N26" s="556"/>
      <c r="O26" s="569"/>
      <c r="P26" s="556"/>
      <c r="Q26" s="556"/>
      <c r="R26" s="569"/>
      <c r="S26" s="205"/>
      <c r="T26" s="206"/>
      <c r="U26" s="206"/>
      <c r="V26" s="206"/>
      <c r="W26" s="206"/>
      <c r="X26" s="206"/>
      <c r="Y26" s="206"/>
      <c r="Z26" s="207"/>
      <c r="AA26" s="206"/>
      <c r="AB26" s="206"/>
      <c r="AC26" s="206"/>
      <c r="AD26" s="206"/>
      <c r="AE26" s="208"/>
    </row>
    <row r="27" spans="1:31" s="186" customFormat="1">
      <c r="A27" s="556"/>
      <c r="B27" s="564"/>
      <c r="C27" s="556"/>
      <c r="D27" s="556"/>
      <c r="E27" s="556"/>
      <c r="F27" s="556"/>
      <c r="G27" s="556"/>
      <c r="H27" s="556"/>
      <c r="I27" s="556"/>
      <c r="J27" s="556"/>
      <c r="K27" s="556"/>
      <c r="L27" s="556"/>
      <c r="M27" s="556"/>
      <c r="N27" s="556"/>
      <c r="O27" s="569"/>
      <c r="P27" s="556"/>
      <c r="Q27" s="556"/>
      <c r="R27" s="569"/>
      <c r="S27" s="205"/>
      <c r="T27" s="206"/>
      <c r="U27" s="206"/>
      <c r="V27" s="206"/>
      <c r="W27" s="206"/>
      <c r="X27" s="206"/>
      <c r="Y27" s="206"/>
      <c r="Z27" s="207"/>
      <c r="AA27" s="206"/>
      <c r="AB27" s="206"/>
      <c r="AC27" s="206"/>
      <c r="AD27" s="206"/>
      <c r="AE27" s="208"/>
    </row>
    <row r="28" spans="1:31" s="186" customFormat="1">
      <c r="A28" s="556"/>
      <c r="B28" s="564"/>
      <c r="C28" s="556"/>
      <c r="D28" s="556"/>
      <c r="E28" s="556"/>
      <c r="F28" s="556"/>
      <c r="G28" s="556"/>
      <c r="H28" s="556"/>
      <c r="I28" s="556"/>
      <c r="J28" s="556"/>
      <c r="K28" s="556"/>
      <c r="L28" s="556"/>
      <c r="M28" s="556"/>
      <c r="N28" s="556"/>
      <c r="O28" s="569"/>
      <c r="P28" s="556"/>
      <c r="Q28" s="556"/>
      <c r="R28" s="569"/>
      <c r="S28" s="205"/>
      <c r="T28" s="206"/>
      <c r="U28" s="206"/>
      <c r="V28" s="206"/>
      <c r="W28" s="206"/>
      <c r="X28" s="206"/>
      <c r="Y28" s="206"/>
      <c r="Z28" s="207"/>
      <c r="AA28" s="206"/>
      <c r="AB28" s="206"/>
      <c r="AC28" s="206"/>
      <c r="AD28" s="206"/>
      <c r="AE28" s="208"/>
    </row>
    <row r="29" spans="1:31" s="186" customFormat="1">
      <c r="A29" s="556"/>
      <c r="B29" s="564"/>
      <c r="C29" s="556"/>
      <c r="D29" s="556"/>
      <c r="E29" s="556"/>
      <c r="F29" s="556"/>
      <c r="G29" s="556"/>
      <c r="H29" s="556"/>
      <c r="I29" s="556"/>
      <c r="J29" s="556"/>
      <c r="K29" s="556"/>
      <c r="L29" s="556"/>
      <c r="M29" s="556"/>
      <c r="N29" s="556"/>
      <c r="O29" s="569"/>
      <c r="S29" s="205"/>
      <c r="T29" s="206"/>
      <c r="U29" s="206"/>
      <c r="V29" s="206"/>
      <c r="W29" s="206"/>
      <c r="X29" s="206"/>
      <c r="Y29" s="206"/>
      <c r="Z29" s="207"/>
      <c r="AA29" s="206"/>
      <c r="AB29" s="206"/>
      <c r="AC29" s="206"/>
      <c r="AD29" s="206"/>
      <c r="AE29" s="208"/>
    </row>
    <row r="30" spans="1:31" s="186" customFormat="1">
      <c r="A30" s="556"/>
      <c r="B30" s="564"/>
      <c r="C30" s="556"/>
      <c r="D30" s="556"/>
      <c r="E30" s="556"/>
      <c r="F30" s="556"/>
      <c r="G30" s="556"/>
      <c r="H30" s="556"/>
      <c r="I30" s="556"/>
      <c r="J30" s="556"/>
      <c r="K30" s="556"/>
      <c r="L30" s="556"/>
      <c r="M30" s="556"/>
      <c r="N30" s="556"/>
      <c r="S30" s="205"/>
      <c r="T30" s="206"/>
      <c r="U30" s="206"/>
      <c r="V30" s="206"/>
      <c r="W30" s="206"/>
      <c r="X30" s="206"/>
      <c r="Y30" s="206"/>
      <c r="Z30" s="207"/>
      <c r="AA30" s="206"/>
      <c r="AB30" s="206"/>
      <c r="AC30" s="206"/>
      <c r="AD30" s="206"/>
      <c r="AE30" s="208"/>
    </row>
    <row r="31" spans="1:31">
      <c r="A31" s="556"/>
      <c r="B31" s="564"/>
      <c r="C31" s="556"/>
      <c r="D31" s="556"/>
      <c r="E31" s="556"/>
      <c r="F31" s="556"/>
      <c r="G31" s="556"/>
      <c r="H31" s="556"/>
      <c r="I31" s="556"/>
      <c r="J31" s="556"/>
      <c r="K31" s="556"/>
      <c r="L31" s="556"/>
      <c r="M31" s="556"/>
      <c r="N31" s="556"/>
      <c r="Q31" s="13"/>
      <c r="R31" s="13"/>
      <c r="S31" s="128"/>
      <c r="T31" s="129"/>
      <c r="U31" s="129"/>
      <c r="V31" s="129"/>
      <c r="W31" s="129"/>
      <c r="X31" s="129"/>
      <c r="Y31" s="129"/>
      <c r="Z31" s="114"/>
      <c r="AA31" s="129"/>
      <c r="AB31" s="129"/>
      <c r="AC31" s="129"/>
      <c r="AD31" s="129"/>
      <c r="AE31" s="130"/>
    </row>
    <row r="32" spans="1:31">
      <c r="A32" s="556"/>
      <c r="B32" s="564"/>
      <c r="C32" s="556"/>
      <c r="D32" s="556"/>
      <c r="E32" s="556"/>
      <c r="F32" s="556"/>
      <c r="G32" s="556"/>
      <c r="H32" s="556"/>
      <c r="I32" s="556"/>
      <c r="J32" s="556"/>
      <c r="K32" s="556"/>
      <c r="L32" s="556"/>
      <c r="M32" s="556"/>
      <c r="N32" s="556"/>
      <c r="Q32" s="13"/>
      <c r="R32" s="13"/>
      <c r="S32" s="128"/>
      <c r="T32" s="129"/>
      <c r="U32" s="129"/>
      <c r="V32" s="129"/>
      <c r="W32" s="129"/>
      <c r="X32" s="129"/>
      <c r="Y32" s="129"/>
      <c r="Z32" s="114"/>
      <c r="AA32" s="129"/>
      <c r="AB32" s="209"/>
      <c r="AC32" s="129"/>
      <c r="AD32" s="129"/>
      <c r="AE32" s="130"/>
    </row>
    <row r="33" spans="1:28"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13"/>
    </row>
    <row r="34" spans="1:28"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13"/>
    </row>
    <row r="35" spans="1:28">
      <c r="A35" s="113"/>
      <c r="B35" s="209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U35" s="13"/>
      <c r="V35" s="13"/>
      <c r="W35" s="13"/>
      <c r="X35" s="13"/>
      <c r="Y35" s="13"/>
      <c r="Z35" s="13"/>
      <c r="AA35" s="13"/>
      <c r="AB35" s="113"/>
    </row>
    <row r="36" spans="1:28">
      <c r="A36" s="113"/>
      <c r="B36" s="209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U36" s="13"/>
      <c r="V36" s="13"/>
      <c r="W36" s="13"/>
      <c r="X36" s="13"/>
      <c r="Y36" s="13"/>
      <c r="Z36" s="13"/>
      <c r="AA36" s="13"/>
      <c r="AB36" s="113"/>
    </row>
    <row r="37" spans="1:28">
      <c r="A37" s="113"/>
      <c r="B37" s="209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U37" s="13"/>
      <c r="V37" s="13"/>
      <c r="W37" s="13"/>
      <c r="X37" s="13"/>
      <c r="Y37" s="13"/>
      <c r="Z37" s="13"/>
      <c r="AA37" s="13"/>
      <c r="AB37" s="113"/>
    </row>
    <row r="38" spans="1:28">
      <c r="A38" s="113"/>
      <c r="B38" s="209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U38" s="13"/>
      <c r="V38" s="13"/>
      <c r="W38" s="13"/>
      <c r="X38" s="13"/>
      <c r="Y38" s="13"/>
      <c r="Z38" s="13"/>
      <c r="AA38" s="13"/>
      <c r="AB38" s="113"/>
    </row>
    <row r="39" spans="1:28">
      <c r="A39" s="113"/>
      <c r="B39" s="209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U39" s="13"/>
      <c r="V39" s="13"/>
      <c r="W39" s="13"/>
      <c r="X39" s="13"/>
      <c r="Y39" s="13"/>
      <c r="Z39" s="13"/>
      <c r="AA39" s="13"/>
      <c r="AB39" s="113"/>
    </row>
    <row r="40" spans="1:28"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8"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</sheetData>
  <pageMargins left="0.511811024" right="0.511811024" top="0.78740157500000008" bottom="0.78740157500000008" header="0.31496062000000008" footer="0.31496062000000008"/>
  <ignoredErrors>
    <ignoredError sqref="B17" formulaRange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opLeftCell="A2" zoomScaleNormal="100" workbookViewId="0">
      <selection activeCell="B17" sqref="B17"/>
    </sheetView>
  </sheetViews>
  <sheetFormatPr defaultRowHeight="15"/>
  <cols>
    <col min="1" max="1" width="24.85546875" style="211" customWidth="1"/>
    <col min="2" max="3" width="6.85546875" bestFit="1" customWidth="1"/>
    <col min="4" max="4" width="6.42578125" bestFit="1" customWidth="1"/>
    <col min="5" max="5" width="6.140625" style="89" bestFit="1" customWidth="1"/>
    <col min="6" max="6" width="7" style="109" bestFit="1" customWidth="1"/>
    <col min="7" max="7" width="5.85546875" style="109" bestFit="1" customWidth="1"/>
    <col min="8" max="8" width="6.42578125" style="109" bestFit="1" customWidth="1"/>
    <col min="9" max="9" width="7" style="109" bestFit="1" customWidth="1"/>
    <col min="10" max="10" width="6.5703125" style="148" bestFit="1" customWidth="1"/>
    <col min="11" max="11" width="7.140625" style="109" bestFit="1" customWidth="1"/>
    <col min="12" max="12" width="6.28515625" style="109" bestFit="1" customWidth="1"/>
    <col min="13" max="13" width="6.42578125" bestFit="1" customWidth="1"/>
    <col min="14" max="14" width="6.7109375" bestFit="1" customWidth="1"/>
    <col min="15" max="15" width="7.140625" style="3" bestFit="1" customWidth="1"/>
    <col min="16" max="16" width="13.7109375" customWidth="1"/>
    <col min="17" max="17" width="9.140625" customWidth="1"/>
  </cols>
  <sheetData>
    <row r="1" spans="1:16">
      <c r="A1" s="210" t="s">
        <v>0</v>
      </c>
      <c r="B1" s="110"/>
      <c r="C1" s="110"/>
      <c r="D1" s="110"/>
      <c r="E1" s="111"/>
      <c r="F1" s="161"/>
      <c r="G1" s="161"/>
    </row>
    <row r="2" spans="1:16">
      <c r="A2" s="162" t="s">
        <v>1</v>
      </c>
      <c r="B2" s="1"/>
      <c r="C2" s="1"/>
      <c r="D2" s="1"/>
      <c r="E2" s="88"/>
      <c r="F2" s="6"/>
      <c r="G2" s="6"/>
    </row>
    <row r="3" spans="1:16" ht="15.75" thickBot="1"/>
    <row r="4" spans="1:16" ht="52.5" thickBot="1">
      <c r="A4" s="57" t="s">
        <v>206</v>
      </c>
      <c r="B4" s="212">
        <v>45261</v>
      </c>
      <c r="C4" s="213">
        <v>45231</v>
      </c>
      <c r="D4" s="214">
        <v>45200</v>
      </c>
      <c r="E4" s="212">
        <v>45170</v>
      </c>
      <c r="F4" s="213">
        <v>45139</v>
      </c>
      <c r="G4" s="214">
        <v>45108</v>
      </c>
      <c r="H4" s="212">
        <v>45078</v>
      </c>
      <c r="I4" s="212">
        <v>45047</v>
      </c>
      <c r="J4" s="212">
        <v>45017</v>
      </c>
      <c r="K4" s="212">
        <v>44986</v>
      </c>
      <c r="L4" s="212">
        <v>44958</v>
      </c>
      <c r="M4" s="213">
        <v>44927</v>
      </c>
      <c r="N4" s="96" t="s">
        <v>5</v>
      </c>
      <c r="O4" s="96" t="s">
        <v>6</v>
      </c>
      <c r="P4" s="215" t="s">
        <v>286</v>
      </c>
    </row>
    <row r="5" spans="1:16">
      <c r="A5" s="167" t="s">
        <v>287</v>
      </c>
      <c r="B5" s="33">
        <v>27</v>
      </c>
      <c r="C5" s="33">
        <v>43</v>
      </c>
      <c r="D5" s="33">
        <v>19</v>
      </c>
      <c r="E5" s="33">
        <v>21</v>
      </c>
      <c r="F5" s="33">
        <v>23</v>
      </c>
      <c r="G5" s="33">
        <v>37</v>
      </c>
      <c r="H5" s="33">
        <v>25</v>
      </c>
      <c r="I5" s="33">
        <v>29</v>
      </c>
      <c r="J5" s="33">
        <v>21</v>
      </c>
      <c r="K5" s="43">
        <v>40</v>
      </c>
      <c r="L5" s="33">
        <v>24</v>
      </c>
      <c r="M5" s="216">
        <v>24</v>
      </c>
      <c r="N5" s="217">
        <f t="shared" ref="N5:N36" si="0">SUM(B5:M5)</f>
        <v>333</v>
      </c>
      <c r="O5" s="218">
        <f t="shared" ref="O5:O37" si="1">AVERAGE(B5:M5)</f>
        <v>27.75</v>
      </c>
      <c r="P5" s="219">
        <f>N5/$N$37*100</f>
        <v>2.309132515082172</v>
      </c>
    </row>
    <row r="6" spans="1:16">
      <c r="A6" s="172" t="s">
        <v>288</v>
      </c>
      <c r="B6" s="43">
        <v>30</v>
      </c>
      <c r="C6" s="43">
        <v>49</v>
      </c>
      <c r="D6" s="43">
        <v>43</v>
      </c>
      <c r="E6" s="43">
        <v>56</v>
      </c>
      <c r="F6" s="43">
        <v>64</v>
      </c>
      <c r="G6" s="43">
        <v>51</v>
      </c>
      <c r="H6" s="43">
        <v>54</v>
      </c>
      <c r="I6" s="43">
        <v>80</v>
      </c>
      <c r="J6" s="43">
        <v>52</v>
      </c>
      <c r="K6" s="43">
        <v>66</v>
      </c>
      <c r="L6" s="43">
        <v>57</v>
      </c>
      <c r="M6" s="41">
        <v>52</v>
      </c>
      <c r="N6" s="220">
        <f t="shared" si="0"/>
        <v>654</v>
      </c>
      <c r="O6" s="221">
        <f t="shared" si="1"/>
        <v>54.5</v>
      </c>
      <c r="P6" s="222">
        <f t="shared" ref="P6:P36" si="2">N6/$N$37*100</f>
        <v>4.5350530476388604</v>
      </c>
    </row>
    <row r="7" spans="1:16">
      <c r="A7" s="172" t="s">
        <v>289</v>
      </c>
      <c r="B7" s="43">
        <v>28</v>
      </c>
      <c r="C7" s="43">
        <v>64</v>
      </c>
      <c r="D7" s="43">
        <v>40</v>
      </c>
      <c r="E7" s="43">
        <v>37</v>
      </c>
      <c r="F7" s="43">
        <v>43</v>
      </c>
      <c r="G7" s="43">
        <v>94</v>
      </c>
      <c r="H7" s="43">
        <v>41</v>
      </c>
      <c r="I7" s="43">
        <v>47</v>
      </c>
      <c r="J7" s="43">
        <v>40</v>
      </c>
      <c r="K7" s="43">
        <v>36</v>
      </c>
      <c r="L7" s="43">
        <v>48</v>
      </c>
      <c r="M7" s="41">
        <v>62</v>
      </c>
      <c r="N7" s="220">
        <f t="shared" si="0"/>
        <v>580</v>
      </c>
      <c r="O7" s="221">
        <f t="shared" si="1"/>
        <v>48.333333333333336</v>
      </c>
      <c r="P7" s="222">
        <f t="shared" si="2"/>
        <v>4.0219124887317106</v>
      </c>
    </row>
    <row r="8" spans="1:16">
      <c r="A8" s="172" t="s">
        <v>290</v>
      </c>
      <c r="B8" s="43">
        <v>28</v>
      </c>
      <c r="C8" s="43">
        <v>67</v>
      </c>
      <c r="D8" s="43">
        <v>43</v>
      </c>
      <c r="E8" s="43">
        <v>44</v>
      </c>
      <c r="F8" s="43">
        <v>38</v>
      </c>
      <c r="G8" s="43">
        <v>34</v>
      </c>
      <c r="H8" s="43">
        <v>35</v>
      </c>
      <c r="I8" s="43">
        <v>45</v>
      </c>
      <c r="J8" s="43">
        <v>26</v>
      </c>
      <c r="K8" s="43">
        <v>50</v>
      </c>
      <c r="L8" s="43">
        <v>32</v>
      </c>
      <c r="M8" s="41">
        <v>29</v>
      </c>
      <c r="N8" s="220">
        <f t="shared" si="0"/>
        <v>471</v>
      </c>
      <c r="O8" s="221">
        <f t="shared" si="1"/>
        <v>39.25</v>
      </c>
      <c r="P8" s="222">
        <f t="shared" si="2"/>
        <v>3.2660703141252343</v>
      </c>
    </row>
    <row r="9" spans="1:16">
      <c r="A9" s="172" t="s">
        <v>291</v>
      </c>
      <c r="B9" s="43">
        <v>34</v>
      </c>
      <c r="C9" s="43">
        <v>27</v>
      </c>
      <c r="D9" s="43">
        <v>43</v>
      </c>
      <c r="E9" s="43">
        <v>29</v>
      </c>
      <c r="F9" s="43">
        <v>23</v>
      </c>
      <c r="G9" s="43">
        <v>43</v>
      </c>
      <c r="H9" s="43">
        <v>29</v>
      </c>
      <c r="I9" s="43">
        <v>37</v>
      </c>
      <c r="J9" s="43">
        <v>40</v>
      </c>
      <c r="K9" s="43">
        <v>40</v>
      </c>
      <c r="L9" s="43">
        <v>43</v>
      </c>
      <c r="M9" s="41">
        <v>25</v>
      </c>
      <c r="N9" s="220">
        <f t="shared" si="0"/>
        <v>413</v>
      </c>
      <c r="O9" s="221">
        <f t="shared" si="1"/>
        <v>34.416666666666664</v>
      </c>
      <c r="P9" s="222">
        <f t="shared" si="2"/>
        <v>2.8638790652520627</v>
      </c>
    </row>
    <row r="10" spans="1:16">
      <c r="A10" s="172" t="s">
        <v>292</v>
      </c>
      <c r="B10" s="43">
        <v>19</v>
      </c>
      <c r="C10" s="43">
        <v>33</v>
      </c>
      <c r="D10" s="43">
        <v>25</v>
      </c>
      <c r="E10" s="43">
        <v>27</v>
      </c>
      <c r="F10" s="43">
        <v>37</v>
      </c>
      <c r="G10" s="43">
        <v>34</v>
      </c>
      <c r="H10" s="43">
        <v>32</v>
      </c>
      <c r="I10" s="43">
        <v>69</v>
      </c>
      <c r="J10" s="43">
        <v>28</v>
      </c>
      <c r="K10" s="43">
        <v>37</v>
      </c>
      <c r="L10" s="43">
        <v>43</v>
      </c>
      <c r="M10" s="41">
        <v>41</v>
      </c>
      <c r="N10" s="220">
        <f t="shared" si="0"/>
        <v>425</v>
      </c>
      <c r="O10" s="221">
        <f t="shared" si="1"/>
        <v>35.416666666666664</v>
      </c>
      <c r="P10" s="222">
        <f t="shared" si="2"/>
        <v>2.9470910477775467</v>
      </c>
    </row>
    <row r="11" spans="1:16">
      <c r="A11" s="172" t="s">
        <v>293</v>
      </c>
      <c r="B11" s="43">
        <v>7</v>
      </c>
      <c r="C11" s="43">
        <v>6</v>
      </c>
      <c r="D11" s="43">
        <v>3</v>
      </c>
      <c r="E11" s="43">
        <v>7</v>
      </c>
      <c r="F11" s="43">
        <v>3</v>
      </c>
      <c r="G11" s="43">
        <v>2</v>
      </c>
      <c r="H11" s="43">
        <v>5</v>
      </c>
      <c r="I11" s="43">
        <v>11</v>
      </c>
      <c r="J11" s="43">
        <v>17</v>
      </c>
      <c r="K11" s="43">
        <v>7</v>
      </c>
      <c r="L11" s="43">
        <v>6</v>
      </c>
      <c r="M11" s="41">
        <v>6</v>
      </c>
      <c r="N11" s="220">
        <f t="shared" si="0"/>
        <v>80</v>
      </c>
      <c r="O11" s="221">
        <f t="shared" si="1"/>
        <v>6.666666666666667</v>
      </c>
      <c r="P11" s="222">
        <f t="shared" si="2"/>
        <v>0.55474655016989116</v>
      </c>
    </row>
    <row r="12" spans="1:16">
      <c r="A12" s="172" t="s">
        <v>294</v>
      </c>
      <c r="B12" s="43">
        <v>9</v>
      </c>
      <c r="C12" s="43">
        <v>8</v>
      </c>
      <c r="D12" s="43">
        <v>12</v>
      </c>
      <c r="E12" s="43">
        <v>11</v>
      </c>
      <c r="F12" s="43">
        <v>16</v>
      </c>
      <c r="G12" s="43">
        <v>19</v>
      </c>
      <c r="H12" s="43">
        <v>10</v>
      </c>
      <c r="I12" s="43">
        <v>16</v>
      </c>
      <c r="J12" s="43">
        <v>12</v>
      </c>
      <c r="K12" s="43">
        <v>10</v>
      </c>
      <c r="L12" s="43">
        <v>15</v>
      </c>
      <c r="M12" s="41">
        <v>14</v>
      </c>
      <c r="N12" s="220">
        <f t="shared" si="0"/>
        <v>152</v>
      </c>
      <c r="O12" s="221">
        <f t="shared" si="1"/>
        <v>12.666666666666666</v>
      </c>
      <c r="P12" s="222">
        <f t="shared" si="2"/>
        <v>1.0540184453227932</v>
      </c>
    </row>
    <row r="13" spans="1:16">
      <c r="A13" s="172" t="s">
        <v>295</v>
      </c>
      <c r="B13" s="43">
        <v>17</v>
      </c>
      <c r="C13" s="43">
        <v>21</v>
      </c>
      <c r="D13" s="43">
        <v>27</v>
      </c>
      <c r="E13" s="43">
        <v>25</v>
      </c>
      <c r="F13" s="43">
        <v>29</v>
      </c>
      <c r="G13" s="43">
        <v>36</v>
      </c>
      <c r="H13" s="43">
        <v>26</v>
      </c>
      <c r="I13" s="43">
        <v>21</v>
      </c>
      <c r="J13" s="43">
        <v>14</v>
      </c>
      <c r="K13" s="43">
        <v>20</v>
      </c>
      <c r="L13" s="43">
        <v>27</v>
      </c>
      <c r="M13" s="41">
        <v>22</v>
      </c>
      <c r="N13" s="220">
        <f t="shared" si="0"/>
        <v>285</v>
      </c>
      <c r="O13" s="221">
        <f t="shared" si="1"/>
        <v>23.75</v>
      </c>
      <c r="P13" s="222">
        <f t="shared" si="2"/>
        <v>1.9762845849802373</v>
      </c>
    </row>
    <row r="14" spans="1:16">
      <c r="A14" s="172" t="s">
        <v>296</v>
      </c>
      <c r="B14" s="43">
        <v>8</v>
      </c>
      <c r="C14" s="43">
        <v>11</v>
      </c>
      <c r="D14" s="43">
        <v>8</v>
      </c>
      <c r="E14" s="43">
        <v>11</v>
      </c>
      <c r="F14" s="43">
        <v>11</v>
      </c>
      <c r="G14" s="43">
        <v>9</v>
      </c>
      <c r="H14" s="43">
        <v>12</v>
      </c>
      <c r="I14" s="43">
        <v>11</v>
      </c>
      <c r="J14" s="43">
        <v>11</v>
      </c>
      <c r="K14" s="43">
        <v>10</v>
      </c>
      <c r="L14" s="43">
        <v>13</v>
      </c>
      <c r="M14" s="41">
        <v>10</v>
      </c>
      <c r="N14" s="220">
        <f t="shared" si="0"/>
        <v>125</v>
      </c>
      <c r="O14" s="221">
        <f t="shared" si="1"/>
        <v>10.416666666666666</v>
      </c>
      <c r="P14" s="222">
        <f t="shared" si="2"/>
        <v>0.86679148464045497</v>
      </c>
    </row>
    <row r="15" spans="1:16">
      <c r="A15" s="172" t="s">
        <v>297</v>
      </c>
      <c r="B15" s="43">
        <v>42</v>
      </c>
      <c r="C15" s="43">
        <v>43</v>
      </c>
      <c r="D15" s="43">
        <v>44</v>
      </c>
      <c r="E15" s="43">
        <v>32</v>
      </c>
      <c r="F15" s="43">
        <v>46</v>
      </c>
      <c r="G15" s="43">
        <v>50</v>
      </c>
      <c r="H15" s="43">
        <v>47</v>
      </c>
      <c r="I15" s="43">
        <v>46</v>
      </c>
      <c r="J15" s="43">
        <v>50</v>
      </c>
      <c r="K15" s="43">
        <v>43</v>
      </c>
      <c r="L15" s="43">
        <v>65</v>
      </c>
      <c r="M15" s="41">
        <v>41</v>
      </c>
      <c r="N15" s="220">
        <f t="shared" si="0"/>
        <v>549</v>
      </c>
      <c r="O15" s="221">
        <f t="shared" si="1"/>
        <v>45.75</v>
      </c>
      <c r="P15" s="222">
        <f t="shared" si="2"/>
        <v>3.8069482005408779</v>
      </c>
    </row>
    <row r="16" spans="1:16">
      <c r="A16" s="172" t="s">
        <v>298</v>
      </c>
      <c r="B16" s="43">
        <v>30</v>
      </c>
      <c r="C16" s="43">
        <v>33</v>
      </c>
      <c r="D16" s="43">
        <v>33</v>
      </c>
      <c r="E16" s="43">
        <v>104</v>
      </c>
      <c r="F16" s="43">
        <v>22</v>
      </c>
      <c r="G16" s="43">
        <v>27</v>
      </c>
      <c r="H16" s="43">
        <v>23</v>
      </c>
      <c r="I16" s="43">
        <v>26</v>
      </c>
      <c r="J16" s="43">
        <v>21</v>
      </c>
      <c r="K16" s="43">
        <v>27</v>
      </c>
      <c r="L16" s="43">
        <v>35</v>
      </c>
      <c r="M16" s="41">
        <v>28</v>
      </c>
      <c r="N16" s="220">
        <f t="shared" si="0"/>
        <v>409</v>
      </c>
      <c r="O16" s="221">
        <f t="shared" si="1"/>
        <v>34.083333333333336</v>
      </c>
      <c r="P16" s="222">
        <f t="shared" si="2"/>
        <v>2.8361417377435685</v>
      </c>
    </row>
    <row r="17" spans="1:20">
      <c r="A17" s="172" t="s">
        <v>299</v>
      </c>
      <c r="B17" s="43">
        <v>41</v>
      </c>
      <c r="C17" s="43">
        <v>23</v>
      </c>
      <c r="D17" s="43">
        <v>44</v>
      </c>
      <c r="E17" s="43">
        <v>34</v>
      </c>
      <c r="F17" s="43">
        <v>43</v>
      </c>
      <c r="G17" s="43">
        <v>42</v>
      </c>
      <c r="H17" s="43">
        <v>38</v>
      </c>
      <c r="I17" s="43">
        <v>40</v>
      </c>
      <c r="J17" s="43">
        <v>45</v>
      </c>
      <c r="K17" s="43">
        <v>55</v>
      </c>
      <c r="L17" s="43">
        <v>47</v>
      </c>
      <c r="M17" s="41">
        <v>49</v>
      </c>
      <c r="N17" s="220">
        <f t="shared" si="0"/>
        <v>501</v>
      </c>
      <c r="O17" s="221">
        <f t="shared" si="1"/>
        <v>41.75</v>
      </c>
      <c r="P17" s="222">
        <f t="shared" si="2"/>
        <v>3.4741002704389428</v>
      </c>
    </row>
    <row r="18" spans="1:20">
      <c r="A18" s="172" t="s">
        <v>300</v>
      </c>
      <c r="B18" s="43">
        <v>24</v>
      </c>
      <c r="C18" s="43">
        <v>19</v>
      </c>
      <c r="D18" s="43">
        <v>30</v>
      </c>
      <c r="E18" s="43">
        <v>16</v>
      </c>
      <c r="F18" s="43">
        <v>29</v>
      </c>
      <c r="G18" s="43">
        <v>23</v>
      </c>
      <c r="H18" s="43">
        <v>16</v>
      </c>
      <c r="I18" s="43">
        <v>29</v>
      </c>
      <c r="J18" s="43">
        <v>24</v>
      </c>
      <c r="K18" s="43">
        <v>28</v>
      </c>
      <c r="L18" s="43">
        <v>18</v>
      </c>
      <c r="M18" s="41">
        <v>20</v>
      </c>
      <c r="N18" s="220">
        <f t="shared" si="0"/>
        <v>276</v>
      </c>
      <c r="O18" s="221">
        <f t="shared" si="1"/>
        <v>23</v>
      </c>
      <c r="P18" s="222">
        <f t="shared" si="2"/>
        <v>1.9138755980861244</v>
      </c>
    </row>
    <row r="19" spans="1:20">
      <c r="A19" s="172" t="s">
        <v>301</v>
      </c>
      <c r="B19" s="43">
        <v>18</v>
      </c>
      <c r="C19" s="43">
        <v>31</v>
      </c>
      <c r="D19" s="43">
        <v>23</v>
      </c>
      <c r="E19" s="43">
        <v>49</v>
      </c>
      <c r="F19" s="43">
        <v>38</v>
      </c>
      <c r="G19" s="43">
        <v>31</v>
      </c>
      <c r="H19" s="43">
        <v>30</v>
      </c>
      <c r="I19" s="43">
        <v>25</v>
      </c>
      <c r="J19" s="43">
        <v>16</v>
      </c>
      <c r="K19" s="43">
        <v>26</v>
      </c>
      <c r="L19" s="43">
        <v>17</v>
      </c>
      <c r="M19" s="41">
        <v>22</v>
      </c>
      <c r="N19" s="220">
        <f t="shared" si="0"/>
        <v>326</v>
      </c>
      <c r="O19" s="221">
        <f t="shared" si="1"/>
        <v>27.166666666666668</v>
      </c>
      <c r="P19" s="222">
        <f t="shared" si="2"/>
        <v>2.2605921919423064</v>
      </c>
      <c r="Q19" s="128"/>
      <c r="T19" s="114"/>
    </row>
    <row r="20" spans="1:20">
      <c r="A20" s="172" t="s">
        <v>302</v>
      </c>
      <c r="B20" s="43">
        <v>67</v>
      </c>
      <c r="C20" s="43">
        <v>77</v>
      </c>
      <c r="D20" s="43">
        <v>107</v>
      </c>
      <c r="E20" s="43">
        <v>159</v>
      </c>
      <c r="F20" s="43">
        <v>76</v>
      </c>
      <c r="G20" s="43">
        <v>80</v>
      </c>
      <c r="H20" s="43">
        <v>82</v>
      </c>
      <c r="I20" s="43">
        <v>125</v>
      </c>
      <c r="J20" s="43">
        <v>91</v>
      </c>
      <c r="K20" s="43">
        <v>140</v>
      </c>
      <c r="L20" s="43">
        <v>71</v>
      </c>
      <c r="M20" s="41">
        <v>70</v>
      </c>
      <c r="N20" s="220">
        <f t="shared" si="0"/>
        <v>1145</v>
      </c>
      <c r="O20" s="221">
        <f t="shared" si="1"/>
        <v>95.416666666666671</v>
      </c>
      <c r="P20" s="222">
        <f t="shared" si="2"/>
        <v>7.9398099993065667</v>
      </c>
      <c r="Q20" s="128"/>
      <c r="T20" s="114"/>
    </row>
    <row r="21" spans="1:20">
      <c r="A21" s="172" t="s">
        <v>303</v>
      </c>
      <c r="B21" s="43">
        <v>17</v>
      </c>
      <c r="C21" s="43">
        <v>23</v>
      </c>
      <c r="D21" s="43">
        <v>34</v>
      </c>
      <c r="E21" s="43">
        <v>16</v>
      </c>
      <c r="F21" s="43">
        <v>25</v>
      </c>
      <c r="G21" s="43">
        <v>37</v>
      </c>
      <c r="H21" s="43">
        <v>24</v>
      </c>
      <c r="I21" s="43">
        <v>34</v>
      </c>
      <c r="J21" s="43">
        <v>14</v>
      </c>
      <c r="K21" s="43">
        <v>33</v>
      </c>
      <c r="L21" s="43">
        <v>23</v>
      </c>
      <c r="M21" s="41">
        <v>22</v>
      </c>
      <c r="N21" s="220">
        <f t="shared" si="0"/>
        <v>302</v>
      </c>
      <c r="O21" s="221">
        <f t="shared" si="1"/>
        <v>25.166666666666668</v>
      </c>
      <c r="P21" s="222">
        <f t="shared" si="2"/>
        <v>2.0941682268913393</v>
      </c>
      <c r="Q21" s="128"/>
      <c r="T21" s="114"/>
    </row>
    <row r="22" spans="1:20">
      <c r="A22" s="172" t="s">
        <v>304</v>
      </c>
      <c r="B22" s="43">
        <v>54</v>
      </c>
      <c r="C22" s="43">
        <v>75</v>
      </c>
      <c r="D22" s="43">
        <v>58</v>
      </c>
      <c r="E22" s="43">
        <v>63</v>
      </c>
      <c r="F22" s="43">
        <v>57</v>
      </c>
      <c r="G22" s="43">
        <v>63</v>
      </c>
      <c r="H22" s="43">
        <v>61</v>
      </c>
      <c r="I22" s="43">
        <v>68</v>
      </c>
      <c r="J22" s="43">
        <v>51</v>
      </c>
      <c r="K22" s="43">
        <v>75</v>
      </c>
      <c r="L22" s="43">
        <v>55</v>
      </c>
      <c r="M22" s="41">
        <v>53</v>
      </c>
      <c r="N22" s="220">
        <f t="shared" si="0"/>
        <v>733</v>
      </c>
      <c r="O22" s="221">
        <f t="shared" si="1"/>
        <v>61.083333333333336</v>
      </c>
      <c r="P22" s="222">
        <f t="shared" si="2"/>
        <v>5.0828652659316278</v>
      </c>
      <c r="Q22" s="128"/>
      <c r="T22" s="114"/>
    </row>
    <row r="23" spans="1:20">
      <c r="A23" s="172" t="s">
        <v>305</v>
      </c>
      <c r="B23" s="43">
        <v>1</v>
      </c>
      <c r="C23" s="43">
        <v>11</v>
      </c>
      <c r="D23" s="43">
        <v>8</v>
      </c>
      <c r="E23" s="43">
        <v>8</v>
      </c>
      <c r="F23" s="43">
        <v>14</v>
      </c>
      <c r="G23" s="43">
        <v>11</v>
      </c>
      <c r="H23" s="43">
        <v>8</v>
      </c>
      <c r="I23" s="43">
        <v>22</v>
      </c>
      <c r="J23" s="43">
        <v>13</v>
      </c>
      <c r="K23" s="43">
        <v>7</v>
      </c>
      <c r="L23" s="43">
        <v>16</v>
      </c>
      <c r="M23" s="41">
        <v>5</v>
      </c>
      <c r="N23" s="220">
        <f t="shared" si="0"/>
        <v>124</v>
      </c>
      <c r="O23" s="221">
        <f t="shared" si="1"/>
        <v>10.333333333333334</v>
      </c>
      <c r="P23" s="222">
        <f t="shared" si="2"/>
        <v>0.8598571527633313</v>
      </c>
      <c r="Q23" s="128"/>
      <c r="T23" s="114"/>
    </row>
    <row r="24" spans="1:20">
      <c r="A24" s="172" t="s">
        <v>306</v>
      </c>
      <c r="B24" s="43">
        <v>43</v>
      </c>
      <c r="C24" s="43">
        <v>75</v>
      </c>
      <c r="D24" s="43">
        <v>79</v>
      </c>
      <c r="E24" s="43">
        <v>56</v>
      </c>
      <c r="F24" s="43">
        <v>79</v>
      </c>
      <c r="G24" s="43">
        <v>63</v>
      </c>
      <c r="H24" s="43">
        <v>55</v>
      </c>
      <c r="I24" s="43">
        <v>58</v>
      </c>
      <c r="J24" s="43">
        <v>59</v>
      </c>
      <c r="K24" s="43">
        <v>70</v>
      </c>
      <c r="L24" s="43">
        <v>52</v>
      </c>
      <c r="M24" s="41">
        <v>71</v>
      </c>
      <c r="N24" s="220">
        <f t="shared" si="0"/>
        <v>760</v>
      </c>
      <c r="O24" s="221">
        <f t="shared" si="1"/>
        <v>63.333333333333336</v>
      </c>
      <c r="P24" s="222">
        <f t="shared" si="2"/>
        <v>5.2700922266139658</v>
      </c>
      <c r="Q24" s="128"/>
      <c r="T24" s="114"/>
    </row>
    <row r="25" spans="1:20">
      <c r="A25" s="172" t="s">
        <v>307</v>
      </c>
      <c r="B25" s="43">
        <v>4</v>
      </c>
      <c r="C25" s="43">
        <v>3</v>
      </c>
      <c r="D25" s="43">
        <v>12</v>
      </c>
      <c r="E25" s="43">
        <v>11</v>
      </c>
      <c r="F25" s="43">
        <v>7</v>
      </c>
      <c r="G25" s="43">
        <v>8</v>
      </c>
      <c r="H25" s="43">
        <v>9</v>
      </c>
      <c r="I25" s="43">
        <v>13</v>
      </c>
      <c r="J25" s="43">
        <v>4</v>
      </c>
      <c r="K25" s="43">
        <v>14</v>
      </c>
      <c r="L25" s="43">
        <v>5</v>
      </c>
      <c r="M25" s="41">
        <v>10</v>
      </c>
      <c r="N25" s="220">
        <f t="shared" si="0"/>
        <v>100</v>
      </c>
      <c r="O25" s="221">
        <f t="shared" si="1"/>
        <v>8.3333333333333339</v>
      </c>
      <c r="P25" s="222">
        <f t="shared" si="2"/>
        <v>0.69343318771236395</v>
      </c>
      <c r="Q25" s="128"/>
      <c r="T25" s="114"/>
    </row>
    <row r="26" spans="1:20">
      <c r="A26" s="172" t="s">
        <v>308</v>
      </c>
      <c r="B26" s="43">
        <v>38</v>
      </c>
      <c r="C26" s="43">
        <v>56</v>
      </c>
      <c r="D26" s="43">
        <v>64</v>
      </c>
      <c r="E26" s="43">
        <v>71</v>
      </c>
      <c r="F26" s="43">
        <v>31</v>
      </c>
      <c r="G26" s="43">
        <v>50</v>
      </c>
      <c r="H26" s="43">
        <v>46</v>
      </c>
      <c r="I26" s="43">
        <v>65</v>
      </c>
      <c r="J26" s="43">
        <v>26</v>
      </c>
      <c r="K26" s="43">
        <v>51</v>
      </c>
      <c r="L26" s="43">
        <v>43</v>
      </c>
      <c r="M26" s="41">
        <v>47</v>
      </c>
      <c r="N26" s="220">
        <f t="shared" si="0"/>
        <v>588</v>
      </c>
      <c r="O26" s="221">
        <f t="shared" si="1"/>
        <v>49</v>
      </c>
      <c r="P26" s="222">
        <f t="shared" si="2"/>
        <v>4.0773871437486999</v>
      </c>
      <c r="Q26" s="128"/>
      <c r="T26" s="114"/>
    </row>
    <row r="27" spans="1:20">
      <c r="A27" s="172" t="s">
        <v>309</v>
      </c>
      <c r="B27" s="43">
        <v>48</v>
      </c>
      <c r="C27" s="43">
        <v>49</v>
      </c>
      <c r="D27" s="43">
        <v>40</v>
      </c>
      <c r="E27" s="43">
        <v>42</v>
      </c>
      <c r="F27" s="43">
        <v>46</v>
      </c>
      <c r="G27" s="43">
        <v>46</v>
      </c>
      <c r="H27" s="43">
        <v>36</v>
      </c>
      <c r="I27" s="43">
        <v>57</v>
      </c>
      <c r="J27" s="43">
        <v>25</v>
      </c>
      <c r="K27" s="43">
        <v>54</v>
      </c>
      <c r="L27" s="43">
        <v>52</v>
      </c>
      <c r="M27" s="41">
        <v>38</v>
      </c>
      <c r="N27" s="220">
        <f t="shared" si="0"/>
        <v>533</v>
      </c>
      <c r="O27" s="221">
        <f t="shared" si="1"/>
        <v>44.416666666666664</v>
      </c>
      <c r="P27" s="222">
        <f t="shared" si="2"/>
        <v>3.6959988905068997</v>
      </c>
      <c r="Q27" s="128"/>
      <c r="T27" s="114"/>
    </row>
    <row r="28" spans="1:20">
      <c r="A28" s="172" t="s">
        <v>310</v>
      </c>
      <c r="B28" s="43">
        <v>39</v>
      </c>
      <c r="C28" s="43">
        <v>44</v>
      </c>
      <c r="D28" s="43">
        <v>49</v>
      </c>
      <c r="E28" s="43">
        <v>48</v>
      </c>
      <c r="F28" s="43">
        <v>59</v>
      </c>
      <c r="G28" s="43">
        <v>65</v>
      </c>
      <c r="H28" s="43">
        <v>43</v>
      </c>
      <c r="I28" s="43">
        <v>53</v>
      </c>
      <c r="J28" s="43">
        <v>46</v>
      </c>
      <c r="K28" s="43">
        <v>57</v>
      </c>
      <c r="L28" s="43">
        <v>34</v>
      </c>
      <c r="M28" s="41">
        <v>42</v>
      </c>
      <c r="N28" s="220">
        <f t="shared" si="0"/>
        <v>579</v>
      </c>
      <c r="O28" s="221">
        <f t="shared" si="1"/>
        <v>48.25</v>
      </c>
      <c r="P28" s="222">
        <f t="shared" si="2"/>
        <v>4.0149781568545873</v>
      </c>
      <c r="Q28" s="128"/>
      <c r="T28" s="114"/>
    </row>
    <row r="29" spans="1:20">
      <c r="A29" s="172" t="s">
        <v>311</v>
      </c>
      <c r="B29" s="43">
        <v>38</v>
      </c>
      <c r="C29" s="43">
        <v>68</v>
      </c>
      <c r="D29" s="43">
        <v>58</v>
      </c>
      <c r="E29" s="43">
        <v>51</v>
      </c>
      <c r="F29" s="43">
        <v>64</v>
      </c>
      <c r="G29" s="43">
        <v>83</v>
      </c>
      <c r="H29" s="43">
        <v>63</v>
      </c>
      <c r="I29" s="43">
        <v>54</v>
      </c>
      <c r="J29" s="43">
        <v>69</v>
      </c>
      <c r="K29" s="43">
        <v>68</v>
      </c>
      <c r="L29" s="43">
        <v>51</v>
      </c>
      <c r="M29" s="41">
        <v>44</v>
      </c>
      <c r="N29" s="220">
        <f t="shared" si="0"/>
        <v>711</v>
      </c>
      <c r="O29" s="221">
        <f t="shared" si="1"/>
        <v>59.25</v>
      </c>
      <c r="P29" s="222">
        <f t="shared" si="2"/>
        <v>4.9303099646349073</v>
      </c>
      <c r="Q29" s="128"/>
      <c r="T29" s="114"/>
    </row>
    <row r="30" spans="1:20">
      <c r="A30" s="172" t="s">
        <v>312</v>
      </c>
      <c r="B30" s="43">
        <v>40</v>
      </c>
      <c r="C30" s="43">
        <v>24</v>
      </c>
      <c r="D30" s="43">
        <v>23</v>
      </c>
      <c r="E30" s="43">
        <v>24</v>
      </c>
      <c r="F30" s="43">
        <v>22</v>
      </c>
      <c r="G30" s="43">
        <v>21</v>
      </c>
      <c r="H30" s="43">
        <v>27</v>
      </c>
      <c r="I30" s="43">
        <v>33</v>
      </c>
      <c r="J30" s="43">
        <v>17</v>
      </c>
      <c r="K30" s="43">
        <v>27</v>
      </c>
      <c r="L30" s="43">
        <v>34</v>
      </c>
      <c r="M30" s="41">
        <v>32</v>
      </c>
      <c r="N30" s="220">
        <f t="shared" si="0"/>
        <v>324</v>
      </c>
      <c r="O30" s="221">
        <f t="shared" si="1"/>
        <v>27</v>
      </c>
      <c r="P30" s="222">
        <f t="shared" si="2"/>
        <v>2.2467235281880589</v>
      </c>
      <c r="Q30" s="128"/>
      <c r="T30" s="114"/>
    </row>
    <row r="31" spans="1:20">
      <c r="A31" s="172" t="s">
        <v>313</v>
      </c>
      <c r="B31" s="43">
        <v>9</v>
      </c>
      <c r="C31" s="43">
        <v>16</v>
      </c>
      <c r="D31" s="43">
        <v>11</v>
      </c>
      <c r="E31" s="43">
        <v>12</v>
      </c>
      <c r="F31" s="43">
        <v>15</v>
      </c>
      <c r="G31" s="43">
        <v>23</v>
      </c>
      <c r="H31" s="43">
        <v>18</v>
      </c>
      <c r="I31" s="43">
        <v>23</v>
      </c>
      <c r="J31" s="43">
        <v>17</v>
      </c>
      <c r="K31" s="43">
        <v>17</v>
      </c>
      <c r="L31" s="43">
        <v>20</v>
      </c>
      <c r="M31" s="41">
        <v>10</v>
      </c>
      <c r="N31" s="220">
        <f t="shared" si="0"/>
        <v>191</v>
      </c>
      <c r="O31" s="221">
        <f t="shared" si="1"/>
        <v>15.916666666666666</v>
      </c>
      <c r="P31" s="222">
        <f t="shared" si="2"/>
        <v>1.324457388530615</v>
      </c>
      <c r="Q31" s="128"/>
      <c r="T31" s="114"/>
    </row>
    <row r="32" spans="1:20">
      <c r="A32" s="172" t="s">
        <v>314</v>
      </c>
      <c r="B32" s="43">
        <v>26</v>
      </c>
      <c r="C32" s="43">
        <v>16</v>
      </c>
      <c r="D32" s="43">
        <v>15</v>
      </c>
      <c r="E32" s="43">
        <v>12</v>
      </c>
      <c r="F32" s="43">
        <v>16</v>
      </c>
      <c r="G32" s="43">
        <v>20</v>
      </c>
      <c r="H32" s="43">
        <v>17</v>
      </c>
      <c r="I32" s="43">
        <v>29</v>
      </c>
      <c r="J32" s="43">
        <v>19</v>
      </c>
      <c r="K32" s="43">
        <v>21</v>
      </c>
      <c r="L32" s="43">
        <v>12</v>
      </c>
      <c r="M32" s="41">
        <v>23</v>
      </c>
      <c r="N32" s="220">
        <f t="shared" si="0"/>
        <v>226</v>
      </c>
      <c r="O32" s="221">
        <f t="shared" si="1"/>
        <v>18.833333333333332</v>
      </c>
      <c r="P32" s="222">
        <f t="shared" si="2"/>
        <v>1.5671590042299424</v>
      </c>
      <c r="Q32" s="128"/>
      <c r="T32" s="114"/>
    </row>
    <row r="33" spans="1:20">
      <c r="A33" s="172" t="s">
        <v>315</v>
      </c>
      <c r="B33" s="43">
        <v>54</v>
      </c>
      <c r="C33" s="43">
        <v>334</v>
      </c>
      <c r="D33" s="43">
        <v>84</v>
      </c>
      <c r="E33" s="43">
        <v>66</v>
      </c>
      <c r="F33" s="43">
        <v>57</v>
      </c>
      <c r="G33" s="43">
        <v>76</v>
      </c>
      <c r="H33" s="43">
        <v>72</v>
      </c>
      <c r="I33" s="43">
        <v>91</v>
      </c>
      <c r="J33" s="43">
        <v>63</v>
      </c>
      <c r="K33" s="43">
        <v>78</v>
      </c>
      <c r="L33" s="43">
        <v>72</v>
      </c>
      <c r="M33" s="41">
        <v>46</v>
      </c>
      <c r="N33" s="220">
        <f t="shared" si="0"/>
        <v>1093</v>
      </c>
      <c r="O33" s="221">
        <f t="shared" si="1"/>
        <v>91.083333333333329</v>
      </c>
      <c r="P33" s="222">
        <f t="shared" si="2"/>
        <v>7.5792247416961374</v>
      </c>
      <c r="Q33" s="128"/>
      <c r="T33" s="114"/>
    </row>
    <row r="34" spans="1:20">
      <c r="A34" s="172" t="s">
        <v>316</v>
      </c>
      <c r="B34" s="43">
        <v>26</v>
      </c>
      <c r="C34" s="43">
        <v>41</v>
      </c>
      <c r="D34" s="43">
        <v>43</v>
      </c>
      <c r="E34" s="43">
        <v>38</v>
      </c>
      <c r="F34" s="43">
        <v>40</v>
      </c>
      <c r="G34" s="43">
        <v>50</v>
      </c>
      <c r="H34" s="43">
        <v>28</v>
      </c>
      <c r="I34" s="43">
        <v>33</v>
      </c>
      <c r="J34" s="43">
        <v>27</v>
      </c>
      <c r="K34" s="43">
        <v>27</v>
      </c>
      <c r="L34" s="43">
        <v>42</v>
      </c>
      <c r="M34" s="41">
        <v>28</v>
      </c>
      <c r="N34" s="220">
        <f t="shared" si="0"/>
        <v>423</v>
      </c>
      <c r="O34" s="221">
        <f t="shared" si="1"/>
        <v>35.25</v>
      </c>
      <c r="P34" s="222">
        <f t="shared" si="2"/>
        <v>2.9332223840232992</v>
      </c>
      <c r="Q34" s="128"/>
      <c r="T34" s="114"/>
    </row>
    <row r="35" spans="1:20">
      <c r="A35" s="172" t="s">
        <v>317</v>
      </c>
      <c r="B35" s="43">
        <v>65</v>
      </c>
      <c r="C35" s="43">
        <v>72</v>
      </c>
      <c r="D35" s="43">
        <v>68</v>
      </c>
      <c r="E35" s="43">
        <v>50</v>
      </c>
      <c r="F35" s="43">
        <v>53</v>
      </c>
      <c r="G35" s="43">
        <v>59</v>
      </c>
      <c r="H35" s="43">
        <v>58</v>
      </c>
      <c r="I35" s="43">
        <v>62</v>
      </c>
      <c r="J35" s="43">
        <v>39</v>
      </c>
      <c r="K35" s="43">
        <v>65</v>
      </c>
      <c r="L35" s="43">
        <v>59</v>
      </c>
      <c r="M35" s="41">
        <v>48</v>
      </c>
      <c r="N35" s="220">
        <f t="shared" si="0"/>
        <v>698</v>
      </c>
      <c r="O35" s="221">
        <f t="shared" si="1"/>
        <v>58.166666666666664</v>
      </c>
      <c r="P35" s="222">
        <f t="shared" si="2"/>
        <v>4.8401636502323004</v>
      </c>
      <c r="Q35" s="128"/>
      <c r="T35" s="114"/>
    </row>
    <row r="36" spans="1:20" ht="15.75" thickBot="1">
      <c r="A36" s="176" t="s">
        <v>318</v>
      </c>
      <c r="B36" s="50">
        <v>16</v>
      </c>
      <c r="C36" s="50">
        <v>18</v>
      </c>
      <c r="D36" s="50">
        <v>21</v>
      </c>
      <c r="E36" s="50">
        <v>18</v>
      </c>
      <c r="F36" s="50">
        <v>26</v>
      </c>
      <c r="G36" s="50">
        <v>16</v>
      </c>
      <c r="H36" s="50">
        <v>12</v>
      </c>
      <c r="I36" s="50">
        <v>35</v>
      </c>
      <c r="J36" s="50">
        <v>57</v>
      </c>
      <c r="K36" s="43">
        <v>44</v>
      </c>
      <c r="L36" s="50">
        <v>32</v>
      </c>
      <c r="M36" s="49">
        <v>17</v>
      </c>
      <c r="N36" s="223">
        <f t="shared" si="0"/>
        <v>312</v>
      </c>
      <c r="O36" s="224">
        <f t="shared" si="1"/>
        <v>26</v>
      </c>
      <c r="P36" s="222">
        <f t="shared" si="2"/>
        <v>2.1635115456625753</v>
      </c>
      <c r="Q36" s="128"/>
      <c r="T36" s="114"/>
    </row>
    <row r="37" spans="1:20" ht="15.75" thickBot="1">
      <c r="A37" s="225" t="s">
        <v>5</v>
      </c>
      <c r="B37" s="56">
        <f t="shared" ref="B37:N37" si="3">SUM(B5:B36)</f>
        <v>947</v>
      </c>
      <c r="C37" s="56">
        <f t="shared" si="3"/>
        <v>1480</v>
      </c>
      <c r="D37" s="56">
        <f t="shared" si="3"/>
        <v>1211</v>
      </c>
      <c r="E37" s="56">
        <f t="shared" si="3"/>
        <v>1248</v>
      </c>
      <c r="F37" s="56">
        <f t="shared" si="3"/>
        <v>1152</v>
      </c>
      <c r="G37" s="56">
        <f t="shared" si="3"/>
        <v>1303</v>
      </c>
      <c r="H37" s="56">
        <f t="shared" si="3"/>
        <v>1082</v>
      </c>
      <c r="I37" s="56">
        <f t="shared" si="3"/>
        <v>1387</v>
      </c>
      <c r="J37" s="56">
        <f t="shared" si="3"/>
        <v>1054</v>
      </c>
      <c r="K37" s="56">
        <f t="shared" si="3"/>
        <v>1343</v>
      </c>
      <c r="L37" s="56">
        <f t="shared" si="3"/>
        <v>1163</v>
      </c>
      <c r="M37" s="226">
        <f t="shared" si="3"/>
        <v>1051</v>
      </c>
      <c r="N37" s="227">
        <f t="shared" si="3"/>
        <v>14421</v>
      </c>
      <c r="O37" s="143">
        <f t="shared" si="1"/>
        <v>1201.75</v>
      </c>
      <c r="P37" s="228">
        <f>SUM(P5:P36)</f>
        <v>99.999999999999986</v>
      </c>
      <c r="Q37" s="128"/>
      <c r="T37" s="114"/>
    </row>
    <row r="38" spans="1:20">
      <c r="Q38" s="128"/>
      <c r="T38" s="114"/>
    </row>
    <row r="39" spans="1:20">
      <c r="Q39" s="128"/>
      <c r="T39" s="114"/>
    </row>
    <row r="40" spans="1:20">
      <c r="Q40" s="128"/>
      <c r="T40" s="114"/>
    </row>
    <row r="41" spans="1:20">
      <c r="Q41" s="128"/>
      <c r="T41" s="114"/>
    </row>
    <row r="42" spans="1:20">
      <c r="Q42" s="128"/>
      <c r="T42" s="114"/>
    </row>
    <row r="43" spans="1:20">
      <c r="Q43" s="128"/>
      <c r="T43" s="114"/>
    </row>
    <row r="44" spans="1:20">
      <c r="Q44" s="128"/>
      <c r="T44" s="114"/>
    </row>
    <row r="45" spans="1:20">
      <c r="Q45" s="128"/>
      <c r="T45" s="114"/>
    </row>
    <row r="46" spans="1:20">
      <c r="Q46" s="128"/>
      <c r="T46" s="114"/>
    </row>
    <row r="47" spans="1:20">
      <c r="Q47" s="128"/>
      <c r="T47" s="114"/>
    </row>
    <row r="48" spans="1:20">
      <c r="Q48" s="128"/>
      <c r="T48" s="114"/>
    </row>
    <row r="49" spans="17:20">
      <c r="Q49" s="128"/>
      <c r="T49" s="114"/>
    </row>
    <row r="50" spans="17:20">
      <c r="Q50" s="128"/>
      <c r="T50" s="114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37:M37" formulaRange="1"/>
    <ignoredError sqref="O37" formula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zoomScale="90" zoomScaleNormal="90" workbookViewId="0"/>
  </sheetViews>
  <sheetFormatPr defaultRowHeight="15"/>
  <cols>
    <col min="1" max="1" width="19.710937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bestFit="1" customWidth="1"/>
    <col min="7" max="7" width="6.28515625" bestFit="1" customWidth="1"/>
    <col min="8" max="8" width="7" bestFit="1" customWidth="1"/>
    <col min="9" max="9" width="7.5703125" customWidth="1"/>
    <col min="10" max="10" width="7.140625" bestFit="1" customWidth="1"/>
    <col min="11" max="11" width="7.5703125" style="649" bestFit="1" customWidth="1"/>
    <col min="12" max="12" width="7.140625" style="649" bestFit="1" customWidth="1"/>
    <col min="13" max="13" width="7.5703125" style="649" customWidth="1"/>
    <col min="14" max="14" width="6.140625" style="649" bestFit="1" customWidth="1"/>
    <col min="15" max="15" width="7.85546875" style="649" bestFit="1" customWidth="1"/>
    <col min="16" max="16" width="17.85546875" style="649" customWidth="1"/>
    <col min="17" max="17" width="9.140625" customWidth="1"/>
  </cols>
  <sheetData>
    <row r="1" spans="1:16">
      <c r="A1" s="1" t="s">
        <v>0</v>
      </c>
      <c r="J1" s="580"/>
      <c r="K1" s="580"/>
      <c r="L1" s="580"/>
      <c r="M1" s="580"/>
      <c r="N1" s="580"/>
      <c r="O1" s="580"/>
      <c r="P1" s="580">
        <f>Subprefeituras_2023!B37</f>
        <v>947</v>
      </c>
    </row>
    <row r="2" spans="1:16">
      <c r="A2" s="1" t="s">
        <v>1</v>
      </c>
      <c r="J2" s="580"/>
      <c r="K2" s="580"/>
      <c r="L2" s="580"/>
      <c r="M2" s="580"/>
      <c r="N2" s="580"/>
      <c r="O2" s="580"/>
      <c r="P2" s="580"/>
    </row>
    <row r="3" spans="1:16">
      <c r="A3" s="1"/>
      <c r="J3" s="580"/>
      <c r="K3" s="580"/>
      <c r="L3" s="580"/>
      <c r="M3" s="580"/>
      <c r="N3" s="580"/>
      <c r="O3" s="580"/>
      <c r="P3" s="580"/>
    </row>
    <row r="4" spans="1:16">
      <c r="A4" s="1" t="s">
        <v>319</v>
      </c>
      <c r="J4" s="580"/>
      <c r="K4" s="580"/>
      <c r="L4" s="580"/>
      <c r="M4" s="580"/>
      <c r="N4" s="580"/>
      <c r="O4" s="580"/>
      <c r="P4" s="580"/>
    </row>
    <row r="5" spans="1:16" ht="15.75" thickBot="1">
      <c r="J5" s="580"/>
      <c r="K5" s="580"/>
      <c r="L5" s="580"/>
      <c r="M5" s="580"/>
      <c r="N5" s="580"/>
      <c r="O5" s="580"/>
      <c r="P5" s="580"/>
    </row>
    <row r="6" spans="1:16" ht="45.75" customHeight="1" thickBot="1">
      <c r="A6" s="57" t="s">
        <v>206</v>
      </c>
      <c r="B6" s="23">
        <v>45261</v>
      </c>
      <c r="C6" s="96">
        <v>45231</v>
      </c>
      <c r="D6" s="96">
        <v>45200</v>
      </c>
      <c r="E6" s="96">
        <v>45170</v>
      </c>
      <c r="F6" s="96">
        <v>45139</v>
      </c>
      <c r="G6" s="96">
        <v>45108</v>
      </c>
      <c r="H6" s="187">
        <v>45078</v>
      </c>
      <c r="I6" s="229">
        <v>45047</v>
      </c>
      <c r="J6" s="230">
        <v>45017</v>
      </c>
      <c r="K6" s="714">
        <v>44986</v>
      </c>
      <c r="L6" s="714">
        <v>44958</v>
      </c>
      <c r="M6" s="715">
        <v>44927</v>
      </c>
      <c r="N6" s="895" t="s">
        <v>5</v>
      </c>
      <c r="O6" s="898" t="s">
        <v>6</v>
      </c>
      <c r="P6" s="896" t="s">
        <v>496</v>
      </c>
    </row>
    <row r="7" spans="1:16" ht="15.75" thickBot="1">
      <c r="A7" s="167" t="s">
        <v>302</v>
      </c>
      <c r="B7" s="33">
        <v>67</v>
      </c>
      <c r="C7" s="33">
        <v>77</v>
      </c>
      <c r="D7" s="33">
        <v>107</v>
      </c>
      <c r="E7" s="33">
        <v>159</v>
      </c>
      <c r="F7" s="33">
        <v>76</v>
      </c>
      <c r="G7" s="33">
        <v>80</v>
      </c>
      <c r="H7" s="33">
        <v>82</v>
      </c>
      <c r="I7" s="33">
        <v>125</v>
      </c>
      <c r="J7" s="33">
        <v>91</v>
      </c>
      <c r="K7" s="43">
        <v>140</v>
      </c>
      <c r="L7" s="33">
        <v>71</v>
      </c>
      <c r="M7" s="216">
        <v>70</v>
      </c>
      <c r="N7" s="716">
        <f t="shared" ref="N7:N17" si="0">SUM(B7:M7)</f>
        <v>1145</v>
      </c>
      <c r="O7" s="897">
        <f t="shared" ref="O7:O17" si="1">AVERAGE(B7:M7)</f>
        <v>95.416666666666671</v>
      </c>
      <c r="P7" s="717">
        <f>(B7*100)/$P$1</f>
        <v>7.074973600844773</v>
      </c>
    </row>
    <row r="8" spans="1:16" ht="15.75" thickBot="1">
      <c r="A8" s="172" t="s">
        <v>315</v>
      </c>
      <c r="B8" s="43">
        <v>54</v>
      </c>
      <c r="C8" s="43">
        <v>334</v>
      </c>
      <c r="D8" s="43">
        <v>84</v>
      </c>
      <c r="E8" s="43">
        <v>66</v>
      </c>
      <c r="F8" s="43">
        <v>57</v>
      </c>
      <c r="G8" s="43">
        <v>76</v>
      </c>
      <c r="H8" s="43">
        <v>72</v>
      </c>
      <c r="I8" s="43">
        <v>91</v>
      </c>
      <c r="J8" s="43">
        <v>63</v>
      </c>
      <c r="K8" s="43">
        <v>78</v>
      </c>
      <c r="L8" s="43">
        <v>72</v>
      </c>
      <c r="M8" s="41">
        <v>46</v>
      </c>
      <c r="N8" s="718">
        <f t="shared" si="0"/>
        <v>1093</v>
      </c>
      <c r="O8" s="719">
        <f t="shared" si="1"/>
        <v>91.083333333333329</v>
      </c>
      <c r="P8" s="717">
        <f t="shared" ref="P8:P17" si="2">(B8*100)/$P$1</f>
        <v>5.7022175290390704</v>
      </c>
    </row>
    <row r="9" spans="1:16" ht="15.75" thickBot="1">
      <c r="A9" s="172" t="s">
        <v>306</v>
      </c>
      <c r="B9" s="43">
        <v>43</v>
      </c>
      <c r="C9" s="43">
        <v>75</v>
      </c>
      <c r="D9" s="43">
        <v>79</v>
      </c>
      <c r="E9" s="43">
        <v>56</v>
      </c>
      <c r="F9" s="43">
        <v>79</v>
      </c>
      <c r="G9" s="43">
        <v>63</v>
      </c>
      <c r="H9" s="43">
        <v>55</v>
      </c>
      <c r="I9" s="43">
        <v>58</v>
      </c>
      <c r="J9" s="43">
        <v>59</v>
      </c>
      <c r="K9" s="43">
        <v>70</v>
      </c>
      <c r="L9" s="43">
        <v>52</v>
      </c>
      <c r="M9" s="41">
        <v>71</v>
      </c>
      <c r="N9" s="718">
        <f t="shared" si="0"/>
        <v>760</v>
      </c>
      <c r="O9" s="719">
        <f t="shared" si="1"/>
        <v>63.333333333333336</v>
      </c>
      <c r="P9" s="717">
        <f t="shared" si="2"/>
        <v>4.5406546990496306</v>
      </c>
    </row>
    <row r="10" spans="1:16" ht="15.75" thickBot="1">
      <c r="A10" s="172" t="s">
        <v>304</v>
      </c>
      <c r="B10" s="43">
        <v>54</v>
      </c>
      <c r="C10" s="43">
        <v>75</v>
      </c>
      <c r="D10" s="43">
        <v>58</v>
      </c>
      <c r="E10" s="43">
        <v>63</v>
      </c>
      <c r="F10" s="43">
        <v>57</v>
      </c>
      <c r="G10" s="43">
        <v>63</v>
      </c>
      <c r="H10" s="43">
        <v>61</v>
      </c>
      <c r="I10" s="43">
        <v>68</v>
      </c>
      <c r="J10" s="43">
        <v>51</v>
      </c>
      <c r="K10" s="43">
        <v>75</v>
      </c>
      <c r="L10" s="43">
        <v>55</v>
      </c>
      <c r="M10" s="41">
        <v>53</v>
      </c>
      <c r="N10" s="718">
        <f t="shared" si="0"/>
        <v>733</v>
      </c>
      <c r="O10" s="719">
        <f t="shared" si="1"/>
        <v>61.083333333333336</v>
      </c>
      <c r="P10" s="717">
        <f t="shared" si="2"/>
        <v>5.7022175290390704</v>
      </c>
    </row>
    <row r="11" spans="1:16" ht="15.75" thickBot="1">
      <c r="A11" s="172" t="s">
        <v>311</v>
      </c>
      <c r="B11" s="43">
        <v>38</v>
      </c>
      <c r="C11" s="43">
        <v>68</v>
      </c>
      <c r="D11" s="43">
        <v>58</v>
      </c>
      <c r="E11" s="43">
        <v>51</v>
      </c>
      <c r="F11" s="43">
        <v>64</v>
      </c>
      <c r="G11" s="43">
        <v>83</v>
      </c>
      <c r="H11" s="43">
        <v>63</v>
      </c>
      <c r="I11" s="43">
        <v>54</v>
      </c>
      <c r="J11" s="43">
        <v>69</v>
      </c>
      <c r="K11" s="43">
        <v>68</v>
      </c>
      <c r="L11" s="43">
        <v>51</v>
      </c>
      <c r="M11" s="41">
        <v>44</v>
      </c>
      <c r="N11" s="718">
        <f t="shared" si="0"/>
        <v>711</v>
      </c>
      <c r="O11" s="719">
        <f t="shared" si="1"/>
        <v>59.25</v>
      </c>
      <c r="P11" s="717">
        <f t="shared" si="2"/>
        <v>4.0126715945089755</v>
      </c>
    </row>
    <row r="12" spans="1:16" ht="15.75" thickBot="1">
      <c r="A12" s="172" t="s">
        <v>317</v>
      </c>
      <c r="B12" s="43">
        <v>65</v>
      </c>
      <c r="C12" s="43">
        <v>72</v>
      </c>
      <c r="D12" s="43">
        <v>68</v>
      </c>
      <c r="E12" s="43">
        <v>50</v>
      </c>
      <c r="F12" s="43">
        <v>53</v>
      </c>
      <c r="G12" s="43">
        <v>59</v>
      </c>
      <c r="H12" s="43">
        <v>58</v>
      </c>
      <c r="I12" s="43">
        <v>62</v>
      </c>
      <c r="J12" s="43">
        <v>39</v>
      </c>
      <c r="K12" s="43">
        <v>65</v>
      </c>
      <c r="L12" s="43">
        <v>59</v>
      </c>
      <c r="M12" s="41">
        <v>48</v>
      </c>
      <c r="N12" s="718">
        <f t="shared" si="0"/>
        <v>698</v>
      </c>
      <c r="O12" s="719">
        <f t="shared" si="1"/>
        <v>58.166666666666664</v>
      </c>
      <c r="P12" s="717">
        <f t="shared" si="2"/>
        <v>6.8637803590285111</v>
      </c>
    </row>
    <row r="13" spans="1:16" ht="15.75" thickBot="1">
      <c r="A13" s="172" t="s">
        <v>288</v>
      </c>
      <c r="B13" s="43">
        <v>30</v>
      </c>
      <c r="C13" s="43">
        <v>49</v>
      </c>
      <c r="D13" s="43">
        <v>43</v>
      </c>
      <c r="E13" s="43">
        <v>56</v>
      </c>
      <c r="F13" s="43">
        <v>64</v>
      </c>
      <c r="G13" s="43">
        <v>51</v>
      </c>
      <c r="H13" s="43">
        <v>54</v>
      </c>
      <c r="I13" s="43">
        <v>80</v>
      </c>
      <c r="J13" s="43">
        <v>52</v>
      </c>
      <c r="K13" s="43">
        <v>66</v>
      </c>
      <c r="L13" s="43">
        <v>57</v>
      </c>
      <c r="M13" s="41">
        <v>52</v>
      </c>
      <c r="N13" s="718">
        <f t="shared" si="0"/>
        <v>654</v>
      </c>
      <c r="O13" s="719">
        <f t="shared" si="1"/>
        <v>54.5</v>
      </c>
      <c r="P13" s="717">
        <f t="shared" si="2"/>
        <v>3.167898627243928</v>
      </c>
    </row>
    <row r="14" spans="1:16" ht="15.75" thickBot="1">
      <c r="A14" s="172" t="s">
        <v>308</v>
      </c>
      <c r="B14" s="43">
        <v>38</v>
      </c>
      <c r="C14" s="43">
        <v>56</v>
      </c>
      <c r="D14" s="43">
        <v>64</v>
      </c>
      <c r="E14" s="43">
        <v>71</v>
      </c>
      <c r="F14" s="43">
        <v>31</v>
      </c>
      <c r="G14" s="43">
        <v>50</v>
      </c>
      <c r="H14" s="43">
        <v>46</v>
      </c>
      <c r="I14" s="43">
        <v>65</v>
      </c>
      <c r="J14" s="43">
        <v>26</v>
      </c>
      <c r="K14" s="43">
        <v>51</v>
      </c>
      <c r="L14" s="43">
        <v>43</v>
      </c>
      <c r="M14" s="41">
        <v>47</v>
      </c>
      <c r="N14" s="718">
        <f t="shared" si="0"/>
        <v>588</v>
      </c>
      <c r="O14" s="719">
        <f t="shared" si="1"/>
        <v>49</v>
      </c>
      <c r="P14" s="717">
        <f t="shared" si="2"/>
        <v>4.0126715945089755</v>
      </c>
    </row>
    <row r="15" spans="1:16" ht="15.75" thickBot="1">
      <c r="A15" s="172" t="s">
        <v>289</v>
      </c>
      <c r="B15" s="43">
        <v>28</v>
      </c>
      <c r="C15" s="43">
        <v>64</v>
      </c>
      <c r="D15" s="43">
        <v>40</v>
      </c>
      <c r="E15" s="43">
        <v>37</v>
      </c>
      <c r="F15" s="43">
        <v>43</v>
      </c>
      <c r="G15" s="43">
        <v>94</v>
      </c>
      <c r="H15" s="43">
        <v>41</v>
      </c>
      <c r="I15" s="43">
        <v>47</v>
      </c>
      <c r="J15" s="43">
        <v>40</v>
      </c>
      <c r="K15" s="43">
        <v>36</v>
      </c>
      <c r="L15" s="43">
        <v>48</v>
      </c>
      <c r="M15" s="41">
        <v>62</v>
      </c>
      <c r="N15" s="718">
        <f t="shared" si="0"/>
        <v>580</v>
      </c>
      <c r="O15" s="719">
        <f t="shared" si="1"/>
        <v>48.333333333333336</v>
      </c>
      <c r="P15" s="717">
        <f t="shared" si="2"/>
        <v>2.9567053854276661</v>
      </c>
    </row>
    <row r="16" spans="1:16" ht="15.75" thickBot="1">
      <c r="A16" s="172" t="s">
        <v>310</v>
      </c>
      <c r="B16" s="43">
        <v>39</v>
      </c>
      <c r="C16" s="43">
        <v>44</v>
      </c>
      <c r="D16" s="43">
        <v>49</v>
      </c>
      <c r="E16" s="43">
        <v>48</v>
      </c>
      <c r="F16" s="43">
        <v>59</v>
      </c>
      <c r="G16" s="43">
        <v>65</v>
      </c>
      <c r="H16" s="43">
        <v>43</v>
      </c>
      <c r="I16" s="43">
        <v>53</v>
      </c>
      <c r="J16" s="43">
        <v>46</v>
      </c>
      <c r="K16" s="43">
        <v>57</v>
      </c>
      <c r="L16" s="43">
        <v>34</v>
      </c>
      <c r="M16" s="41">
        <v>42</v>
      </c>
      <c r="N16" s="720">
        <f t="shared" si="0"/>
        <v>579</v>
      </c>
      <c r="O16" s="721">
        <f t="shared" si="1"/>
        <v>48.25</v>
      </c>
      <c r="P16" s="722">
        <f t="shared" si="2"/>
        <v>4.1182682154171069</v>
      </c>
    </row>
    <row r="17" spans="1:33" ht="15.75" thickBot="1">
      <c r="A17" s="225" t="s">
        <v>5</v>
      </c>
      <c r="B17" s="59">
        <f t="shared" ref="B17:M17" si="3">SUM(B7:B16)</f>
        <v>456</v>
      </c>
      <c r="C17" s="59">
        <f t="shared" si="3"/>
        <v>914</v>
      </c>
      <c r="D17" s="59">
        <f t="shared" si="3"/>
        <v>650</v>
      </c>
      <c r="E17" s="59">
        <f t="shared" si="3"/>
        <v>657</v>
      </c>
      <c r="F17" s="59">
        <f t="shared" si="3"/>
        <v>583</v>
      </c>
      <c r="G17" s="59">
        <f t="shared" si="3"/>
        <v>684</v>
      </c>
      <c r="H17" s="59">
        <f t="shared" si="3"/>
        <v>575</v>
      </c>
      <c r="I17" s="59">
        <f t="shared" si="3"/>
        <v>703</v>
      </c>
      <c r="J17" s="59">
        <f t="shared" si="3"/>
        <v>536</v>
      </c>
      <c r="K17" s="723">
        <f t="shared" si="3"/>
        <v>706</v>
      </c>
      <c r="L17" s="723">
        <f t="shared" si="3"/>
        <v>542</v>
      </c>
      <c r="M17" s="724">
        <f t="shared" si="3"/>
        <v>535</v>
      </c>
      <c r="N17" s="725">
        <f t="shared" si="0"/>
        <v>7541</v>
      </c>
      <c r="O17" s="726">
        <f t="shared" si="1"/>
        <v>628.41666666666663</v>
      </c>
      <c r="P17" s="727">
        <f t="shared" si="2"/>
        <v>48.152059134107709</v>
      </c>
    </row>
    <row r="18" spans="1:33" s="580" customFormat="1">
      <c r="A18" s="576" t="s">
        <v>207</v>
      </c>
      <c r="K18" s="649"/>
      <c r="L18" s="649"/>
      <c r="M18" s="649"/>
      <c r="N18" s="581">
        <f>SUM(N7:N16)</f>
        <v>7541</v>
      </c>
      <c r="P18" s="582">
        <f>100-P17</f>
        <v>51.847940865892291</v>
      </c>
    </row>
    <row r="19" spans="1:33">
      <c r="A19" s="158"/>
      <c r="B19" s="232"/>
      <c r="C19" s="232"/>
      <c r="D19" s="232"/>
      <c r="E19" s="158"/>
      <c r="F19" s="158"/>
      <c r="G19" s="158"/>
      <c r="H19" s="158"/>
      <c r="I19" s="158"/>
      <c r="J19" s="158"/>
      <c r="N19" s="72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</row>
    <row r="20" spans="1:33">
      <c r="A20" s="158"/>
      <c r="B20" s="232"/>
      <c r="C20" s="232"/>
      <c r="D20" s="232"/>
      <c r="E20" s="158"/>
      <c r="F20" s="158"/>
      <c r="G20" s="158"/>
      <c r="H20" s="158"/>
      <c r="I20" s="158"/>
      <c r="J20" s="158"/>
      <c r="Q20" s="205"/>
      <c r="R20" s="206"/>
      <c r="S20" s="208"/>
      <c r="T20" s="206"/>
      <c r="U20" s="206"/>
      <c r="V20" s="206"/>
      <c r="W20" s="206"/>
      <c r="X20" s="206"/>
      <c r="Y20" s="206"/>
      <c r="Z20" s="206"/>
      <c r="AA20" s="206"/>
      <c r="AB20" s="206"/>
      <c r="AC20" s="208"/>
      <c r="AD20" s="206"/>
      <c r="AE20" s="206"/>
      <c r="AF20" s="129"/>
      <c r="AG20" s="130"/>
    </row>
    <row r="21" spans="1:33">
      <c r="A21" s="158"/>
      <c r="B21" s="232"/>
      <c r="C21" s="232"/>
      <c r="D21" s="232"/>
      <c r="E21" s="158"/>
      <c r="F21" s="158"/>
      <c r="G21" s="158"/>
      <c r="H21" s="158"/>
      <c r="I21" s="158"/>
      <c r="J21" s="158"/>
      <c r="Q21" s="205"/>
      <c r="R21" s="206"/>
      <c r="S21" s="208"/>
      <c r="T21" s="206"/>
      <c r="U21" s="206"/>
      <c r="V21" s="206"/>
      <c r="W21" s="206"/>
      <c r="X21" s="206"/>
      <c r="Y21" s="206"/>
      <c r="Z21" s="206"/>
      <c r="AA21" s="206"/>
      <c r="AB21" s="206"/>
      <c r="AC21" s="208"/>
      <c r="AD21" s="206"/>
      <c r="AE21" s="206"/>
      <c r="AF21" s="129"/>
      <c r="AG21" s="130"/>
    </row>
    <row r="22" spans="1:33">
      <c r="A22" s="158"/>
      <c r="B22" s="232"/>
      <c r="C22" s="232"/>
      <c r="D22" s="232"/>
      <c r="E22" s="158"/>
      <c r="F22" s="158"/>
      <c r="G22" s="158"/>
      <c r="H22" s="158"/>
      <c r="I22" s="158"/>
      <c r="J22" s="158"/>
      <c r="Q22" s="158"/>
      <c r="R22" s="158"/>
      <c r="S22" s="158"/>
      <c r="T22" s="158"/>
      <c r="U22" s="205"/>
      <c r="V22" s="206"/>
      <c r="W22" s="206"/>
      <c r="X22" s="206"/>
      <c r="Y22" s="206"/>
      <c r="Z22" s="206"/>
      <c r="AA22" s="206"/>
      <c r="AB22" s="207"/>
      <c r="AC22" s="206"/>
      <c r="AD22" s="206"/>
      <c r="AE22" s="206"/>
      <c r="AF22" s="129"/>
      <c r="AG22" s="130"/>
    </row>
    <row r="23" spans="1:33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Q23" s="158"/>
      <c r="R23" s="158"/>
      <c r="S23" s="158"/>
      <c r="T23" s="158"/>
      <c r="U23" s="205"/>
      <c r="V23" s="206"/>
      <c r="W23" s="206"/>
      <c r="X23" s="206"/>
      <c r="Y23" s="206"/>
      <c r="Z23" s="206"/>
      <c r="AA23" s="206"/>
      <c r="AB23" s="207"/>
      <c r="AC23" s="206"/>
      <c r="AD23" s="206"/>
      <c r="AE23" s="206"/>
      <c r="AF23" s="129"/>
      <c r="AG23" s="130"/>
    </row>
    <row r="24" spans="1:33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Q24" s="158"/>
      <c r="R24" s="158"/>
      <c r="S24" s="158"/>
      <c r="T24" s="158"/>
      <c r="U24" s="205"/>
      <c r="V24" s="206"/>
      <c r="W24" s="206"/>
      <c r="X24" s="206"/>
      <c r="Y24" s="206"/>
      <c r="Z24" s="206"/>
      <c r="AA24" s="206"/>
      <c r="AB24" s="207"/>
      <c r="AC24" s="206"/>
      <c r="AD24" s="206"/>
      <c r="AE24" s="206"/>
      <c r="AF24" s="129"/>
      <c r="AG24" s="130"/>
    </row>
    <row r="25" spans="1:33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Q25" s="158"/>
      <c r="R25" s="158"/>
      <c r="S25" s="158"/>
      <c r="T25" s="158"/>
      <c r="U25" s="205"/>
      <c r="V25" s="206"/>
      <c r="W25" s="206"/>
      <c r="X25" s="206"/>
      <c r="Y25" s="206"/>
      <c r="Z25" s="206"/>
      <c r="AA25" s="206"/>
      <c r="AB25" s="207"/>
      <c r="AC25" s="206"/>
      <c r="AD25" s="206"/>
      <c r="AE25" s="206"/>
      <c r="AF25" s="129"/>
      <c r="AG25" s="130"/>
    </row>
    <row r="26" spans="1:33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Q26" s="158"/>
      <c r="R26" s="158"/>
      <c r="S26" s="158"/>
      <c r="T26" s="158"/>
      <c r="U26" s="205"/>
      <c r="V26" s="206"/>
      <c r="W26" s="206"/>
      <c r="X26" s="206"/>
      <c r="Y26" s="206"/>
      <c r="Z26" s="206"/>
      <c r="AA26" s="206"/>
      <c r="AB26" s="207"/>
      <c r="AC26" s="206"/>
      <c r="AD26" s="206"/>
      <c r="AE26" s="206"/>
      <c r="AF26" s="129"/>
      <c r="AG26" s="130"/>
    </row>
    <row r="27" spans="1:33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Q27" s="158"/>
      <c r="R27" s="158"/>
      <c r="S27" s="158"/>
      <c r="T27" s="158"/>
      <c r="U27" s="205"/>
      <c r="V27" s="206"/>
      <c r="W27" s="206"/>
      <c r="X27" s="206"/>
      <c r="Y27" s="206"/>
      <c r="Z27" s="206"/>
      <c r="AA27" s="206"/>
      <c r="AB27" s="207"/>
      <c r="AC27" s="206"/>
      <c r="AD27" s="206"/>
      <c r="AE27" s="206"/>
      <c r="AF27" s="129"/>
      <c r="AG27" s="130"/>
    </row>
    <row r="28" spans="1:33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Q28" s="158"/>
      <c r="R28" s="158"/>
      <c r="S28" s="158"/>
      <c r="T28" s="158"/>
      <c r="U28" s="205"/>
      <c r="V28" s="206"/>
      <c r="W28" s="206"/>
      <c r="X28" s="206"/>
      <c r="Y28" s="206"/>
      <c r="Z28" s="206"/>
      <c r="AA28" s="206"/>
      <c r="AB28" s="207"/>
      <c r="AC28" s="206"/>
      <c r="AD28" s="206"/>
      <c r="AE28" s="206"/>
      <c r="AF28" s="129"/>
      <c r="AG28" s="130"/>
    </row>
    <row r="29" spans="1:33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Q29" s="158"/>
      <c r="R29" s="158"/>
      <c r="S29" s="158"/>
      <c r="T29" s="158"/>
      <c r="U29" s="205"/>
      <c r="V29" s="206"/>
      <c r="W29" s="206"/>
      <c r="X29" s="206"/>
      <c r="Y29" s="206"/>
      <c r="Z29" s="206"/>
      <c r="AA29" s="206"/>
      <c r="AB29" s="207"/>
      <c r="AC29" s="206"/>
      <c r="AD29" s="206"/>
      <c r="AE29" s="206"/>
      <c r="AF29" s="129"/>
      <c r="AG29" s="130"/>
    </row>
    <row r="30" spans="1:33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</row>
    <row r="31" spans="1:33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</row>
    <row r="32" spans="1:33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</row>
    <row r="33" spans="1:31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</row>
    <row r="34" spans="1:31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</row>
    <row r="35" spans="1:31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</row>
    <row r="36" spans="1:31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</row>
    <row r="37" spans="1:31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</row>
    <row r="38" spans="1:31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</row>
    <row r="39" spans="1:31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</row>
    <row r="40" spans="1:31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</row>
    <row r="41" spans="1:31">
      <c r="A41" s="158"/>
      <c r="B41" s="158"/>
      <c r="C41" s="158"/>
      <c r="D41" s="158"/>
      <c r="E41" s="158"/>
      <c r="F41" s="158"/>
      <c r="G41" s="158"/>
      <c r="H41" s="158"/>
      <c r="I41" s="158"/>
      <c r="J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:M17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topLeftCell="A4" workbookViewId="0"/>
  </sheetViews>
  <sheetFormatPr defaultRowHeight="14.25"/>
  <cols>
    <col min="1" max="1" width="11.42578125" style="13" customWidth="1"/>
    <col min="2" max="2" width="12.85546875" style="112" bestFit="1" customWidth="1"/>
    <col min="3" max="3" width="11.42578125" style="112" bestFit="1" customWidth="1"/>
    <col min="4" max="4" width="6.28515625" style="13" bestFit="1" customWidth="1"/>
    <col min="5" max="5" width="9.42578125" style="13" customWidth="1"/>
    <col min="6" max="6" width="12.85546875" style="13" bestFit="1" customWidth="1"/>
    <col min="7" max="7" width="11.42578125" style="13" bestFit="1" customWidth="1"/>
    <col min="8" max="8" width="7.140625" style="13" customWidth="1"/>
    <col min="9" max="9" width="9.5703125" style="13" customWidth="1"/>
    <col min="10" max="10" width="12.85546875" style="13" bestFit="1" customWidth="1"/>
    <col min="11" max="11" width="11.42578125" style="13" bestFit="1" customWidth="1"/>
    <col min="12" max="12" width="7.140625" style="13" customWidth="1"/>
    <col min="13" max="13" width="9.42578125" style="13" customWidth="1"/>
    <col min="14" max="14" width="12.85546875" style="13" bestFit="1" customWidth="1"/>
    <col min="15" max="15" width="11.42578125" style="13" bestFit="1" customWidth="1"/>
    <col min="16" max="16" width="9.140625" style="13" customWidth="1"/>
    <col min="17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320</v>
      </c>
    </row>
    <row r="5" spans="1:15" ht="15">
      <c r="A5" s="1"/>
    </row>
    <row r="6" spans="1:15">
      <c r="A6" s="13" t="s">
        <v>210</v>
      </c>
    </row>
    <row r="7" spans="1:15">
      <c r="A7" s="13" t="s">
        <v>211</v>
      </c>
    </row>
    <row r="8" spans="1:15" ht="15" thickBot="1">
      <c r="B8" s="13"/>
      <c r="C8" s="13"/>
    </row>
    <row r="9" spans="1:15" ht="15.75" thickBot="1">
      <c r="A9" s="940" t="str">
        <f>'10_SUB''s_+_demandadas_2023'!A7</f>
        <v>Lapa</v>
      </c>
      <c r="B9" s="941"/>
      <c r="C9" s="942"/>
      <c r="E9" s="940" t="str">
        <f>'10_SUB''s_+_demandadas_2023'!A8</f>
        <v>Sé</v>
      </c>
      <c r="F9" s="941"/>
      <c r="G9" s="942"/>
      <c r="I9" s="940" t="str">
        <f>'10_SUB''s_+_demandadas_2023'!A9</f>
        <v>Penha</v>
      </c>
      <c r="J9" s="941"/>
      <c r="K9" s="942"/>
      <c r="M9" s="940" t="str">
        <f>'10_SUB''s_+_demandadas_2023'!A10</f>
        <v>Mooca</v>
      </c>
      <c r="N9" s="941"/>
      <c r="O9" s="942"/>
    </row>
    <row r="10" spans="1:15" ht="15.75" thickBot="1">
      <c r="A10" s="882" t="s">
        <v>2</v>
      </c>
      <c r="B10" s="5" t="s">
        <v>212</v>
      </c>
      <c r="C10" s="886" t="s">
        <v>213</v>
      </c>
      <c r="E10" s="882" t="s">
        <v>2</v>
      </c>
      <c r="F10" s="5" t="s">
        <v>212</v>
      </c>
      <c r="G10" s="881" t="s">
        <v>213</v>
      </c>
      <c r="I10" s="882" t="s">
        <v>2</v>
      </c>
      <c r="J10" s="5" t="s">
        <v>212</v>
      </c>
      <c r="K10" s="881" t="s">
        <v>213</v>
      </c>
      <c r="M10" s="882" t="s">
        <v>2</v>
      </c>
      <c r="N10" s="5" t="s">
        <v>212</v>
      </c>
      <c r="O10" s="886" t="s">
        <v>213</v>
      </c>
    </row>
    <row r="11" spans="1:15" ht="15">
      <c r="A11" s="868">
        <v>44927</v>
      </c>
      <c r="B11" s="233">
        <f>'10_SUB''s_+_demandadas_2023'!M7</f>
        <v>70</v>
      </c>
      <c r="C11" s="891">
        <f>((B11-55)/55)*100</f>
        <v>27.27272727272727</v>
      </c>
      <c r="E11" s="868">
        <v>44927</v>
      </c>
      <c r="F11" s="137">
        <f>'10_SUB''s_+_demandadas_2023'!M8</f>
        <v>46</v>
      </c>
      <c r="G11" s="869">
        <f>((F11-49)/49)*100</f>
        <v>-6.1224489795918364</v>
      </c>
      <c r="I11" s="868">
        <v>44927</v>
      </c>
      <c r="J11" s="137">
        <f>'10_SUB''s_+_demandadas_2023'!M9</f>
        <v>71</v>
      </c>
      <c r="K11" s="869">
        <f>((J11-34)/34)*100</f>
        <v>108.8235294117647</v>
      </c>
      <c r="M11" s="868">
        <v>44927</v>
      </c>
      <c r="N11" s="233">
        <f>'10_SUB''s_+_demandadas_2023'!M10</f>
        <v>53</v>
      </c>
      <c r="O11" s="891">
        <f>((N11-34)/34)*100</f>
        <v>55.882352941176471</v>
      </c>
    </row>
    <row r="12" spans="1:15" ht="15">
      <c r="A12" s="870">
        <v>44958</v>
      </c>
      <c r="B12" s="234">
        <f>'10_SUB''s_+_demandadas_2023'!L7</f>
        <v>71</v>
      </c>
      <c r="C12" s="869">
        <f>((B12-51)/51)*100</f>
        <v>39.215686274509807</v>
      </c>
      <c r="E12" s="870">
        <v>44958</v>
      </c>
      <c r="F12" s="138">
        <f>'10_SUB''s_+_demandadas_2023'!L8</f>
        <v>72</v>
      </c>
      <c r="G12" s="869">
        <f t="shared" ref="G12:G17" si="0">((F12-F11)/F11)*100</f>
        <v>56.521739130434781</v>
      </c>
      <c r="I12" s="870">
        <v>44958</v>
      </c>
      <c r="J12" s="138">
        <f>'10_SUB''s_+_demandadas_2023'!L9</f>
        <v>52</v>
      </c>
      <c r="K12" s="869">
        <f t="shared" ref="K12:K17" si="1">((J12-J11)/J11)*100</f>
        <v>-26.760563380281688</v>
      </c>
      <c r="M12" s="870">
        <v>44958</v>
      </c>
      <c r="N12" s="234">
        <f>'10_SUB''s_+_demandadas_2023'!L10</f>
        <v>55</v>
      </c>
      <c r="O12" s="869">
        <f t="shared" ref="O12:O17" si="2">((N12-N11)/N11)*100</f>
        <v>3.7735849056603774</v>
      </c>
    </row>
    <row r="13" spans="1:15" ht="15">
      <c r="A13" s="870">
        <v>44986</v>
      </c>
      <c r="B13" s="234">
        <f>'10_SUB''s_+_demandadas_2023'!K7</f>
        <v>140</v>
      </c>
      <c r="C13" s="869">
        <f t="shared" ref="C13:C18" si="3">((B13-B12)/B12)*100</f>
        <v>97.183098591549296</v>
      </c>
      <c r="E13" s="870">
        <v>44986</v>
      </c>
      <c r="F13" s="138">
        <f>'10_SUB''s_+_demandadas_2023'!$K$8</f>
        <v>78</v>
      </c>
      <c r="G13" s="869">
        <f t="shared" si="0"/>
        <v>8.3333333333333321</v>
      </c>
      <c r="I13" s="870">
        <v>44986</v>
      </c>
      <c r="J13" s="138">
        <f>'10_SUB''s_+_demandadas_2023'!$K$9</f>
        <v>70</v>
      </c>
      <c r="K13" s="869">
        <f t="shared" si="1"/>
        <v>34.615384615384613</v>
      </c>
      <c r="M13" s="870">
        <v>44986</v>
      </c>
      <c r="N13" s="234">
        <f>'10_SUB''s_+_demandadas_2023'!$K$10</f>
        <v>75</v>
      </c>
      <c r="O13" s="869">
        <f t="shared" si="2"/>
        <v>36.363636363636367</v>
      </c>
    </row>
    <row r="14" spans="1:15" ht="15">
      <c r="A14" s="870">
        <v>45017</v>
      </c>
      <c r="B14" s="234">
        <f>'10_SUB''s_+_demandadas_2023'!J$7</f>
        <v>91</v>
      </c>
      <c r="C14" s="869">
        <f t="shared" si="3"/>
        <v>-35</v>
      </c>
      <c r="E14" s="870">
        <v>45017</v>
      </c>
      <c r="F14" s="234">
        <f>'10_SUB''s_+_demandadas_2023'!J$8</f>
        <v>63</v>
      </c>
      <c r="G14" s="869">
        <f t="shared" si="0"/>
        <v>-19.230769230769234</v>
      </c>
      <c r="I14" s="870">
        <v>45017</v>
      </c>
      <c r="J14" s="234">
        <f>'10_SUB''s_+_demandadas_2023'!J$9</f>
        <v>59</v>
      </c>
      <c r="K14" s="869">
        <f t="shared" si="1"/>
        <v>-15.714285714285714</v>
      </c>
      <c r="M14" s="870">
        <v>45017</v>
      </c>
      <c r="N14" s="234">
        <f>'10_SUB''s_+_demandadas_2023'!J$10</f>
        <v>51</v>
      </c>
      <c r="O14" s="869">
        <f t="shared" si="2"/>
        <v>-32</v>
      </c>
    </row>
    <row r="15" spans="1:15" ht="15">
      <c r="A15" s="870">
        <v>45047</v>
      </c>
      <c r="B15" s="234">
        <f>'10_SUB''s_+_demandadas_2023'!I$7</f>
        <v>125</v>
      </c>
      <c r="C15" s="869">
        <f t="shared" si="3"/>
        <v>37.362637362637365</v>
      </c>
      <c r="E15" s="870">
        <v>45047</v>
      </c>
      <c r="F15" s="234">
        <f>'10_SUB''s_+_demandadas_2023'!I$8</f>
        <v>91</v>
      </c>
      <c r="G15" s="869">
        <f t="shared" si="0"/>
        <v>44.444444444444443</v>
      </c>
      <c r="I15" s="870">
        <v>45047</v>
      </c>
      <c r="J15" s="234">
        <f>'10_SUB''s_+_demandadas_2023'!I$9</f>
        <v>58</v>
      </c>
      <c r="K15" s="869">
        <f t="shared" si="1"/>
        <v>-1.6949152542372881</v>
      </c>
      <c r="M15" s="870">
        <v>45047</v>
      </c>
      <c r="N15" s="234">
        <f>'10_SUB''s_+_demandadas_2023'!I$10</f>
        <v>68</v>
      </c>
      <c r="O15" s="869">
        <f t="shared" si="2"/>
        <v>33.333333333333329</v>
      </c>
    </row>
    <row r="16" spans="1:15" ht="15">
      <c r="A16" s="870">
        <v>45078</v>
      </c>
      <c r="B16" s="234">
        <f>'10_SUB''s_+_demandadas_2023'!H$7</f>
        <v>82</v>
      </c>
      <c r="C16" s="869">
        <f t="shared" si="3"/>
        <v>-34.4</v>
      </c>
      <c r="E16" s="870">
        <v>45078</v>
      </c>
      <c r="F16" s="234">
        <f>'10_SUB''s_+_demandadas_2023'!H$8</f>
        <v>72</v>
      </c>
      <c r="G16" s="869">
        <f t="shared" si="0"/>
        <v>-20.87912087912088</v>
      </c>
      <c r="I16" s="870">
        <v>45078</v>
      </c>
      <c r="J16" s="234">
        <f>'10_SUB''s_+_demandadas_2023'!H$9</f>
        <v>55</v>
      </c>
      <c r="K16" s="869">
        <f t="shared" si="1"/>
        <v>-5.1724137931034484</v>
      </c>
      <c r="M16" s="870">
        <v>45078</v>
      </c>
      <c r="N16" s="234">
        <f>'10_SUB''s_+_demandadas_2023'!H$10</f>
        <v>61</v>
      </c>
      <c r="O16" s="869">
        <f t="shared" si="2"/>
        <v>-10.294117647058822</v>
      </c>
    </row>
    <row r="17" spans="1:15" ht="15">
      <c r="A17" s="870">
        <v>45108</v>
      </c>
      <c r="B17" s="234">
        <f>'10_SUB''s_+_demandadas_2023'!G$7</f>
        <v>80</v>
      </c>
      <c r="C17" s="869">
        <f t="shared" si="3"/>
        <v>-2.4390243902439024</v>
      </c>
      <c r="E17" s="870">
        <v>45108</v>
      </c>
      <c r="F17" s="234">
        <f>'10_SUB''s_+_demandadas_2023'!G$8</f>
        <v>76</v>
      </c>
      <c r="G17" s="869">
        <f t="shared" si="0"/>
        <v>5.5555555555555554</v>
      </c>
      <c r="I17" s="870">
        <v>45108</v>
      </c>
      <c r="J17" s="234">
        <f>'10_SUB''s_+_demandadas_2023'!G$9</f>
        <v>63</v>
      </c>
      <c r="K17" s="869">
        <f t="shared" si="1"/>
        <v>14.545454545454545</v>
      </c>
      <c r="M17" s="870">
        <v>45108</v>
      </c>
      <c r="N17" s="234">
        <f>'10_SUB''s_+_demandadas_2023'!G$10</f>
        <v>63</v>
      </c>
      <c r="O17" s="869">
        <f t="shared" si="2"/>
        <v>3.278688524590164</v>
      </c>
    </row>
    <row r="18" spans="1:15" ht="15">
      <c r="A18" s="870">
        <v>45139</v>
      </c>
      <c r="B18" s="234">
        <f>'10_SUB''s_+_demandadas_2023'!F$7</f>
        <v>76</v>
      </c>
      <c r="C18" s="869">
        <f t="shared" si="3"/>
        <v>-5</v>
      </c>
      <c r="E18" s="870">
        <v>45139</v>
      </c>
      <c r="F18" s="234">
        <f>'10_SUB''s_+_demandadas_2023'!F$8</f>
        <v>57</v>
      </c>
      <c r="G18" s="869">
        <f t="shared" ref="G18" si="4">((F18-F17)/F17)*100</f>
        <v>-25</v>
      </c>
      <c r="I18" s="870">
        <v>45139</v>
      </c>
      <c r="J18" s="234">
        <f>'10_SUB''s_+_demandadas_2023'!F$9</f>
        <v>79</v>
      </c>
      <c r="K18" s="869">
        <f t="shared" ref="K18" si="5">((J18-J17)/J17)*100</f>
        <v>25.396825396825395</v>
      </c>
      <c r="M18" s="870">
        <v>45139</v>
      </c>
      <c r="N18" s="234">
        <f>'10_SUB''s_+_demandadas_2023'!F$10</f>
        <v>57</v>
      </c>
      <c r="O18" s="869">
        <f>((N18-N17)/N17)*100</f>
        <v>-9.5238095238095237</v>
      </c>
    </row>
    <row r="19" spans="1:15" ht="15">
      <c r="A19" s="870">
        <v>45170</v>
      </c>
      <c r="B19" s="234">
        <f>'10_SUB''s_+_demandadas_2023'!E$7</f>
        <v>159</v>
      </c>
      <c r="C19" s="869">
        <f t="shared" ref="C19:C21" si="6">((B19-B18)/B18)*100</f>
        <v>109.21052631578947</v>
      </c>
      <c r="E19" s="870">
        <v>45170</v>
      </c>
      <c r="F19" s="234">
        <f>'10_SUB''s_+_demandadas_2023'!E$8</f>
        <v>66</v>
      </c>
      <c r="G19" s="869">
        <f t="shared" ref="G19:G20" si="7">((F19-F18)/F18)*100</f>
        <v>15.789473684210526</v>
      </c>
      <c r="I19" s="870">
        <v>45170</v>
      </c>
      <c r="J19" s="234">
        <f>'10_SUB''s_+_demandadas_2023'!E$9</f>
        <v>56</v>
      </c>
      <c r="K19" s="869">
        <f t="shared" ref="K19:K21" si="8">((J19-J18)/J18)*100</f>
        <v>-29.11392405063291</v>
      </c>
      <c r="M19" s="870">
        <v>45170</v>
      </c>
      <c r="N19" s="234">
        <f>'10_SUB''s_+_demandadas_2023'!E$10</f>
        <v>63</v>
      </c>
      <c r="O19" s="869">
        <f>((N19-N18)/N18)*100</f>
        <v>10.526315789473683</v>
      </c>
    </row>
    <row r="20" spans="1:15" ht="15">
      <c r="A20" s="870">
        <v>45200</v>
      </c>
      <c r="B20" s="234">
        <f>'10_SUB''s_+_demandadas_2023'!D$7</f>
        <v>107</v>
      </c>
      <c r="C20" s="869">
        <f t="shared" si="6"/>
        <v>-32.704402515723267</v>
      </c>
      <c r="E20" s="870">
        <v>45200</v>
      </c>
      <c r="F20" s="234">
        <f>'10_SUB''s_+_demandadas_2023'!D$8</f>
        <v>84</v>
      </c>
      <c r="G20" s="869">
        <f t="shared" si="7"/>
        <v>27.27272727272727</v>
      </c>
      <c r="I20" s="870">
        <v>45200</v>
      </c>
      <c r="J20" s="234">
        <f>'10_SUB''s_+_demandadas_2023'!D$9</f>
        <v>79</v>
      </c>
      <c r="K20" s="869">
        <f t="shared" si="8"/>
        <v>41.071428571428569</v>
      </c>
      <c r="M20" s="870">
        <v>45200</v>
      </c>
      <c r="N20" s="234">
        <f>'10_SUB''s_+_demandadas_2023'!D$10</f>
        <v>58</v>
      </c>
      <c r="O20" s="869">
        <f>((N20-N19)/N19)*100</f>
        <v>-7.9365079365079358</v>
      </c>
    </row>
    <row r="21" spans="1:15" ht="15">
      <c r="A21" s="870">
        <v>45231</v>
      </c>
      <c r="B21" s="234">
        <f>'10_SUB''s_+_demandadas_2023'!C$7</f>
        <v>77</v>
      </c>
      <c r="C21" s="869">
        <f t="shared" si="6"/>
        <v>-28.037383177570092</v>
      </c>
      <c r="E21" s="870">
        <v>45231</v>
      </c>
      <c r="F21" s="234">
        <f>'10_SUB''s_+_demandadas_2023'!C$8</f>
        <v>334</v>
      </c>
      <c r="G21" s="869">
        <f>((F21-F20)/F20)*100</f>
        <v>297.61904761904765</v>
      </c>
      <c r="I21" s="870">
        <v>45231</v>
      </c>
      <c r="J21" s="234">
        <f>'10_SUB''s_+_demandadas_2023'!C$9</f>
        <v>75</v>
      </c>
      <c r="K21" s="869">
        <f t="shared" si="8"/>
        <v>-5.0632911392405067</v>
      </c>
      <c r="M21" s="870">
        <v>45231</v>
      </c>
      <c r="N21" s="234">
        <f>'10_SUB''s_+_demandadas_2023'!C$10</f>
        <v>75</v>
      </c>
      <c r="O21" s="869">
        <f>((N21-N20)/N20)*100</f>
        <v>29.310344827586203</v>
      </c>
    </row>
    <row r="22" spans="1:15" ht="15.75" thickBot="1">
      <c r="A22" s="871">
        <v>45261</v>
      </c>
      <c r="B22" s="899">
        <f>'10_SUB''s_+_demandadas_2023'!B$7</f>
        <v>67</v>
      </c>
      <c r="C22" s="873">
        <f t="shared" ref="C22" si="9">((B22-B21)/B21)*100</f>
        <v>-12.987012987012985</v>
      </c>
      <c r="E22" s="871">
        <v>45261</v>
      </c>
      <c r="F22" s="899">
        <f>'10_SUB''s_+_demandadas_2023'!B$8</f>
        <v>54</v>
      </c>
      <c r="G22" s="873">
        <f>((F22-F21)/F21)*100</f>
        <v>-83.832335329341305</v>
      </c>
      <c r="I22" s="871">
        <v>45261</v>
      </c>
      <c r="J22" s="899">
        <f>'10_SUB''s_+_demandadas_2023'!B$9</f>
        <v>43</v>
      </c>
      <c r="K22" s="873">
        <f t="shared" ref="K22" si="10">((J22-J21)/J21)*100</f>
        <v>-42.666666666666671</v>
      </c>
      <c r="M22" s="871">
        <v>45261</v>
      </c>
      <c r="N22" s="899">
        <f>'10_SUB''s_+_demandadas_2023'!B$10</f>
        <v>54</v>
      </c>
      <c r="O22" s="873">
        <f>((N22-N21)/N21)*100</f>
        <v>-28.000000000000004</v>
      </c>
    </row>
    <row r="23" spans="1:15">
      <c r="B23" s="13"/>
      <c r="C23" s="13"/>
    </row>
    <row r="24" spans="1:15" ht="15" thickBot="1">
      <c r="B24" s="13"/>
      <c r="C24" s="13"/>
    </row>
    <row r="25" spans="1:15" ht="15.75" thickBot="1">
      <c r="A25" s="943" t="str">
        <f>'10_SUB''s_+_demandadas_2023'!A11</f>
        <v>Santo Amaro</v>
      </c>
      <c r="B25" s="944"/>
      <c r="C25" s="945"/>
      <c r="E25" s="940" t="str">
        <f>'10_SUB''s_+_demandadas_2023'!A12</f>
        <v>Vila Mariana</v>
      </c>
      <c r="F25" s="941"/>
      <c r="G25" s="942"/>
      <c r="I25" s="940" t="str">
        <f>'10_SUB''s_+_demandadas_2023'!A13</f>
        <v>Butantã</v>
      </c>
      <c r="J25" s="941"/>
      <c r="K25" s="942"/>
      <c r="M25" s="940" t="str">
        <f>'10_SUB''s_+_demandadas_2023'!A14</f>
        <v>Pinheiros</v>
      </c>
      <c r="N25" s="941"/>
      <c r="O25" s="942"/>
    </row>
    <row r="26" spans="1:15" ht="15.75" thickBot="1">
      <c r="A26" s="865" t="s">
        <v>2</v>
      </c>
      <c r="B26" s="877" t="s">
        <v>212</v>
      </c>
      <c r="C26" s="900" t="s">
        <v>213</v>
      </c>
      <c r="E26" s="882" t="s">
        <v>2</v>
      </c>
      <c r="F26" s="5" t="s">
        <v>212</v>
      </c>
      <c r="G26" s="886" t="s">
        <v>213</v>
      </c>
      <c r="I26" s="880" t="s">
        <v>2</v>
      </c>
      <c r="J26" s="5" t="s">
        <v>212</v>
      </c>
      <c r="K26" s="881" t="s">
        <v>213</v>
      </c>
      <c r="M26" s="880" t="s">
        <v>2</v>
      </c>
      <c r="N26" s="235" t="s">
        <v>212</v>
      </c>
      <c r="O26" s="886" t="s">
        <v>213</v>
      </c>
    </row>
    <row r="27" spans="1:15" ht="15">
      <c r="A27" s="868">
        <v>44927</v>
      </c>
      <c r="B27" s="137">
        <f>'10_SUB''s_+_demandadas_2023'!M11</f>
        <v>44</v>
      </c>
      <c r="C27" s="869">
        <f>((B27-31)/31)*100</f>
        <v>41.935483870967744</v>
      </c>
      <c r="E27" s="868">
        <v>44927</v>
      </c>
      <c r="F27" s="233">
        <f>'10_SUB''s_+_demandadas_2023'!M12</f>
        <v>48</v>
      </c>
      <c r="G27" s="607">
        <f>((F27-35)/35)*100</f>
        <v>37.142857142857146</v>
      </c>
      <c r="I27" s="868">
        <v>44927</v>
      </c>
      <c r="J27" s="137">
        <f>'10_SUB''s_+_demandadas_2023'!M13</f>
        <v>52</v>
      </c>
      <c r="K27" s="869">
        <f>((J27-51)/51)*100</f>
        <v>1.9607843137254901</v>
      </c>
      <c r="M27" s="868">
        <v>44927</v>
      </c>
      <c r="N27" s="137">
        <f>'10_SUB''s_+_demandadas_2023'!M14</f>
        <v>47</v>
      </c>
      <c r="O27" s="869">
        <f>((N27-39)/39)*100</f>
        <v>20.512820512820511</v>
      </c>
    </row>
    <row r="28" spans="1:15" ht="15">
      <c r="A28" s="870">
        <v>44958</v>
      </c>
      <c r="B28" s="138">
        <f>'10_SUB''s_+_demandadas_2023'!L11</f>
        <v>51</v>
      </c>
      <c r="C28" s="869">
        <f t="shared" ref="C28:C33" si="11">((B28-B27)/B27)*100</f>
        <v>15.909090909090908</v>
      </c>
      <c r="E28" s="870">
        <v>44958</v>
      </c>
      <c r="F28" s="234">
        <f>'10_SUB''s_+_demandadas_2023'!L12</f>
        <v>59</v>
      </c>
      <c r="G28" s="608">
        <f t="shared" ref="G28:G33" si="12">((F28-F27)/F27)*100</f>
        <v>22.916666666666664</v>
      </c>
      <c r="I28" s="870">
        <v>44958</v>
      </c>
      <c r="J28" s="138">
        <f>'10_SUB''s_+_demandadas_2023'!L13</f>
        <v>57</v>
      </c>
      <c r="K28" s="869">
        <f t="shared" ref="K28:K33" si="13">((J28-J27)/J27)*100</f>
        <v>9.6153846153846168</v>
      </c>
      <c r="M28" s="870">
        <v>44958</v>
      </c>
      <c r="N28" s="138">
        <f>'10_SUB''s_+_demandadas_2023'!L14</f>
        <v>43</v>
      </c>
      <c r="O28" s="869">
        <f t="shared" ref="O28:O33" si="14">((N28-N27)/N27)*100</f>
        <v>-8.5106382978723403</v>
      </c>
    </row>
    <row r="29" spans="1:15" ht="15">
      <c r="A29" s="870">
        <v>44986</v>
      </c>
      <c r="B29" s="138">
        <f>'10_SUB''s_+_demandadas_2023'!$K$11</f>
        <v>68</v>
      </c>
      <c r="C29" s="869">
        <f t="shared" si="11"/>
        <v>33.333333333333329</v>
      </c>
      <c r="E29" s="870">
        <v>44986</v>
      </c>
      <c r="F29" s="234">
        <f>'10_SUB''s_+_demandadas_2023'!$K$12</f>
        <v>65</v>
      </c>
      <c r="G29" s="608">
        <f t="shared" si="12"/>
        <v>10.16949152542373</v>
      </c>
      <c r="I29" s="870">
        <v>44986</v>
      </c>
      <c r="J29" s="138">
        <f>'10_SUB''s_+_demandadas_2023'!$K$13</f>
        <v>66</v>
      </c>
      <c r="K29" s="869">
        <f t="shared" si="13"/>
        <v>15.789473684210526</v>
      </c>
      <c r="M29" s="870">
        <v>44986</v>
      </c>
      <c r="N29" s="138">
        <f>'10_SUB''s_+_demandadas_2023'!$K$14</f>
        <v>51</v>
      </c>
      <c r="O29" s="869">
        <f t="shared" si="14"/>
        <v>18.604651162790699</v>
      </c>
    </row>
    <row r="30" spans="1:15" ht="15">
      <c r="A30" s="870">
        <v>45017</v>
      </c>
      <c r="B30" s="234">
        <f>'10_SUB''s_+_demandadas_2023'!J$11</f>
        <v>69</v>
      </c>
      <c r="C30" s="869">
        <f t="shared" si="11"/>
        <v>1.4705882352941175</v>
      </c>
      <c r="E30" s="870">
        <v>45017</v>
      </c>
      <c r="F30" s="234">
        <f>'10_SUB''s_+_demandadas_2023'!J$12</f>
        <v>39</v>
      </c>
      <c r="G30" s="608">
        <f t="shared" si="12"/>
        <v>-40</v>
      </c>
      <c r="I30" s="870">
        <v>45017</v>
      </c>
      <c r="J30" s="234">
        <f>'10_SUB''s_+_demandadas_2023'!J$13</f>
        <v>52</v>
      </c>
      <c r="K30" s="869">
        <f t="shared" si="13"/>
        <v>-21.212121212121211</v>
      </c>
      <c r="M30" s="870">
        <v>45017</v>
      </c>
      <c r="N30" s="234">
        <f>'10_SUB''s_+_demandadas_2023'!J$14</f>
        <v>26</v>
      </c>
      <c r="O30" s="869">
        <f t="shared" si="14"/>
        <v>-49.019607843137251</v>
      </c>
    </row>
    <row r="31" spans="1:15" ht="15">
      <c r="A31" s="870">
        <v>45047</v>
      </c>
      <c r="B31" s="234">
        <f>'10_SUB''s_+_demandadas_2023'!I$11</f>
        <v>54</v>
      </c>
      <c r="C31" s="869">
        <f t="shared" si="11"/>
        <v>-21.739130434782609</v>
      </c>
      <c r="E31" s="870">
        <v>45047</v>
      </c>
      <c r="F31" s="234">
        <f>'10_SUB''s_+_demandadas_2023'!I$12</f>
        <v>62</v>
      </c>
      <c r="G31" s="608">
        <f t="shared" si="12"/>
        <v>58.974358974358978</v>
      </c>
      <c r="I31" s="870">
        <v>45047</v>
      </c>
      <c r="J31" s="234">
        <f>'10_SUB''s_+_demandadas_2023'!I$13</f>
        <v>80</v>
      </c>
      <c r="K31" s="869">
        <f t="shared" si="13"/>
        <v>53.846153846153847</v>
      </c>
      <c r="M31" s="870">
        <v>45047</v>
      </c>
      <c r="N31" s="234">
        <f>'10_SUB''s_+_demandadas_2023'!I$14</f>
        <v>65</v>
      </c>
      <c r="O31" s="869">
        <f t="shared" si="14"/>
        <v>150</v>
      </c>
    </row>
    <row r="32" spans="1:15" ht="15">
      <c r="A32" s="870">
        <v>45078</v>
      </c>
      <c r="B32" s="234">
        <f>'10_SUB''s_+_demandadas_2023'!H$11</f>
        <v>63</v>
      </c>
      <c r="C32" s="869">
        <f t="shared" si="11"/>
        <v>16.666666666666664</v>
      </c>
      <c r="E32" s="870">
        <v>45078</v>
      </c>
      <c r="F32" s="234">
        <f>'10_SUB''s_+_demandadas_2023'!H$12</f>
        <v>58</v>
      </c>
      <c r="G32" s="608">
        <f t="shared" si="12"/>
        <v>-6.4516129032258061</v>
      </c>
      <c r="I32" s="870">
        <v>45078</v>
      </c>
      <c r="J32" s="234">
        <f>'10_SUB''s_+_demandadas_2023'!H$13</f>
        <v>54</v>
      </c>
      <c r="K32" s="869">
        <f t="shared" si="13"/>
        <v>-32.5</v>
      </c>
      <c r="M32" s="870">
        <v>45078</v>
      </c>
      <c r="N32" s="234">
        <f>'10_SUB''s_+_demandadas_2023'!H$14</f>
        <v>46</v>
      </c>
      <c r="O32" s="869">
        <f t="shared" si="14"/>
        <v>-29.230769230769234</v>
      </c>
    </row>
    <row r="33" spans="1:15" ht="15">
      <c r="A33" s="870">
        <v>45108</v>
      </c>
      <c r="B33" s="234">
        <f>'10_SUB''s_+_demandadas_2023'!G$11</f>
        <v>83</v>
      </c>
      <c r="C33" s="869">
        <f t="shared" si="11"/>
        <v>31.746031746031743</v>
      </c>
      <c r="E33" s="870">
        <v>45108</v>
      </c>
      <c r="F33" s="234">
        <f>'10_SUB''s_+_demandadas_2023'!G$12</f>
        <v>59</v>
      </c>
      <c r="G33" s="608">
        <f t="shared" si="12"/>
        <v>1.7241379310344827</v>
      </c>
      <c r="I33" s="870">
        <v>45108</v>
      </c>
      <c r="J33" s="234">
        <f>'10_SUB''s_+_demandadas_2023'!G$13</f>
        <v>51</v>
      </c>
      <c r="K33" s="869">
        <f t="shared" si="13"/>
        <v>-5.5555555555555554</v>
      </c>
      <c r="M33" s="870">
        <v>45108</v>
      </c>
      <c r="N33" s="234">
        <f>'10_SUB''s_+_demandadas_2023'!G$14</f>
        <v>50</v>
      </c>
      <c r="O33" s="869">
        <f t="shared" si="14"/>
        <v>8.695652173913043</v>
      </c>
    </row>
    <row r="34" spans="1:15" ht="15">
      <c r="A34" s="870">
        <v>45139</v>
      </c>
      <c r="B34" s="234">
        <f>'10_SUB''s_+_demandadas_2023'!F$11</f>
        <v>64</v>
      </c>
      <c r="C34" s="869">
        <f t="shared" ref="C34" si="15">((B34-B33)/B33)*100</f>
        <v>-22.891566265060241</v>
      </c>
      <c r="E34" s="870">
        <v>45139</v>
      </c>
      <c r="F34" s="234">
        <f>'10_SUB''s_+_demandadas_2023'!F$12</f>
        <v>53</v>
      </c>
      <c r="G34" s="608">
        <f t="shared" ref="G34" si="16">((F34-F33)/F33)*100</f>
        <v>-10.16949152542373</v>
      </c>
      <c r="I34" s="870">
        <v>45139</v>
      </c>
      <c r="J34" s="234">
        <f>'10_SUB''s_+_demandadas_2023'!F$13</f>
        <v>64</v>
      </c>
      <c r="K34" s="869">
        <f t="shared" ref="K34" si="17">((J34-J33)/J33)*100</f>
        <v>25.490196078431371</v>
      </c>
      <c r="M34" s="870">
        <v>45139</v>
      </c>
      <c r="N34" s="234">
        <f>'10_SUB''s_+_demandadas_2023'!F$14</f>
        <v>31</v>
      </c>
      <c r="O34" s="869">
        <f t="shared" ref="O34" si="18">((N34-N33)/N33)*100</f>
        <v>-38</v>
      </c>
    </row>
    <row r="35" spans="1:15" ht="15">
      <c r="A35" s="870">
        <v>45170</v>
      </c>
      <c r="B35" s="234">
        <f>'10_SUB''s_+_demandadas_2023'!E$11</f>
        <v>51</v>
      </c>
      <c r="C35" s="869">
        <f t="shared" ref="C35:C37" si="19">((B35-B34)/B34)*100</f>
        <v>-20.3125</v>
      </c>
      <c r="E35" s="870">
        <v>45170</v>
      </c>
      <c r="F35" s="234">
        <f>'10_SUB''s_+_demandadas_2023'!E$12</f>
        <v>50</v>
      </c>
      <c r="G35" s="608">
        <f t="shared" ref="G35:G37" si="20">((F35-F34)/F34)*100</f>
        <v>-5.6603773584905666</v>
      </c>
      <c r="I35" s="870">
        <v>45170</v>
      </c>
      <c r="J35" s="234">
        <f>'10_SUB''s_+_demandadas_2023'!E$13</f>
        <v>56</v>
      </c>
      <c r="K35" s="869">
        <f t="shared" ref="K35:K37" si="21">((J35-J34)/J34)*100</f>
        <v>-12.5</v>
      </c>
      <c r="M35" s="870">
        <v>45170</v>
      </c>
      <c r="N35" s="234">
        <f>'10_SUB''s_+_demandadas_2023'!E$14</f>
        <v>71</v>
      </c>
      <c r="O35" s="869">
        <f t="shared" ref="O35:O37" si="22">((N35-N34)/N34)*100</f>
        <v>129.03225806451613</v>
      </c>
    </row>
    <row r="36" spans="1:15" ht="15">
      <c r="A36" s="870">
        <v>45200</v>
      </c>
      <c r="B36" s="234">
        <f>'10_SUB''s_+_demandadas_2023'!D$11</f>
        <v>58</v>
      </c>
      <c r="C36" s="869">
        <f t="shared" si="19"/>
        <v>13.725490196078432</v>
      </c>
      <c r="E36" s="870">
        <v>45200</v>
      </c>
      <c r="F36" s="234">
        <f>'10_SUB''s_+_demandadas_2023'!D$12</f>
        <v>68</v>
      </c>
      <c r="G36" s="608">
        <f t="shared" si="20"/>
        <v>36</v>
      </c>
      <c r="I36" s="870">
        <v>45200</v>
      </c>
      <c r="J36" s="234">
        <f>'10_SUB''s_+_demandadas_2023'!D$13</f>
        <v>43</v>
      </c>
      <c r="K36" s="869">
        <f t="shared" si="21"/>
        <v>-23.214285714285715</v>
      </c>
      <c r="M36" s="870">
        <v>45200</v>
      </c>
      <c r="N36" s="234">
        <f>'10_SUB''s_+_demandadas_2023'!D$14</f>
        <v>64</v>
      </c>
      <c r="O36" s="869">
        <f t="shared" si="22"/>
        <v>-9.8591549295774641</v>
      </c>
    </row>
    <row r="37" spans="1:15" ht="15">
      <c r="A37" s="870">
        <v>45231</v>
      </c>
      <c r="B37" s="234">
        <f>'10_SUB''s_+_demandadas_2023'!C$11</f>
        <v>68</v>
      </c>
      <c r="C37" s="869">
        <f t="shared" si="19"/>
        <v>17.241379310344829</v>
      </c>
      <c r="E37" s="870">
        <v>45231</v>
      </c>
      <c r="F37" s="234">
        <f>'10_SUB''s_+_demandadas_2023'!C$12</f>
        <v>72</v>
      </c>
      <c r="G37" s="608">
        <f t="shared" si="20"/>
        <v>5.8823529411764701</v>
      </c>
      <c r="I37" s="870">
        <v>45231</v>
      </c>
      <c r="J37" s="234">
        <f>'10_SUB''s_+_demandadas_2023'!C$13</f>
        <v>49</v>
      </c>
      <c r="K37" s="869">
        <f t="shared" si="21"/>
        <v>13.953488372093023</v>
      </c>
      <c r="M37" s="870">
        <v>45231</v>
      </c>
      <c r="N37" s="234">
        <f>'10_SUB''s_+_demandadas_2023'!C$14</f>
        <v>56</v>
      </c>
      <c r="O37" s="869">
        <f t="shared" si="22"/>
        <v>-12.5</v>
      </c>
    </row>
    <row r="38" spans="1:15" ht="15.75" thickBot="1">
      <c r="A38" s="871">
        <v>45261</v>
      </c>
      <c r="B38" s="899">
        <f>'10_SUB''s_+_demandadas_2023'!B$11</f>
        <v>38</v>
      </c>
      <c r="C38" s="873">
        <f t="shared" ref="C38" si="23">((B38-B37)/B37)*100</f>
        <v>-44.117647058823529</v>
      </c>
      <c r="E38" s="871">
        <v>45261</v>
      </c>
      <c r="F38" s="899">
        <f>'10_SUB''s_+_demandadas_2023'!B$12</f>
        <v>65</v>
      </c>
      <c r="G38" s="609">
        <f t="shared" ref="G38" si="24">((F38-F37)/F37)*100</f>
        <v>-9.7222222222222232</v>
      </c>
      <c r="I38" s="871">
        <v>45261</v>
      </c>
      <c r="J38" s="899">
        <f>'10_SUB''s_+_demandadas_2023'!B$13</f>
        <v>30</v>
      </c>
      <c r="K38" s="873">
        <f t="shared" ref="K38" si="25">((J38-J37)/J37)*100</f>
        <v>-38.775510204081634</v>
      </c>
      <c r="M38" s="871">
        <v>45261</v>
      </c>
      <c r="N38" s="899">
        <f>'10_SUB''s_+_demandadas_2023'!B$14</f>
        <v>38</v>
      </c>
      <c r="O38" s="873">
        <f t="shared" ref="O38" si="26">((N38-N37)/N37)*100</f>
        <v>-32.142857142857146</v>
      </c>
    </row>
    <row r="40" spans="1:15" ht="15" thickBot="1"/>
    <row r="41" spans="1:15" ht="15.75" thickBot="1">
      <c r="A41" s="940" t="str">
        <f>'10_SUB''s_+_demandadas_2023'!A15</f>
        <v>Campo Limpo</v>
      </c>
      <c r="B41" s="941"/>
      <c r="C41" s="942"/>
      <c r="E41" s="940" t="str">
        <f>'10_SUB''s_+_demandadas_2023'!A16</f>
        <v>Santana/Tucuruvi</v>
      </c>
      <c r="F41" s="941"/>
      <c r="G41" s="942"/>
    </row>
    <row r="42" spans="1:15" ht="15.75" thickBot="1">
      <c r="A42" s="882" t="s">
        <v>2</v>
      </c>
      <c r="B42" s="5" t="s">
        <v>212</v>
      </c>
      <c r="C42" s="881" t="s">
        <v>213</v>
      </c>
      <c r="E42" s="882" t="s">
        <v>2</v>
      </c>
      <c r="F42" s="5" t="s">
        <v>212</v>
      </c>
      <c r="G42" s="881" t="s">
        <v>213</v>
      </c>
    </row>
    <row r="43" spans="1:15" ht="15">
      <c r="A43" s="868">
        <v>44927</v>
      </c>
      <c r="B43" s="137">
        <f>'10_SUB''s_+_demandadas_2023'!M15</f>
        <v>62</v>
      </c>
      <c r="C43" s="869">
        <f>((B43-51)/51)*100</f>
        <v>21.568627450980394</v>
      </c>
      <c r="E43" s="868">
        <v>44927</v>
      </c>
      <c r="F43" s="236">
        <f>'10_SUB''s_+_demandadas_2023'!M16</f>
        <v>42</v>
      </c>
      <c r="G43" s="869">
        <f>((F43-31)/31)*100</f>
        <v>35.483870967741936</v>
      </c>
    </row>
    <row r="44" spans="1:15" ht="15">
      <c r="A44" s="870">
        <v>44958</v>
      </c>
      <c r="B44" s="138">
        <f>'10_SUB''s_+_demandadas_2023'!L15</f>
        <v>48</v>
      </c>
      <c r="C44" s="869">
        <f t="shared" ref="C44:C49" si="27">((B44-B43)/B43)*100</f>
        <v>-22.58064516129032</v>
      </c>
      <c r="E44" s="870">
        <v>44958</v>
      </c>
      <c r="F44" s="237">
        <f>'10_SUB''s_+_demandadas_2023'!L16</f>
        <v>34</v>
      </c>
      <c r="G44" s="869">
        <f t="shared" ref="G44:G49" si="28">((F44-F43)/F43)*100</f>
        <v>-19.047619047619047</v>
      </c>
    </row>
    <row r="45" spans="1:15" ht="15">
      <c r="A45" s="870">
        <v>44986</v>
      </c>
      <c r="B45" s="138">
        <f>'10_SUB''s_+_demandadas_2023'!$K$15</f>
        <v>36</v>
      </c>
      <c r="C45" s="869">
        <f t="shared" si="27"/>
        <v>-25</v>
      </c>
      <c r="E45" s="870">
        <v>44986</v>
      </c>
      <c r="F45" s="238">
        <f>'10_SUB''s_+_demandadas_2023'!$K$16</f>
        <v>57</v>
      </c>
      <c r="G45" s="869">
        <f t="shared" si="28"/>
        <v>67.64705882352942</v>
      </c>
    </row>
    <row r="46" spans="1:15" ht="15">
      <c r="A46" s="870">
        <v>45017</v>
      </c>
      <c r="B46" s="138">
        <f>'10_SUB''s_+_demandadas_2023'!J$15</f>
        <v>40</v>
      </c>
      <c r="C46" s="869">
        <f t="shared" si="27"/>
        <v>11.111111111111111</v>
      </c>
      <c r="E46" s="870">
        <v>45017</v>
      </c>
      <c r="F46" s="234">
        <f>'10_SUB''s_+_demandadas_2023'!J$16</f>
        <v>46</v>
      </c>
      <c r="G46" s="869">
        <f t="shared" si="28"/>
        <v>-19.298245614035086</v>
      </c>
    </row>
    <row r="47" spans="1:15" ht="15">
      <c r="A47" s="870">
        <v>45047</v>
      </c>
      <c r="B47" s="138">
        <f>'10_SUB''s_+_demandadas_2023'!I$15</f>
        <v>47</v>
      </c>
      <c r="C47" s="869">
        <f t="shared" si="27"/>
        <v>17.5</v>
      </c>
      <c r="E47" s="870">
        <v>45047</v>
      </c>
      <c r="F47" s="234">
        <f>'10_SUB''s_+_demandadas_2023'!I$16</f>
        <v>53</v>
      </c>
      <c r="G47" s="869">
        <f t="shared" si="28"/>
        <v>15.217391304347828</v>
      </c>
    </row>
    <row r="48" spans="1:15" ht="15">
      <c r="A48" s="870">
        <v>45078</v>
      </c>
      <c r="B48" s="138">
        <f>'10_SUB''s_+_demandadas_2023'!H$15</f>
        <v>41</v>
      </c>
      <c r="C48" s="869">
        <f t="shared" si="27"/>
        <v>-12.76595744680851</v>
      </c>
      <c r="E48" s="870">
        <v>45078</v>
      </c>
      <c r="F48" s="234">
        <f>'10_SUB''s_+_demandadas_2023'!H$16</f>
        <v>43</v>
      </c>
      <c r="G48" s="869">
        <f t="shared" si="28"/>
        <v>-18.867924528301888</v>
      </c>
    </row>
    <row r="49" spans="1:11" ht="15">
      <c r="A49" s="870">
        <v>45108</v>
      </c>
      <c r="B49" s="138">
        <f>'10_SUB''s_+_demandadas_2023'!G$15</f>
        <v>94</v>
      </c>
      <c r="C49" s="869">
        <f t="shared" si="27"/>
        <v>129.26829268292684</v>
      </c>
      <c r="E49" s="870">
        <v>45108</v>
      </c>
      <c r="F49" s="234">
        <f>'10_SUB''s_+_demandadas_2023'!G$16</f>
        <v>65</v>
      </c>
      <c r="G49" s="869">
        <f t="shared" si="28"/>
        <v>51.162790697674424</v>
      </c>
    </row>
    <row r="50" spans="1:11" ht="15">
      <c r="A50" s="870">
        <v>45139</v>
      </c>
      <c r="B50" s="138">
        <f>'10_SUB''s_+_demandadas_2023'!F$15</f>
        <v>43</v>
      </c>
      <c r="C50" s="869">
        <f t="shared" ref="C50" si="29">((B50-B49)/B49)*100</f>
        <v>-54.255319148936167</v>
      </c>
      <c r="E50" s="870">
        <v>45139</v>
      </c>
      <c r="F50" s="234">
        <f>'10_SUB''s_+_demandadas_2023'!F$16</f>
        <v>59</v>
      </c>
      <c r="G50" s="869">
        <f t="shared" ref="G50" si="30">((F50-F49)/F49)*100</f>
        <v>-9.2307692307692317</v>
      </c>
    </row>
    <row r="51" spans="1:11" ht="15">
      <c r="A51" s="870">
        <v>45170</v>
      </c>
      <c r="B51" s="138">
        <f>'10_SUB''s_+_demandadas_2023'!E$15</f>
        <v>37</v>
      </c>
      <c r="C51" s="869">
        <f t="shared" ref="C51:C53" si="31">((B51-B50)/B50)*100</f>
        <v>-13.953488372093023</v>
      </c>
      <c r="E51" s="870">
        <v>45170</v>
      </c>
      <c r="F51" s="234">
        <f>'10_SUB''s_+_demandadas_2023'!E$16</f>
        <v>48</v>
      </c>
      <c r="G51" s="869">
        <f t="shared" ref="G51:G53" si="32">((F51-F50)/F50)*100</f>
        <v>-18.64406779661017</v>
      </c>
    </row>
    <row r="52" spans="1:11" ht="15">
      <c r="A52" s="870">
        <v>45200</v>
      </c>
      <c r="B52" s="138">
        <f>'10_SUB''s_+_demandadas_2023'!D$15</f>
        <v>40</v>
      </c>
      <c r="C52" s="869">
        <f t="shared" si="31"/>
        <v>8.1081081081081088</v>
      </c>
      <c r="E52" s="870">
        <v>45200</v>
      </c>
      <c r="F52" s="234">
        <f>'10_SUB''s_+_demandadas_2023'!D$16</f>
        <v>49</v>
      </c>
      <c r="G52" s="869">
        <f t="shared" si="32"/>
        <v>2.083333333333333</v>
      </c>
    </row>
    <row r="53" spans="1:11" ht="15">
      <c r="A53" s="870">
        <v>45231</v>
      </c>
      <c r="B53" s="138">
        <f>'10_SUB''s_+_demandadas_2023'!C$15</f>
        <v>64</v>
      </c>
      <c r="C53" s="869">
        <f t="shared" si="31"/>
        <v>60</v>
      </c>
      <c r="E53" s="870">
        <v>45231</v>
      </c>
      <c r="F53" s="234">
        <f>'10_SUB''s_+_demandadas_2023'!C$16</f>
        <v>44</v>
      </c>
      <c r="G53" s="869">
        <f t="shared" si="32"/>
        <v>-10.204081632653061</v>
      </c>
    </row>
    <row r="54" spans="1:11" ht="15.75" thickBot="1">
      <c r="A54" s="871">
        <v>45261</v>
      </c>
      <c r="B54" s="872">
        <f>'10_SUB''s_+_demandadas_2023'!B$15</f>
        <v>28</v>
      </c>
      <c r="C54" s="873">
        <f t="shared" ref="C54" si="33">((B54-B53)/B53)*100</f>
        <v>-56.25</v>
      </c>
      <c r="E54" s="871">
        <v>45261</v>
      </c>
      <c r="F54" s="899">
        <f>'10_SUB''s_+_demandadas_2023'!B$16</f>
        <v>39</v>
      </c>
      <c r="G54" s="873">
        <f t="shared" ref="G54" si="34">((F54-F53)/F53)*100</f>
        <v>-11.363636363636363</v>
      </c>
    </row>
    <row r="56" spans="1:11">
      <c r="B56" s="13"/>
      <c r="C56" s="13"/>
    </row>
    <row r="57" spans="1:11" ht="15">
      <c r="A57" s="924"/>
      <c r="B57" s="924"/>
      <c r="C57" s="924"/>
      <c r="D57" s="924"/>
      <c r="F57" s="924"/>
      <c r="G57" s="924"/>
      <c r="H57" s="924"/>
      <c r="I57" s="924"/>
      <c r="J57" s="924"/>
      <c r="K57" s="239"/>
    </row>
    <row r="58" spans="1:11">
      <c r="A58" s="239"/>
      <c r="B58" s="13"/>
      <c r="C58" s="13"/>
    </row>
    <row r="59" spans="1:11" ht="15">
      <c r="B59" s="13"/>
      <c r="C59" s="13"/>
      <c r="F59" s="924"/>
      <c r="G59" s="924"/>
      <c r="H59" s="924"/>
      <c r="I59" s="924"/>
      <c r="J59" s="924"/>
      <c r="K59" s="924"/>
    </row>
    <row r="60" spans="1:11">
      <c r="B60" s="13"/>
      <c r="C60" s="13"/>
    </row>
    <row r="61" spans="1:11" ht="15">
      <c r="A61" s="924"/>
      <c r="B61" s="924"/>
      <c r="C61" s="924"/>
      <c r="D61" s="924"/>
    </row>
    <row r="102" ht="57" customHeight="1"/>
    <row r="104" ht="81" customHeight="1"/>
    <row r="106" ht="85.5" customHeight="1"/>
    <row r="108" ht="56.25" customHeight="1"/>
  </sheetData>
  <mergeCells count="14">
    <mergeCell ref="A61:D61"/>
    <mergeCell ref="A9:C9"/>
    <mergeCell ref="E9:G9"/>
    <mergeCell ref="I9:K9"/>
    <mergeCell ref="M9:O9"/>
    <mergeCell ref="A25:C25"/>
    <mergeCell ref="E25:G25"/>
    <mergeCell ref="I25:K25"/>
    <mergeCell ref="M25:O25"/>
    <mergeCell ref="A41:C41"/>
    <mergeCell ref="E41:G41"/>
    <mergeCell ref="A57:D57"/>
    <mergeCell ref="F57:J57"/>
    <mergeCell ref="F59:K5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B19" sqref="B19"/>
    </sheetView>
  </sheetViews>
  <sheetFormatPr defaultRowHeight="15"/>
  <cols>
    <col min="1" max="1" width="27" customWidth="1"/>
    <col min="2" max="2" width="10.7109375" style="130" bestFit="1" customWidth="1"/>
    <col min="3" max="8" width="9.140625" customWidth="1"/>
    <col min="9" max="9" width="53.5703125" bestFit="1" customWidth="1"/>
    <col min="10" max="10" width="9.140625" customWidth="1"/>
  </cols>
  <sheetData>
    <row r="1" spans="1:9">
      <c r="A1" s="110" t="s">
        <v>0</v>
      </c>
    </row>
    <row r="2" spans="1:9">
      <c r="A2" s="1" t="s">
        <v>1</v>
      </c>
    </row>
    <row r="3" spans="1:9" ht="15.75" thickBot="1"/>
    <row r="4" spans="1:9" ht="15" customHeight="1" thickBot="1">
      <c r="A4" s="829" t="s">
        <v>206</v>
      </c>
      <c r="B4" s="830">
        <v>45261</v>
      </c>
      <c r="C4" s="240"/>
      <c r="I4" s="13"/>
    </row>
    <row r="5" spans="1:9">
      <c r="A5" s="167" t="s">
        <v>302</v>
      </c>
      <c r="B5" s="33">
        <v>67</v>
      </c>
      <c r="C5" s="114"/>
    </row>
    <row r="6" spans="1:9">
      <c r="A6" s="172" t="s">
        <v>317</v>
      </c>
      <c r="B6" s="43">
        <v>65</v>
      </c>
      <c r="C6" s="114"/>
    </row>
    <row r="7" spans="1:9">
      <c r="A7" s="172" t="s">
        <v>304</v>
      </c>
      <c r="B7" s="43">
        <v>54</v>
      </c>
      <c r="C7" s="114"/>
    </row>
    <row r="8" spans="1:9">
      <c r="A8" s="172" t="s">
        <v>315</v>
      </c>
      <c r="B8" s="43">
        <v>54</v>
      </c>
      <c r="C8" s="114"/>
    </row>
    <row r="9" spans="1:9">
      <c r="A9" s="172" t="s">
        <v>309</v>
      </c>
      <c r="B9" s="43">
        <v>48</v>
      </c>
      <c r="C9" s="114"/>
    </row>
    <row r="10" spans="1:9">
      <c r="A10" s="172" t="s">
        <v>306</v>
      </c>
      <c r="B10" s="43">
        <v>43</v>
      </c>
      <c r="C10" s="114"/>
    </row>
    <row r="11" spans="1:9">
      <c r="A11" s="172" t="s">
        <v>297</v>
      </c>
      <c r="B11" s="43">
        <v>42</v>
      </c>
      <c r="C11" s="114"/>
    </row>
    <row r="12" spans="1:9">
      <c r="A12" s="172" t="s">
        <v>299</v>
      </c>
      <c r="B12" s="43">
        <v>41</v>
      </c>
      <c r="C12" s="114"/>
    </row>
    <row r="13" spans="1:9">
      <c r="A13" s="172" t="s">
        <v>312</v>
      </c>
      <c r="B13" s="43">
        <v>40</v>
      </c>
      <c r="C13" s="114"/>
    </row>
    <row r="14" spans="1:9">
      <c r="A14" s="172" t="s">
        <v>310</v>
      </c>
      <c r="B14" s="43">
        <v>39</v>
      </c>
      <c r="C14" s="114"/>
    </row>
    <row r="15" spans="1:9">
      <c r="A15" s="172" t="s">
        <v>308</v>
      </c>
      <c r="B15" s="43">
        <v>38</v>
      </c>
      <c r="C15" s="729"/>
    </row>
    <row r="16" spans="1:9">
      <c r="A16" s="172" t="s">
        <v>311</v>
      </c>
      <c r="B16" s="43">
        <v>38</v>
      </c>
      <c r="C16" s="114"/>
    </row>
    <row r="17" spans="1:3">
      <c r="A17" s="172" t="s">
        <v>291</v>
      </c>
      <c r="B17" s="43">
        <v>34</v>
      </c>
      <c r="C17" s="114"/>
    </row>
    <row r="18" spans="1:3">
      <c r="A18" s="172" t="s">
        <v>298</v>
      </c>
      <c r="B18" s="43">
        <v>30</v>
      </c>
      <c r="C18" s="114"/>
    </row>
    <row r="19" spans="1:3">
      <c r="A19" s="172" t="s">
        <v>288</v>
      </c>
      <c r="B19" s="43">
        <v>30</v>
      </c>
      <c r="C19" s="114"/>
    </row>
    <row r="20" spans="1:3">
      <c r="A20" s="172" t="s">
        <v>289</v>
      </c>
      <c r="B20" s="43">
        <v>28</v>
      </c>
      <c r="C20" s="114"/>
    </row>
    <row r="21" spans="1:3">
      <c r="A21" s="172" t="s">
        <v>290</v>
      </c>
      <c r="B21" s="43">
        <v>28</v>
      </c>
      <c r="C21" s="114"/>
    </row>
    <row r="22" spans="1:3">
      <c r="A22" s="172" t="s">
        <v>287</v>
      </c>
      <c r="B22" s="43">
        <v>27</v>
      </c>
      <c r="C22" s="114"/>
    </row>
    <row r="23" spans="1:3">
      <c r="A23" s="172" t="s">
        <v>314</v>
      </c>
      <c r="B23" s="43">
        <v>26</v>
      </c>
      <c r="C23" s="114"/>
    </row>
    <row r="24" spans="1:3">
      <c r="A24" s="172" t="s">
        <v>316</v>
      </c>
      <c r="B24" s="43">
        <v>26</v>
      </c>
      <c r="C24" s="114"/>
    </row>
    <row r="25" spans="1:3">
      <c r="A25" s="172" t="s">
        <v>300</v>
      </c>
      <c r="B25" s="43">
        <v>24</v>
      </c>
      <c r="C25" s="114"/>
    </row>
    <row r="26" spans="1:3">
      <c r="A26" s="172" t="s">
        <v>292</v>
      </c>
      <c r="B26" s="43">
        <v>19</v>
      </c>
      <c r="C26" s="114"/>
    </row>
    <row r="27" spans="1:3">
      <c r="A27" s="172" t="s">
        <v>301</v>
      </c>
      <c r="B27" s="43">
        <v>18</v>
      </c>
      <c r="C27" s="114"/>
    </row>
    <row r="28" spans="1:3">
      <c r="A28" s="172" t="s">
        <v>295</v>
      </c>
      <c r="B28" s="43">
        <v>17</v>
      </c>
      <c r="C28" s="114"/>
    </row>
    <row r="29" spans="1:3">
      <c r="A29" s="172" t="s">
        <v>303</v>
      </c>
      <c r="B29" s="43">
        <v>17</v>
      </c>
      <c r="C29" s="114"/>
    </row>
    <row r="30" spans="1:3">
      <c r="A30" s="172" t="s">
        <v>318</v>
      </c>
      <c r="B30" s="43">
        <v>16</v>
      </c>
      <c r="C30" s="114"/>
    </row>
    <row r="31" spans="1:3">
      <c r="A31" s="172" t="s">
        <v>294</v>
      </c>
      <c r="B31" s="43">
        <v>9</v>
      </c>
      <c r="C31" s="114"/>
    </row>
    <row r="32" spans="1:3">
      <c r="A32" s="172" t="s">
        <v>313</v>
      </c>
      <c r="B32" s="43">
        <v>9</v>
      </c>
      <c r="C32" s="114"/>
    </row>
    <row r="33" spans="1:9">
      <c r="A33" s="172" t="s">
        <v>296</v>
      </c>
      <c r="B33" s="43">
        <v>8</v>
      </c>
      <c r="C33" s="114"/>
    </row>
    <row r="34" spans="1:9">
      <c r="A34" s="172" t="s">
        <v>293</v>
      </c>
      <c r="B34" s="43">
        <v>7</v>
      </c>
      <c r="C34" s="114"/>
    </row>
    <row r="35" spans="1:9">
      <c r="A35" s="172" t="s">
        <v>307</v>
      </c>
      <c r="B35" s="43">
        <v>4</v>
      </c>
      <c r="C35" s="114"/>
    </row>
    <row r="36" spans="1:9" ht="15.75" thickBot="1">
      <c r="A36" s="176" t="s">
        <v>305</v>
      </c>
      <c r="B36" s="50">
        <v>1</v>
      </c>
      <c r="C36" s="114"/>
    </row>
    <row r="37" spans="1:9" ht="15.75" thickBot="1">
      <c r="A37" s="831" t="s">
        <v>321</v>
      </c>
      <c r="B37" s="832">
        <f>SUM(B5:B36)</f>
        <v>947</v>
      </c>
      <c r="C37" s="157"/>
      <c r="I37" s="13"/>
    </row>
    <row r="38" spans="1:9">
      <c r="I38" s="13"/>
    </row>
    <row r="39" spans="1:9">
      <c r="I39" s="13"/>
    </row>
    <row r="40" spans="1:9">
      <c r="I40" s="13"/>
    </row>
  </sheetData>
  <pageMargins left="0.511811024" right="0.511811024" top="0.78740157500000008" bottom="0.78740157500000008" header="0.31496062000000008" footer="0.31496062000000008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zoomScaleNormal="100" workbookViewId="0"/>
  </sheetViews>
  <sheetFormatPr defaultRowHeight="15"/>
  <cols>
    <col min="1" max="1" width="15.42578125" customWidth="1"/>
    <col min="2" max="2" width="10.5703125" customWidth="1"/>
    <col min="3" max="3" width="10.28515625" customWidth="1"/>
    <col min="4" max="4" width="9.5703125" customWidth="1"/>
    <col min="5" max="5" width="7.7109375" bestFit="1" customWidth="1"/>
    <col min="6" max="6" width="11" customWidth="1"/>
    <col min="7" max="7" width="10.28515625" customWidth="1"/>
    <col min="8" max="8" width="6.42578125" bestFit="1" customWidth="1"/>
    <col min="9" max="9" width="7" bestFit="1" customWidth="1"/>
    <col min="10" max="10" width="6.5703125" bestFit="1" customWidth="1"/>
    <col min="11" max="11" width="7.140625" bestFit="1" customWidth="1"/>
    <col min="12" max="12" width="6.28515625" bestFit="1" customWidth="1"/>
    <col min="13" max="13" width="6.42578125" bestFit="1" customWidth="1"/>
    <col min="14" max="14" width="5.5703125" bestFit="1" customWidth="1"/>
    <col min="15" max="15" width="7.7109375" bestFit="1" customWidth="1"/>
    <col min="16" max="16" width="9.85546875" customWidth="1"/>
    <col min="17" max="17" width="8.140625" bestFit="1" customWidth="1"/>
    <col min="18" max="18" width="9.140625" customWidth="1"/>
  </cols>
  <sheetData>
    <row r="1" spans="1:18">
      <c r="A1" s="110" t="s">
        <v>0</v>
      </c>
      <c r="I1" s="649"/>
      <c r="J1" s="649"/>
      <c r="K1" s="649"/>
      <c r="L1" s="649"/>
      <c r="M1" s="649"/>
      <c r="N1" s="649"/>
      <c r="O1" s="649"/>
      <c r="P1" s="649"/>
      <c r="Q1" s="649"/>
    </row>
    <row r="2" spans="1:18">
      <c r="A2" s="1" t="s">
        <v>1</v>
      </c>
      <c r="I2" s="649"/>
      <c r="J2" s="649"/>
      <c r="K2" s="649"/>
      <c r="L2" s="649"/>
      <c r="M2" s="649"/>
      <c r="N2" s="649"/>
      <c r="O2" s="649"/>
      <c r="P2" s="649"/>
      <c r="Q2" s="649"/>
    </row>
    <row r="3" spans="1:18" ht="15.75" thickBot="1">
      <c r="I3" s="649"/>
      <c r="J3" s="649"/>
      <c r="K3" s="649"/>
      <c r="L3" s="649"/>
      <c r="M3" s="649"/>
      <c r="N3" s="649"/>
      <c r="O3" s="649"/>
      <c r="P3" s="649"/>
      <c r="Q3" s="649"/>
    </row>
    <row r="4" spans="1:18" ht="46.5" customHeight="1" thickBot="1">
      <c r="A4" s="241" t="s">
        <v>3</v>
      </c>
      <c r="B4" s="242">
        <v>45261</v>
      </c>
      <c r="C4" s="242">
        <v>45231</v>
      </c>
      <c r="D4" s="242">
        <v>45200</v>
      </c>
      <c r="E4" s="242">
        <v>45170</v>
      </c>
      <c r="F4" s="242">
        <v>45139</v>
      </c>
      <c r="G4" s="242">
        <v>45108</v>
      </c>
      <c r="H4" s="242">
        <v>45078</v>
      </c>
      <c r="I4" s="243">
        <v>45047</v>
      </c>
      <c r="J4" s="242">
        <v>45017</v>
      </c>
      <c r="K4" s="244">
        <v>44986</v>
      </c>
      <c r="L4" s="245">
        <v>44958</v>
      </c>
      <c r="M4" s="245">
        <v>44927</v>
      </c>
      <c r="N4" s="245" t="s">
        <v>5</v>
      </c>
      <c r="O4" s="246" t="s">
        <v>322</v>
      </c>
      <c r="P4" s="247" t="s">
        <v>502</v>
      </c>
      <c r="Q4" s="248" t="s">
        <v>323</v>
      </c>
    </row>
    <row r="5" spans="1:18" ht="15.75" thickBot="1">
      <c r="A5" s="249" t="s">
        <v>324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1"/>
      <c r="N5" s="252"/>
      <c r="O5" s="253"/>
      <c r="P5" s="254"/>
      <c r="Q5" s="255"/>
    </row>
    <row r="6" spans="1:18" ht="15.75" thickBot="1">
      <c r="A6" s="256" t="s">
        <v>325</v>
      </c>
      <c r="B6" s="257">
        <v>161</v>
      </c>
      <c r="C6" s="258">
        <v>134</v>
      </c>
      <c r="D6" s="258">
        <v>93</v>
      </c>
      <c r="E6" s="258">
        <v>74</v>
      </c>
      <c r="F6" s="258">
        <v>99</v>
      </c>
      <c r="G6" s="258">
        <v>113</v>
      </c>
      <c r="H6" s="258">
        <v>111</v>
      </c>
      <c r="I6" s="258">
        <v>58</v>
      </c>
      <c r="J6" s="258">
        <v>49</v>
      </c>
      <c r="K6" s="258">
        <v>71</v>
      </c>
      <c r="L6" s="258">
        <v>40</v>
      </c>
      <c r="M6" s="259">
        <v>38</v>
      </c>
      <c r="N6" s="260">
        <f>SUM(B6:M6)</f>
        <v>1041</v>
      </c>
      <c r="O6" s="261">
        <f>AVERAGE(B6:M6)</f>
        <v>86.75</v>
      </c>
      <c r="P6" s="262">
        <f>(B6/B$9)*100</f>
        <v>69.098712446351925</v>
      </c>
      <c r="Q6" s="262">
        <f>(N6/N$15)*100</f>
        <v>27.893890675241156</v>
      </c>
    </row>
    <row r="7" spans="1:18">
      <c r="A7" s="263" t="s">
        <v>326</v>
      </c>
      <c r="B7" s="264">
        <v>72</v>
      </c>
      <c r="C7" s="265">
        <v>54</v>
      </c>
      <c r="D7" s="265">
        <v>107</v>
      </c>
      <c r="E7" s="265">
        <v>119</v>
      </c>
      <c r="F7" s="265">
        <v>88</v>
      </c>
      <c r="G7" s="265">
        <v>80</v>
      </c>
      <c r="H7" s="265">
        <v>126</v>
      </c>
      <c r="I7" s="265">
        <v>112</v>
      </c>
      <c r="J7" s="265">
        <v>80</v>
      </c>
      <c r="K7" s="265">
        <v>91</v>
      </c>
      <c r="L7" s="265">
        <v>61</v>
      </c>
      <c r="M7" s="266">
        <v>100</v>
      </c>
      <c r="N7" s="267">
        <f>SUM(B7:M7)</f>
        <v>1090</v>
      </c>
      <c r="O7" s="268">
        <f>AVERAGE(B7:M7)</f>
        <v>90.833333333333329</v>
      </c>
      <c r="P7" s="262">
        <f>(B7/B$9)*100</f>
        <v>30.901287553648071</v>
      </c>
      <c r="Q7" s="269">
        <f>(N7/N$15)*100</f>
        <v>29.20685959271168</v>
      </c>
    </row>
    <row r="8" spans="1:18" ht="15.75" thickBot="1">
      <c r="A8" s="270" t="s">
        <v>327</v>
      </c>
      <c r="B8" s="271">
        <v>2</v>
      </c>
      <c r="C8" s="272">
        <v>1</v>
      </c>
      <c r="D8" s="272">
        <v>3</v>
      </c>
      <c r="E8" s="272">
        <v>2</v>
      </c>
      <c r="F8" s="272">
        <v>2</v>
      </c>
      <c r="G8" s="272">
        <v>1</v>
      </c>
      <c r="H8" s="272">
        <v>2</v>
      </c>
      <c r="I8" s="272">
        <v>4</v>
      </c>
      <c r="J8" s="272">
        <v>0</v>
      </c>
      <c r="K8" s="272">
        <v>2</v>
      </c>
      <c r="L8" s="272">
        <v>1</v>
      </c>
      <c r="M8" s="273">
        <v>1</v>
      </c>
      <c r="N8" s="274">
        <f>SUM(B8:M8)</f>
        <v>21</v>
      </c>
      <c r="O8" s="275">
        <f>AVERAGE(B8:M8)</f>
        <v>1.75</v>
      </c>
      <c r="P8" s="276"/>
      <c r="Q8" s="269">
        <f>(N8/N$15)*100</f>
        <v>0.56270096463022512</v>
      </c>
    </row>
    <row r="9" spans="1:18" ht="24.75" customHeight="1" thickBot="1">
      <c r="A9" s="277" t="s">
        <v>328</v>
      </c>
      <c r="B9" s="278">
        <f t="shared" ref="B9:N9" si="0">SUM(B6:B7)</f>
        <v>233</v>
      </c>
      <c r="C9" s="278">
        <f t="shared" si="0"/>
        <v>188</v>
      </c>
      <c r="D9" s="278">
        <f t="shared" si="0"/>
        <v>200</v>
      </c>
      <c r="E9" s="278">
        <f t="shared" si="0"/>
        <v>193</v>
      </c>
      <c r="F9" s="278">
        <f t="shared" si="0"/>
        <v>187</v>
      </c>
      <c r="G9" s="278">
        <f t="shared" si="0"/>
        <v>193</v>
      </c>
      <c r="H9" s="278">
        <f t="shared" si="0"/>
        <v>237</v>
      </c>
      <c r="I9" s="278">
        <f t="shared" si="0"/>
        <v>170</v>
      </c>
      <c r="J9" s="278">
        <f t="shared" si="0"/>
        <v>129</v>
      </c>
      <c r="K9" s="278">
        <f t="shared" si="0"/>
        <v>162</v>
      </c>
      <c r="L9" s="278">
        <f t="shared" si="0"/>
        <v>101</v>
      </c>
      <c r="M9" s="279">
        <f t="shared" si="0"/>
        <v>138</v>
      </c>
      <c r="N9" s="280">
        <f t="shared" si="0"/>
        <v>2131</v>
      </c>
      <c r="O9" s="281">
        <f>AVERAGE(B9:M9)</f>
        <v>177.58333333333334</v>
      </c>
      <c r="P9" s="282">
        <f>SUM(P6:P7)</f>
        <v>100</v>
      </c>
      <c r="Q9" s="283"/>
    </row>
    <row r="10" spans="1:18" ht="15.75" thickBot="1">
      <c r="A10" s="284" t="s">
        <v>330</v>
      </c>
      <c r="B10" s="285">
        <f>SUM(B6:B8)</f>
        <v>235</v>
      </c>
      <c r="C10" s="285">
        <f t="shared" ref="C10:N10" si="1">SUM(C6:C8)</f>
        <v>189</v>
      </c>
      <c r="D10" s="285">
        <f t="shared" si="1"/>
        <v>203</v>
      </c>
      <c r="E10" s="285">
        <f t="shared" si="1"/>
        <v>195</v>
      </c>
      <c r="F10" s="285">
        <f t="shared" si="1"/>
        <v>189</v>
      </c>
      <c r="G10" s="285">
        <f t="shared" si="1"/>
        <v>194</v>
      </c>
      <c r="H10" s="285">
        <f t="shared" si="1"/>
        <v>239</v>
      </c>
      <c r="I10" s="285">
        <f t="shared" si="1"/>
        <v>174</v>
      </c>
      <c r="J10" s="285">
        <f t="shared" si="1"/>
        <v>129</v>
      </c>
      <c r="K10" s="285">
        <f t="shared" si="1"/>
        <v>164</v>
      </c>
      <c r="L10" s="285">
        <f t="shared" si="1"/>
        <v>102</v>
      </c>
      <c r="M10" s="285">
        <f t="shared" si="1"/>
        <v>139</v>
      </c>
      <c r="N10" s="286">
        <f t="shared" si="1"/>
        <v>2152</v>
      </c>
      <c r="O10" s="287">
        <f>AVERAGE(B10:M10)</f>
        <v>179.33333333333334</v>
      </c>
      <c r="P10" s="288"/>
      <c r="Q10" s="269">
        <f>SUM(Q6:Q8)</f>
        <v>57.663451232583057</v>
      </c>
    </row>
    <row r="11" spans="1:18" ht="15.75" thickBot="1">
      <c r="A11" s="289"/>
      <c r="B11" s="290"/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1"/>
      <c r="N11" s="292"/>
      <c r="O11" s="293"/>
      <c r="P11" s="294"/>
      <c r="Q11" s="295"/>
    </row>
    <row r="12" spans="1:18" ht="15.75" thickBot="1">
      <c r="A12" s="296" t="s">
        <v>331</v>
      </c>
      <c r="B12" s="297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1"/>
      <c r="N12" s="298"/>
      <c r="O12" s="299"/>
      <c r="P12" s="300"/>
      <c r="Q12" s="301"/>
    </row>
    <row r="13" spans="1:18" ht="15.75" thickBot="1">
      <c r="A13" s="302" t="s">
        <v>331</v>
      </c>
      <c r="B13" s="303">
        <v>74</v>
      </c>
      <c r="C13" s="304">
        <v>125</v>
      </c>
      <c r="D13" s="304">
        <v>161</v>
      </c>
      <c r="E13" s="304">
        <v>151</v>
      </c>
      <c r="F13" s="304">
        <v>181</v>
      </c>
      <c r="G13" s="304">
        <v>165</v>
      </c>
      <c r="H13" s="304">
        <v>108</v>
      </c>
      <c r="I13" s="304">
        <v>91</v>
      </c>
      <c r="J13" s="304">
        <v>120</v>
      </c>
      <c r="K13" s="304">
        <v>149</v>
      </c>
      <c r="L13" s="304">
        <v>143</v>
      </c>
      <c r="M13" s="305">
        <v>112</v>
      </c>
      <c r="N13" s="306">
        <f>SUM(B13:M13)</f>
        <v>1580</v>
      </c>
      <c r="O13" s="307">
        <f>AVERAGE(B13:M13)</f>
        <v>131.66666666666666</v>
      </c>
      <c r="P13" s="308"/>
      <c r="Q13" s="269">
        <f>(N13/N$15)*100</f>
        <v>42.336548767416936</v>
      </c>
    </row>
    <row r="14" spans="1:18" ht="15.75" thickBot="1">
      <c r="A14" s="289"/>
      <c r="B14" s="290"/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1"/>
      <c r="N14" s="309"/>
      <c r="O14" s="310"/>
      <c r="P14" s="311"/>
      <c r="Q14" s="312"/>
    </row>
    <row r="15" spans="1:18" ht="15.75" thickBot="1">
      <c r="A15" s="284" t="s">
        <v>15</v>
      </c>
      <c r="B15" s="313">
        <f t="shared" ref="B15:N15" si="2">B10+B13</f>
        <v>309</v>
      </c>
      <c r="C15" s="313">
        <f t="shared" si="2"/>
        <v>314</v>
      </c>
      <c r="D15" s="313">
        <f t="shared" si="2"/>
        <v>364</v>
      </c>
      <c r="E15" s="313">
        <f t="shared" si="2"/>
        <v>346</v>
      </c>
      <c r="F15" s="313">
        <f t="shared" si="2"/>
        <v>370</v>
      </c>
      <c r="G15" s="313">
        <f t="shared" si="2"/>
        <v>359</v>
      </c>
      <c r="H15" s="313">
        <f t="shared" si="2"/>
        <v>347</v>
      </c>
      <c r="I15" s="313">
        <f t="shared" si="2"/>
        <v>265</v>
      </c>
      <c r="J15" s="313">
        <f t="shared" si="2"/>
        <v>249</v>
      </c>
      <c r="K15" s="313">
        <f t="shared" si="2"/>
        <v>313</v>
      </c>
      <c r="L15" s="313">
        <f t="shared" si="2"/>
        <v>245</v>
      </c>
      <c r="M15" s="313">
        <f t="shared" si="2"/>
        <v>251</v>
      </c>
      <c r="N15" s="313">
        <f t="shared" si="2"/>
        <v>3732</v>
      </c>
      <c r="O15" s="314">
        <f>AVERAGE(B15:M15)</f>
        <v>311</v>
      </c>
      <c r="P15" s="288"/>
      <c r="Q15" s="315">
        <f>SUM(Q10:Q13)</f>
        <v>100</v>
      </c>
      <c r="R15" s="16"/>
    </row>
    <row r="16" spans="1:18" ht="15.75" thickBot="1"/>
    <row r="17" spans="1:7" ht="15.75" thickBot="1">
      <c r="A17" s="946" t="s">
        <v>332</v>
      </c>
      <c r="B17" s="946"/>
      <c r="C17" s="946"/>
      <c r="D17" s="316"/>
      <c r="E17" s="946" t="s">
        <v>331</v>
      </c>
      <c r="F17" s="946"/>
      <c r="G17" s="946"/>
    </row>
    <row r="18" spans="1:7" ht="15.75" thickBot="1">
      <c r="A18" s="317" t="s">
        <v>2</v>
      </c>
      <c r="B18" s="318" t="s">
        <v>212</v>
      </c>
      <c r="C18" s="318" t="s">
        <v>213</v>
      </c>
      <c r="D18" s="316"/>
      <c r="E18" s="317" t="s">
        <v>2</v>
      </c>
      <c r="F18" s="318" t="s">
        <v>212</v>
      </c>
      <c r="G18" s="318" t="s">
        <v>213</v>
      </c>
    </row>
    <row r="19" spans="1:7">
      <c r="A19" s="319">
        <v>44927</v>
      </c>
      <c r="B19" s="320">
        <f>M9</f>
        <v>138</v>
      </c>
      <c r="C19" s="321">
        <f>((B19-81)/81)*100</f>
        <v>70.370370370370367</v>
      </c>
      <c r="D19" s="316"/>
      <c r="E19" s="319">
        <v>44927</v>
      </c>
      <c r="F19" s="320">
        <f>M13</f>
        <v>112</v>
      </c>
      <c r="G19" s="321">
        <f>((F19-98)/98)*100</f>
        <v>14.285714285714285</v>
      </c>
    </row>
    <row r="20" spans="1:7">
      <c r="A20" s="322">
        <v>44958</v>
      </c>
      <c r="B20" s="323">
        <f>L9</f>
        <v>101</v>
      </c>
      <c r="C20" s="321">
        <f t="shared" ref="C20:C30" si="3">((B20-B19)/B19)*100</f>
        <v>-26.811594202898554</v>
      </c>
      <c r="D20" s="316"/>
      <c r="E20" s="322">
        <v>44958</v>
      </c>
      <c r="F20" s="323">
        <f>L13</f>
        <v>143</v>
      </c>
      <c r="G20" s="321">
        <f t="shared" ref="G20:G30" si="4">((F20-F19)/F19)*100</f>
        <v>27.678571428571431</v>
      </c>
    </row>
    <row r="21" spans="1:7">
      <c r="A21" s="322">
        <v>44986</v>
      </c>
      <c r="B21" s="323">
        <f>K9</f>
        <v>162</v>
      </c>
      <c r="C21" s="321">
        <f t="shared" si="3"/>
        <v>60.396039603960396</v>
      </c>
      <c r="D21" s="316"/>
      <c r="E21" s="322">
        <v>44986</v>
      </c>
      <c r="F21" s="323">
        <f>K13</f>
        <v>149</v>
      </c>
      <c r="G21" s="321">
        <f t="shared" si="4"/>
        <v>4.1958041958041958</v>
      </c>
    </row>
    <row r="22" spans="1:7">
      <c r="A22" s="322">
        <v>45017</v>
      </c>
      <c r="B22" s="323">
        <f>J9</f>
        <v>129</v>
      </c>
      <c r="C22" s="321">
        <f t="shared" si="3"/>
        <v>-20.37037037037037</v>
      </c>
      <c r="D22" s="316"/>
      <c r="E22" s="322">
        <v>45017</v>
      </c>
      <c r="F22" s="323">
        <f>J13</f>
        <v>120</v>
      </c>
      <c r="G22" s="321">
        <f t="shared" si="4"/>
        <v>-19.463087248322147</v>
      </c>
    </row>
    <row r="23" spans="1:7">
      <c r="A23" s="322">
        <v>45047</v>
      </c>
      <c r="B23" s="323">
        <f>I9</f>
        <v>170</v>
      </c>
      <c r="C23" s="321">
        <f t="shared" si="3"/>
        <v>31.782945736434108</v>
      </c>
      <c r="D23" s="316"/>
      <c r="E23" s="322">
        <v>45047</v>
      </c>
      <c r="F23" s="323">
        <f>I13</f>
        <v>91</v>
      </c>
      <c r="G23" s="321">
        <f t="shared" si="4"/>
        <v>-24.166666666666668</v>
      </c>
    </row>
    <row r="24" spans="1:7">
      <c r="A24" s="322">
        <v>45078</v>
      </c>
      <c r="B24" s="323">
        <f>H9</f>
        <v>237</v>
      </c>
      <c r="C24" s="321">
        <f t="shared" si="3"/>
        <v>39.411764705882355</v>
      </c>
      <c r="D24" s="316"/>
      <c r="E24" s="322">
        <v>45078</v>
      </c>
      <c r="F24" s="323">
        <f>H13</f>
        <v>108</v>
      </c>
      <c r="G24" s="321">
        <f t="shared" si="4"/>
        <v>18.681318681318682</v>
      </c>
    </row>
    <row r="25" spans="1:7">
      <c r="A25" s="322">
        <v>45108</v>
      </c>
      <c r="B25" s="323">
        <f>G9</f>
        <v>193</v>
      </c>
      <c r="C25" s="321">
        <f t="shared" si="3"/>
        <v>-18.565400843881857</v>
      </c>
      <c r="D25" s="316"/>
      <c r="E25" s="322">
        <v>45108</v>
      </c>
      <c r="F25" s="323">
        <f>G13</f>
        <v>165</v>
      </c>
      <c r="G25" s="321">
        <f t="shared" si="4"/>
        <v>52.777777777777779</v>
      </c>
    </row>
    <row r="26" spans="1:7">
      <c r="A26" s="322">
        <v>45139</v>
      </c>
      <c r="B26" s="323">
        <v>189</v>
      </c>
      <c r="C26" s="321">
        <f t="shared" si="3"/>
        <v>-2.0725388601036272</v>
      </c>
      <c r="D26" s="316"/>
      <c r="E26" s="322">
        <v>45139</v>
      </c>
      <c r="F26" s="323">
        <f>F13</f>
        <v>181</v>
      </c>
      <c r="G26" s="321">
        <f t="shared" si="4"/>
        <v>9.6969696969696972</v>
      </c>
    </row>
    <row r="27" spans="1:7">
      <c r="A27" s="322">
        <v>45170</v>
      </c>
      <c r="B27" s="323">
        <f>E9</f>
        <v>193</v>
      </c>
      <c r="C27" s="321">
        <f t="shared" si="3"/>
        <v>2.1164021164021163</v>
      </c>
      <c r="D27" s="316"/>
      <c r="E27" s="322">
        <v>45170</v>
      </c>
      <c r="F27" s="323">
        <f>E13</f>
        <v>151</v>
      </c>
      <c r="G27" s="321">
        <f t="shared" si="4"/>
        <v>-16.574585635359114</v>
      </c>
    </row>
    <row r="28" spans="1:7">
      <c r="A28" s="322">
        <v>45200</v>
      </c>
      <c r="B28" s="323">
        <f>D9</f>
        <v>200</v>
      </c>
      <c r="C28" s="321">
        <f t="shared" si="3"/>
        <v>3.6269430051813467</v>
      </c>
      <c r="D28" s="316"/>
      <c r="E28" s="322">
        <v>45200</v>
      </c>
      <c r="F28" s="323">
        <f>D13</f>
        <v>161</v>
      </c>
      <c r="G28" s="321">
        <f t="shared" si="4"/>
        <v>6.6225165562913908</v>
      </c>
    </row>
    <row r="29" spans="1:7">
      <c r="A29" s="322">
        <v>45231</v>
      </c>
      <c r="B29" s="324">
        <f>C9</f>
        <v>188</v>
      </c>
      <c r="C29" s="321">
        <f t="shared" si="3"/>
        <v>-6</v>
      </c>
      <c r="D29" s="316"/>
      <c r="E29" s="322">
        <v>45231</v>
      </c>
      <c r="F29" s="323">
        <f>C13</f>
        <v>125</v>
      </c>
      <c r="G29" s="321">
        <f t="shared" si="4"/>
        <v>-22.36024844720497</v>
      </c>
    </row>
    <row r="30" spans="1:7" ht="15.75" thickBot="1">
      <c r="A30" s="325">
        <v>45261</v>
      </c>
      <c r="B30" s="326">
        <f>B9</f>
        <v>233</v>
      </c>
      <c r="C30" s="321">
        <f t="shared" si="3"/>
        <v>23.936170212765958</v>
      </c>
      <c r="D30" s="316"/>
      <c r="E30" s="325">
        <v>45261</v>
      </c>
      <c r="F30" s="323">
        <f>B13</f>
        <v>74</v>
      </c>
      <c r="G30" s="321">
        <f t="shared" si="4"/>
        <v>-40.799999999999997</v>
      </c>
    </row>
    <row r="31" spans="1:7" ht="15.75" thickBot="1">
      <c r="A31" s="327" t="s">
        <v>5</v>
      </c>
      <c r="B31" s="328">
        <f>SUM(B19:B30)</f>
        <v>2133</v>
      </c>
      <c r="C31" s="329"/>
      <c r="D31" s="316"/>
      <c r="E31" s="144" t="s">
        <v>5</v>
      </c>
      <c r="F31" s="328">
        <f>SUM(F19:F30)</f>
        <v>1580</v>
      </c>
      <c r="G31" s="329"/>
    </row>
    <row r="32" spans="1:7" ht="15.75" thickBot="1">
      <c r="A32" s="330" t="s">
        <v>6</v>
      </c>
      <c r="B32" s="328">
        <f>AVERAGE(B19:B30)</f>
        <v>177.75</v>
      </c>
      <c r="C32" s="329"/>
      <c r="D32" s="316"/>
      <c r="E32" s="330" t="s">
        <v>6</v>
      </c>
      <c r="F32" s="328">
        <f>AVERAGE(F19:F30)</f>
        <v>131.66666666666666</v>
      </c>
      <c r="G32" s="329"/>
    </row>
    <row r="33" spans="1:8" ht="17.25" customHeight="1" thickBot="1"/>
    <row r="34" spans="1:8" ht="93" customHeight="1" thickBot="1">
      <c r="A34" s="331"/>
      <c r="B34" s="332" t="s">
        <v>333</v>
      </c>
      <c r="C34" s="333" t="s">
        <v>334</v>
      </c>
      <c r="D34" s="333" t="s">
        <v>500</v>
      </c>
      <c r="E34" s="333" t="s">
        <v>335</v>
      </c>
      <c r="F34" s="333" t="s">
        <v>501</v>
      </c>
      <c r="G34" s="334" t="s">
        <v>336</v>
      </c>
      <c r="H34" s="335" t="s">
        <v>15</v>
      </c>
    </row>
    <row r="35" spans="1:8" ht="15.75" thickBot="1">
      <c r="A35" s="336" t="s">
        <v>326</v>
      </c>
      <c r="B35" s="337"/>
      <c r="C35" s="338"/>
      <c r="D35" s="338"/>
      <c r="E35" s="338"/>
      <c r="F35" s="338"/>
      <c r="G35" s="338"/>
      <c r="H35" s="339"/>
    </row>
    <row r="36" spans="1:8">
      <c r="A36" s="340">
        <v>44927</v>
      </c>
      <c r="B36" s="341">
        <v>6</v>
      </c>
      <c r="C36" s="342">
        <v>1</v>
      </c>
      <c r="D36" s="342">
        <v>65</v>
      </c>
      <c r="E36" s="342">
        <v>6</v>
      </c>
      <c r="F36" s="342">
        <v>16</v>
      </c>
      <c r="G36" s="343">
        <v>6</v>
      </c>
      <c r="H36" s="344">
        <f t="shared" ref="H36:H47" si="5">SUM(B36:G36)</f>
        <v>100</v>
      </c>
    </row>
    <row r="37" spans="1:8">
      <c r="A37" s="345">
        <v>44958</v>
      </c>
      <c r="B37" s="346">
        <v>6</v>
      </c>
      <c r="C37" s="347">
        <v>2</v>
      </c>
      <c r="D37" s="347">
        <v>35</v>
      </c>
      <c r="E37" s="347">
        <v>3</v>
      </c>
      <c r="F37" s="347">
        <v>8</v>
      </c>
      <c r="G37" s="348">
        <v>7</v>
      </c>
      <c r="H37" s="349">
        <f t="shared" si="5"/>
        <v>61</v>
      </c>
    </row>
    <row r="38" spans="1:8">
      <c r="A38" s="345">
        <v>44986</v>
      </c>
      <c r="B38" s="346">
        <v>6</v>
      </c>
      <c r="C38" s="347">
        <v>2</v>
      </c>
      <c r="D38" s="347">
        <v>56</v>
      </c>
      <c r="E38" s="347">
        <v>6</v>
      </c>
      <c r="F38" s="347">
        <v>9</v>
      </c>
      <c r="G38" s="348">
        <v>12</v>
      </c>
      <c r="H38" s="349">
        <f t="shared" si="5"/>
        <v>91</v>
      </c>
    </row>
    <row r="39" spans="1:8">
      <c r="A39" s="345">
        <v>45017</v>
      </c>
      <c r="B39" s="346">
        <v>11</v>
      </c>
      <c r="C39" s="347">
        <v>0</v>
      </c>
      <c r="D39" s="347">
        <v>46</v>
      </c>
      <c r="E39" s="347">
        <v>6</v>
      </c>
      <c r="F39" s="347">
        <v>11</v>
      </c>
      <c r="G39" s="348">
        <v>6</v>
      </c>
      <c r="H39" s="349">
        <f t="shared" si="5"/>
        <v>80</v>
      </c>
    </row>
    <row r="40" spans="1:8">
      <c r="A40" s="345">
        <v>45047</v>
      </c>
      <c r="B40" s="346">
        <v>18</v>
      </c>
      <c r="C40" s="347">
        <v>2</v>
      </c>
      <c r="D40" s="347">
        <v>54</v>
      </c>
      <c r="E40" s="347">
        <v>9</v>
      </c>
      <c r="F40" s="347">
        <v>14</v>
      </c>
      <c r="G40" s="348">
        <v>15</v>
      </c>
      <c r="H40" s="349">
        <f t="shared" si="5"/>
        <v>112</v>
      </c>
    </row>
    <row r="41" spans="1:8">
      <c r="A41" s="345">
        <v>45078</v>
      </c>
      <c r="B41" s="346">
        <v>10</v>
      </c>
      <c r="C41" s="347">
        <v>0</v>
      </c>
      <c r="D41" s="347">
        <v>97</v>
      </c>
      <c r="E41" s="347">
        <v>3</v>
      </c>
      <c r="F41" s="347">
        <v>11</v>
      </c>
      <c r="G41" s="348">
        <v>5</v>
      </c>
      <c r="H41" s="349">
        <f t="shared" si="5"/>
        <v>126</v>
      </c>
    </row>
    <row r="42" spans="1:8">
      <c r="A42" s="345">
        <v>45108</v>
      </c>
      <c r="B42" s="346">
        <v>11</v>
      </c>
      <c r="C42" s="347">
        <v>1</v>
      </c>
      <c r="D42" s="347">
        <v>44</v>
      </c>
      <c r="E42" s="347">
        <v>6</v>
      </c>
      <c r="F42" s="347">
        <v>9</v>
      </c>
      <c r="G42" s="348">
        <v>9</v>
      </c>
      <c r="H42" s="349">
        <f t="shared" si="5"/>
        <v>80</v>
      </c>
    </row>
    <row r="43" spans="1:8">
      <c r="A43" s="345">
        <v>45139</v>
      </c>
      <c r="B43" s="346">
        <v>6</v>
      </c>
      <c r="C43" s="347">
        <v>1</v>
      </c>
      <c r="D43" s="347">
        <v>51</v>
      </c>
      <c r="E43" s="347">
        <v>9</v>
      </c>
      <c r="F43" s="347">
        <v>14</v>
      </c>
      <c r="G43" s="348">
        <v>7</v>
      </c>
      <c r="H43" s="349">
        <f t="shared" si="5"/>
        <v>88</v>
      </c>
    </row>
    <row r="44" spans="1:8">
      <c r="A44" s="345">
        <v>45170</v>
      </c>
      <c r="B44" s="346">
        <v>17</v>
      </c>
      <c r="C44" s="347">
        <v>4</v>
      </c>
      <c r="D44" s="347">
        <v>59</v>
      </c>
      <c r="E44" s="347">
        <v>8</v>
      </c>
      <c r="F44" s="347">
        <v>19</v>
      </c>
      <c r="G44" s="348">
        <v>12</v>
      </c>
      <c r="H44" s="349">
        <f t="shared" si="5"/>
        <v>119</v>
      </c>
    </row>
    <row r="45" spans="1:8">
      <c r="A45" s="345">
        <v>45200</v>
      </c>
      <c r="B45" s="346">
        <v>14</v>
      </c>
      <c r="C45" s="347">
        <v>1</v>
      </c>
      <c r="D45" s="347">
        <v>48</v>
      </c>
      <c r="E45" s="347">
        <v>5</v>
      </c>
      <c r="F45" s="347">
        <v>14</v>
      </c>
      <c r="G45" s="348">
        <v>25</v>
      </c>
      <c r="H45" s="349">
        <f t="shared" si="5"/>
        <v>107</v>
      </c>
    </row>
    <row r="46" spans="1:8">
      <c r="A46" s="345">
        <v>45231</v>
      </c>
      <c r="B46" s="346">
        <v>9</v>
      </c>
      <c r="C46" s="347">
        <v>2</v>
      </c>
      <c r="D46" s="347">
        <v>19</v>
      </c>
      <c r="E46" s="347">
        <v>5</v>
      </c>
      <c r="F46" s="347">
        <v>9</v>
      </c>
      <c r="G46" s="348">
        <v>10</v>
      </c>
      <c r="H46" s="349">
        <f t="shared" si="5"/>
        <v>54</v>
      </c>
    </row>
    <row r="47" spans="1:8" ht="15.75" thickBot="1">
      <c r="A47" s="350">
        <v>45261</v>
      </c>
      <c r="B47" s="351">
        <v>6</v>
      </c>
      <c r="C47" s="352">
        <v>2</v>
      </c>
      <c r="D47" s="352">
        <v>30</v>
      </c>
      <c r="E47" s="352">
        <v>5</v>
      </c>
      <c r="F47" s="352">
        <v>22</v>
      </c>
      <c r="G47" s="353">
        <v>7</v>
      </c>
      <c r="H47" s="354">
        <f t="shared" si="5"/>
        <v>72</v>
      </c>
    </row>
    <row r="48" spans="1:8" ht="15.75" thickBot="1">
      <c r="A48" s="355" t="s">
        <v>337</v>
      </c>
      <c r="B48" s="356">
        <f t="shared" ref="B48:H48" si="6">SUM(B36:B47)</f>
        <v>120</v>
      </c>
      <c r="C48" s="356">
        <f t="shared" si="6"/>
        <v>18</v>
      </c>
      <c r="D48" s="356">
        <f t="shared" si="6"/>
        <v>604</v>
      </c>
      <c r="E48" s="356">
        <f t="shared" si="6"/>
        <v>71</v>
      </c>
      <c r="F48" s="356">
        <f t="shared" si="6"/>
        <v>156</v>
      </c>
      <c r="G48" s="356">
        <f t="shared" si="6"/>
        <v>121</v>
      </c>
      <c r="H48" s="357">
        <f t="shared" si="6"/>
        <v>1090</v>
      </c>
    </row>
    <row r="49" spans="1:8" ht="15.75" thickBot="1">
      <c r="A49" s="338"/>
      <c r="B49" s="358"/>
      <c r="C49" s="358"/>
      <c r="D49" s="358"/>
      <c r="E49" s="358"/>
      <c r="F49" s="358"/>
      <c r="G49" s="358"/>
      <c r="H49" s="358"/>
    </row>
    <row r="50" spans="1:8" ht="15.75" thickBot="1">
      <c r="A50" s="336" t="s">
        <v>325</v>
      </c>
      <c r="B50" s="359"/>
      <c r="C50" s="360"/>
      <c r="D50" s="360"/>
      <c r="E50" s="360"/>
      <c r="F50" s="360"/>
      <c r="G50" s="360"/>
      <c r="H50" s="360"/>
    </row>
    <row r="51" spans="1:8">
      <c r="A51" s="340">
        <v>44927</v>
      </c>
      <c r="B51" s="361">
        <v>4</v>
      </c>
      <c r="C51" s="362">
        <v>2</v>
      </c>
      <c r="D51" s="362">
        <v>11</v>
      </c>
      <c r="E51" s="362">
        <v>3</v>
      </c>
      <c r="F51" s="362">
        <v>8</v>
      </c>
      <c r="G51" s="363">
        <v>10</v>
      </c>
      <c r="H51" s="364">
        <f t="shared" ref="H51:H62" si="7">SUM(B51:G51)</f>
        <v>38</v>
      </c>
    </row>
    <row r="52" spans="1:8">
      <c r="A52" s="345">
        <v>44958</v>
      </c>
      <c r="B52" s="365">
        <v>2</v>
      </c>
      <c r="C52" s="366">
        <v>4</v>
      </c>
      <c r="D52" s="366">
        <v>18</v>
      </c>
      <c r="E52" s="366">
        <v>0</v>
      </c>
      <c r="F52" s="366">
        <v>10</v>
      </c>
      <c r="G52" s="367">
        <v>6</v>
      </c>
      <c r="H52" s="368">
        <f t="shared" si="7"/>
        <v>40</v>
      </c>
    </row>
    <row r="53" spans="1:8">
      <c r="A53" s="345">
        <v>44986</v>
      </c>
      <c r="B53" s="365">
        <v>4</v>
      </c>
      <c r="C53" s="366">
        <v>5</v>
      </c>
      <c r="D53" s="366">
        <v>24</v>
      </c>
      <c r="E53" s="366">
        <v>3</v>
      </c>
      <c r="F53" s="366">
        <v>20</v>
      </c>
      <c r="G53" s="367">
        <v>15</v>
      </c>
      <c r="H53" s="368">
        <f t="shared" si="7"/>
        <v>71</v>
      </c>
    </row>
    <row r="54" spans="1:8">
      <c r="A54" s="345">
        <v>45017</v>
      </c>
      <c r="B54" s="365">
        <v>4</v>
      </c>
      <c r="C54" s="366">
        <v>5</v>
      </c>
      <c r="D54" s="366">
        <v>16</v>
      </c>
      <c r="E54" s="366">
        <v>3</v>
      </c>
      <c r="F54" s="366">
        <v>13</v>
      </c>
      <c r="G54" s="367">
        <v>8</v>
      </c>
      <c r="H54" s="368">
        <f t="shared" si="7"/>
        <v>49</v>
      </c>
    </row>
    <row r="55" spans="1:8">
      <c r="A55" s="345">
        <v>45047</v>
      </c>
      <c r="B55" s="365">
        <v>11</v>
      </c>
      <c r="C55" s="366">
        <v>0</v>
      </c>
      <c r="D55" s="366">
        <v>13</v>
      </c>
      <c r="E55" s="366">
        <v>3</v>
      </c>
      <c r="F55" s="366">
        <v>12</v>
      </c>
      <c r="G55" s="367">
        <v>19</v>
      </c>
      <c r="H55" s="368">
        <f t="shared" si="7"/>
        <v>58</v>
      </c>
    </row>
    <row r="56" spans="1:8">
      <c r="A56" s="345">
        <v>45078</v>
      </c>
      <c r="B56" s="365">
        <v>11</v>
      </c>
      <c r="C56" s="366">
        <v>3</v>
      </c>
      <c r="D56" s="366">
        <v>42</v>
      </c>
      <c r="E56" s="366">
        <v>11</v>
      </c>
      <c r="F56" s="366">
        <v>30</v>
      </c>
      <c r="G56" s="367">
        <v>14</v>
      </c>
      <c r="H56" s="368">
        <f t="shared" si="7"/>
        <v>111</v>
      </c>
    </row>
    <row r="57" spans="1:8">
      <c r="A57" s="345">
        <v>45108</v>
      </c>
      <c r="B57" s="365">
        <v>5</v>
      </c>
      <c r="C57" s="366">
        <v>3</v>
      </c>
      <c r="D57" s="366">
        <v>34</v>
      </c>
      <c r="E57" s="366">
        <v>3</v>
      </c>
      <c r="F57" s="366">
        <v>62</v>
      </c>
      <c r="G57" s="367">
        <v>6</v>
      </c>
      <c r="H57" s="368">
        <f t="shared" si="7"/>
        <v>113</v>
      </c>
    </row>
    <row r="58" spans="1:8">
      <c r="A58" s="345">
        <v>45139</v>
      </c>
      <c r="B58" s="365">
        <v>8</v>
      </c>
      <c r="C58" s="366">
        <v>4</v>
      </c>
      <c r="D58" s="366">
        <v>52</v>
      </c>
      <c r="E58" s="366">
        <v>6</v>
      </c>
      <c r="F58" s="366">
        <v>22</v>
      </c>
      <c r="G58" s="367">
        <v>7</v>
      </c>
      <c r="H58" s="368">
        <f t="shared" si="7"/>
        <v>99</v>
      </c>
    </row>
    <row r="59" spans="1:8">
      <c r="A59" s="345">
        <v>45170</v>
      </c>
      <c r="B59" s="365">
        <v>5</v>
      </c>
      <c r="C59" s="366">
        <v>1</v>
      </c>
      <c r="D59" s="366">
        <v>32</v>
      </c>
      <c r="E59" s="366">
        <v>3</v>
      </c>
      <c r="F59" s="366">
        <v>13</v>
      </c>
      <c r="G59" s="367">
        <v>20</v>
      </c>
      <c r="H59" s="368">
        <f t="shared" si="7"/>
        <v>74</v>
      </c>
    </row>
    <row r="60" spans="1:8">
      <c r="A60" s="345">
        <v>45200</v>
      </c>
      <c r="B60" s="365">
        <v>5</v>
      </c>
      <c r="C60" s="366">
        <v>3</v>
      </c>
      <c r="D60" s="366">
        <v>43</v>
      </c>
      <c r="E60" s="366">
        <v>3</v>
      </c>
      <c r="F60" s="366">
        <v>26</v>
      </c>
      <c r="G60" s="367">
        <v>13</v>
      </c>
      <c r="H60" s="368">
        <f t="shared" si="7"/>
        <v>93</v>
      </c>
    </row>
    <row r="61" spans="1:8">
      <c r="A61" s="345">
        <v>45231</v>
      </c>
      <c r="B61" s="365">
        <v>14</v>
      </c>
      <c r="C61" s="366">
        <v>8</v>
      </c>
      <c r="D61" s="366">
        <v>57</v>
      </c>
      <c r="E61" s="366">
        <v>8</v>
      </c>
      <c r="F61" s="366">
        <v>20</v>
      </c>
      <c r="G61" s="367">
        <v>27</v>
      </c>
      <c r="H61" s="368">
        <f t="shared" si="7"/>
        <v>134</v>
      </c>
    </row>
    <row r="62" spans="1:8" ht="15.75" thickBot="1">
      <c r="A62" s="350">
        <v>45261</v>
      </c>
      <c r="B62" s="369">
        <v>16</v>
      </c>
      <c r="C62" s="370">
        <v>3</v>
      </c>
      <c r="D62" s="370">
        <v>89</v>
      </c>
      <c r="E62" s="370">
        <v>1</v>
      </c>
      <c r="F62" s="370">
        <v>13</v>
      </c>
      <c r="G62" s="371">
        <v>39</v>
      </c>
      <c r="H62" s="372">
        <f t="shared" si="7"/>
        <v>161</v>
      </c>
    </row>
    <row r="63" spans="1:8" ht="15.75" thickBot="1">
      <c r="A63" s="373" t="s">
        <v>338</v>
      </c>
      <c r="B63" s="374">
        <f t="shared" ref="B63:H63" si="8">SUM(B51:B62)</f>
        <v>89</v>
      </c>
      <c r="C63" s="374">
        <f t="shared" si="8"/>
        <v>41</v>
      </c>
      <c r="D63" s="374">
        <f t="shared" si="8"/>
        <v>431</v>
      </c>
      <c r="E63" s="374">
        <f t="shared" si="8"/>
        <v>47</v>
      </c>
      <c r="F63" s="374">
        <f t="shared" si="8"/>
        <v>249</v>
      </c>
      <c r="G63" s="375">
        <f t="shared" si="8"/>
        <v>184</v>
      </c>
      <c r="H63" s="376">
        <f t="shared" si="8"/>
        <v>1041</v>
      </c>
    </row>
    <row r="64" spans="1:8" ht="15.75" thickBot="1">
      <c r="A64" s="377"/>
      <c r="B64" s="377"/>
      <c r="C64" s="377"/>
      <c r="D64" s="377"/>
      <c r="E64" s="377"/>
      <c r="F64" s="377"/>
      <c r="G64" s="377"/>
      <c r="H64" s="377"/>
    </row>
    <row r="65" spans="1:8" ht="15.75" thickBot="1">
      <c r="A65" s="378" t="s">
        <v>15</v>
      </c>
      <c r="B65" s="379">
        <f t="shared" ref="B65:H65" si="9">B48+B63</f>
        <v>209</v>
      </c>
      <c r="C65" s="379">
        <f t="shared" si="9"/>
        <v>59</v>
      </c>
      <c r="D65" s="379">
        <f t="shared" si="9"/>
        <v>1035</v>
      </c>
      <c r="E65" s="379">
        <f t="shared" si="9"/>
        <v>118</v>
      </c>
      <c r="F65" s="379">
        <f t="shared" si="9"/>
        <v>405</v>
      </c>
      <c r="G65" s="379">
        <f t="shared" si="9"/>
        <v>305</v>
      </c>
      <c r="H65" s="380">
        <f t="shared" si="9"/>
        <v>2131</v>
      </c>
    </row>
  </sheetData>
  <mergeCells count="2">
    <mergeCell ref="A17:C17"/>
    <mergeCell ref="E17:G17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9:J9 H36:H47 H51:H62" formulaRange="1"/>
    <ignoredError sqref="N9:O9" formula="1"/>
    <ignoredError sqref="K9:M9" formula="1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Normal="100" workbookViewId="0">
      <selection activeCell="A5" sqref="A5:B16"/>
    </sheetView>
  </sheetViews>
  <sheetFormatPr defaultRowHeight="15"/>
  <cols>
    <col min="1" max="1" width="13.5703125" customWidth="1"/>
    <col min="2" max="2" width="12" bestFit="1" customWidth="1"/>
    <col min="3" max="3" width="10.42578125" bestFit="1" customWidth="1"/>
    <col min="4" max="4" width="15.140625" customWidth="1"/>
    <col min="5" max="5" width="7.5703125" bestFit="1" customWidth="1"/>
    <col min="6" max="6" width="7.7109375" bestFit="1" customWidth="1"/>
    <col min="7" max="7" width="7.140625" bestFit="1" customWidth="1"/>
    <col min="8" max="8" width="7.5703125" bestFit="1" customWidth="1"/>
    <col min="9" max="9" width="7.7109375" style="2" bestFit="1" customWidth="1"/>
    <col min="10" max="10" width="7.140625" style="2" bestFit="1" customWidth="1"/>
    <col min="11" max="11" width="7.5703125" style="3" bestFit="1" customWidth="1"/>
    <col min="12" max="12" width="7.5703125" bestFit="1" customWidth="1"/>
    <col min="13" max="13" width="7.140625" bestFit="1" customWidth="1"/>
    <col min="14" max="14" width="7.5703125" bestFit="1" customWidth="1"/>
    <col min="15" max="15" width="7.28515625" bestFit="1" customWidth="1"/>
    <col min="16" max="16" width="7.140625" bestFit="1" customWidth="1"/>
    <col min="17" max="17" width="7.5703125" bestFit="1" customWidth="1"/>
    <col min="18" max="18" width="8" bestFit="1" customWidth="1"/>
    <col min="19" max="19" width="7.5703125" customWidth="1"/>
    <col min="20" max="20" width="9.140625" customWidth="1"/>
  </cols>
  <sheetData>
    <row r="1" spans="1:11">
      <c r="A1" s="1" t="s">
        <v>0</v>
      </c>
    </row>
    <row r="2" spans="1:11">
      <c r="A2" s="1" t="s">
        <v>1</v>
      </c>
    </row>
    <row r="3" spans="1:11" ht="15.75" thickBot="1"/>
    <row r="4" spans="1:11" ht="15.75" thickBot="1">
      <c r="A4" s="4" t="s">
        <v>2</v>
      </c>
      <c r="B4" s="5" t="s">
        <v>3</v>
      </c>
      <c r="C4" s="5" t="s">
        <v>4</v>
      </c>
      <c r="D4" s="6"/>
      <c r="E4" s="6"/>
      <c r="F4" s="6"/>
      <c r="I4"/>
      <c r="J4"/>
    </row>
    <row r="5" spans="1:11">
      <c r="A5" s="7">
        <v>44927</v>
      </c>
      <c r="B5" s="8">
        <v>4396</v>
      </c>
      <c r="C5" s="9">
        <f>((B5-3527)/3527)*100</f>
        <v>24.638502977034307</v>
      </c>
      <c r="D5" s="10"/>
      <c r="E5" s="10"/>
      <c r="F5" s="10"/>
      <c r="I5"/>
      <c r="J5"/>
    </row>
    <row r="6" spans="1:11">
      <c r="A6" s="11">
        <v>44958</v>
      </c>
      <c r="B6" s="12">
        <v>4747</v>
      </c>
      <c r="C6" s="9">
        <f>((B6-4396)/4396)*100</f>
        <v>7.9845313921747039</v>
      </c>
      <c r="D6" s="10"/>
      <c r="E6" s="10"/>
      <c r="F6" s="10"/>
      <c r="H6" s="13"/>
      <c r="I6" s="10"/>
      <c r="J6" s="10"/>
      <c r="K6" s="14"/>
    </row>
    <row r="7" spans="1:11">
      <c r="A7" s="11">
        <v>44986</v>
      </c>
      <c r="B7" s="15">
        <v>5681</v>
      </c>
      <c r="C7" s="9">
        <f t="shared" ref="C7:C16" si="0">((B7-B6)/B6)*100</f>
        <v>19.675584579734569</v>
      </c>
      <c r="D7" s="10"/>
      <c r="E7" s="10"/>
      <c r="F7" s="10"/>
      <c r="H7" s="13"/>
      <c r="I7" s="10"/>
      <c r="J7" s="10"/>
      <c r="K7" s="14"/>
    </row>
    <row r="8" spans="1:11">
      <c r="A8" s="11">
        <v>45017</v>
      </c>
      <c r="B8" s="15">
        <v>4816</v>
      </c>
      <c r="C8" s="9">
        <f t="shared" si="0"/>
        <v>-15.22619257173033</v>
      </c>
      <c r="D8" s="10"/>
      <c r="E8" s="10"/>
      <c r="F8" s="10"/>
    </row>
    <row r="9" spans="1:11">
      <c r="A9" s="11">
        <v>45047</v>
      </c>
      <c r="B9" s="15">
        <v>5527</v>
      </c>
      <c r="C9" s="9">
        <f t="shared" si="0"/>
        <v>14.763289036544849</v>
      </c>
      <c r="D9" s="10"/>
      <c r="E9" s="10"/>
      <c r="F9" s="10"/>
    </row>
    <row r="10" spans="1:11">
      <c r="A10" s="11">
        <v>45078</v>
      </c>
      <c r="B10" s="15">
        <v>4921</v>
      </c>
      <c r="C10" s="9">
        <f t="shared" si="0"/>
        <v>-10.964356793920754</v>
      </c>
      <c r="D10" s="10"/>
      <c r="E10" s="10"/>
      <c r="F10" s="10"/>
    </row>
    <row r="11" spans="1:11">
      <c r="A11" s="11">
        <v>45108</v>
      </c>
      <c r="B11" s="15">
        <v>4897</v>
      </c>
      <c r="C11" s="9">
        <f t="shared" si="0"/>
        <v>-0.48770575086364554</v>
      </c>
      <c r="D11" s="10"/>
      <c r="E11" s="10"/>
      <c r="F11" s="10"/>
    </row>
    <row r="12" spans="1:11">
      <c r="A12" s="11">
        <v>45139</v>
      </c>
      <c r="B12" s="15">
        <v>5084</v>
      </c>
      <c r="C12" s="9">
        <f t="shared" si="0"/>
        <v>3.818664488462324</v>
      </c>
      <c r="D12" s="10"/>
      <c r="E12" s="10"/>
      <c r="F12" s="10"/>
    </row>
    <row r="13" spans="1:11">
      <c r="A13" s="11">
        <v>45170</v>
      </c>
      <c r="B13" s="15">
        <v>4819</v>
      </c>
      <c r="C13" s="9">
        <f t="shared" si="0"/>
        <v>-5.2124311565696306</v>
      </c>
      <c r="D13" s="10"/>
      <c r="E13" s="10"/>
      <c r="F13" s="10"/>
    </row>
    <row r="14" spans="1:11">
      <c r="A14" s="11">
        <v>45200</v>
      </c>
      <c r="B14" s="15">
        <f>G24</f>
        <v>5435</v>
      </c>
      <c r="C14" s="9">
        <f t="shared" si="0"/>
        <v>12.782735007262918</v>
      </c>
      <c r="D14" s="10"/>
      <c r="E14" s="10"/>
      <c r="F14" s="10"/>
      <c r="H14" s="16"/>
    </row>
    <row r="15" spans="1:11">
      <c r="A15" s="11">
        <v>45231</v>
      </c>
      <c r="B15" s="15">
        <f>F24</f>
        <v>5247</v>
      </c>
      <c r="C15" s="9">
        <f t="shared" si="0"/>
        <v>-3.4590616375344987</v>
      </c>
      <c r="D15" s="10"/>
      <c r="E15" s="10"/>
      <c r="F15" s="10"/>
    </row>
    <row r="16" spans="1:11" ht="15.75" thickBot="1">
      <c r="A16" s="17">
        <v>45261</v>
      </c>
      <c r="B16" s="15">
        <f>E24</f>
        <v>4354</v>
      </c>
      <c r="C16" s="9">
        <f t="shared" si="0"/>
        <v>-17.019249094720792</v>
      </c>
      <c r="D16" s="10"/>
      <c r="E16" s="10"/>
      <c r="F16" s="10"/>
    </row>
    <row r="17" spans="1:19" ht="15.75" thickBot="1">
      <c r="A17" s="18" t="s">
        <v>5</v>
      </c>
      <c r="B17" s="19">
        <f>SUM(B5:B16)</f>
        <v>59924</v>
      </c>
    </row>
    <row r="18" spans="1:19" ht="30">
      <c r="A18" s="20" t="s">
        <v>6</v>
      </c>
      <c r="B18" s="21">
        <f>AVERAGE(B5:B16)</f>
        <v>4993.666666666667</v>
      </c>
      <c r="D18" s="22" t="s">
        <v>7</v>
      </c>
      <c r="E18" s="23">
        <v>45261</v>
      </c>
      <c r="F18" s="24">
        <v>45231</v>
      </c>
      <c r="G18" s="24">
        <v>45200</v>
      </c>
      <c r="H18" s="24">
        <v>45170</v>
      </c>
      <c r="I18" s="24">
        <v>45139</v>
      </c>
      <c r="J18" s="24">
        <v>45108</v>
      </c>
      <c r="K18" s="24">
        <v>45078</v>
      </c>
      <c r="L18" s="25">
        <v>45047</v>
      </c>
      <c r="M18" s="23">
        <v>45017</v>
      </c>
      <c r="N18" s="23">
        <v>44986</v>
      </c>
      <c r="O18" s="23">
        <v>44958</v>
      </c>
      <c r="P18" s="26">
        <v>44927</v>
      </c>
      <c r="Q18" s="24" t="s">
        <v>5</v>
      </c>
      <c r="R18" s="27" t="s">
        <v>8</v>
      </c>
      <c r="S18" s="27" t="s">
        <v>6</v>
      </c>
    </row>
    <row r="19" spans="1:19">
      <c r="A19" s="922"/>
      <c r="B19" s="922"/>
      <c r="C19" s="922"/>
      <c r="D19" s="28" t="s">
        <v>9</v>
      </c>
      <c r="E19" s="29">
        <v>235</v>
      </c>
      <c r="F19" s="30">
        <v>189</v>
      </c>
      <c r="G19" s="31">
        <v>203</v>
      </c>
      <c r="H19" s="31">
        <v>195</v>
      </c>
      <c r="I19" s="31">
        <v>189</v>
      </c>
      <c r="J19" s="31">
        <v>194</v>
      </c>
      <c r="K19" s="32">
        <v>236</v>
      </c>
      <c r="L19" s="32">
        <v>174</v>
      </c>
      <c r="M19" s="33">
        <v>129</v>
      </c>
      <c r="N19" s="34">
        <v>164</v>
      </c>
      <c r="O19" s="33">
        <v>102</v>
      </c>
      <c r="P19" s="35">
        <v>139</v>
      </c>
      <c r="Q19" s="36">
        <f>SUM(E19:P19)</f>
        <v>2149</v>
      </c>
      <c r="R19" s="37">
        <f>(Q19/Q24)*100</f>
        <v>3.586209198317869</v>
      </c>
      <c r="S19" s="38">
        <f t="shared" ref="S19:S24" si="1">AVERAGE(E19:P19)</f>
        <v>179.08333333333334</v>
      </c>
    </row>
    <row r="20" spans="1:19" ht="15" customHeight="1">
      <c r="A20" s="923" t="s">
        <v>10</v>
      </c>
      <c r="B20" s="923"/>
      <c r="C20" s="39"/>
      <c r="D20" s="40" t="s">
        <v>11</v>
      </c>
      <c r="E20" s="41">
        <v>71</v>
      </c>
      <c r="F20" s="42">
        <v>83</v>
      </c>
      <c r="G20" s="43">
        <v>68</v>
      </c>
      <c r="H20" s="43">
        <v>86</v>
      </c>
      <c r="I20" s="43">
        <v>90</v>
      </c>
      <c r="J20" s="43">
        <v>86</v>
      </c>
      <c r="K20" s="44">
        <v>79</v>
      </c>
      <c r="L20" s="44">
        <v>70</v>
      </c>
      <c r="M20" s="43">
        <v>70</v>
      </c>
      <c r="N20" s="34">
        <v>76</v>
      </c>
      <c r="O20" s="43">
        <v>55</v>
      </c>
      <c r="P20" s="45">
        <v>67</v>
      </c>
      <c r="Q20" s="46">
        <f>SUM(E20:P20)</f>
        <v>901</v>
      </c>
      <c r="R20" s="47">
        <f>(Q20/Q24)*100</f>
        <v>1.5035711901742208</v>
      </c>
      <c r="S20" s="48">
        <f t="shared" si="1"/>
        <v>75.083333333333329</v>
      </c>
    </row>
    <row r="21" spans="1:19">
      <c r="A21" s="923"/>
      <c r="B21" s="923"/>
      <c r="D21" s="40" t="s">
        <v>12</v>
      </c>
      <c r="E21" s="41">
        <v>3847</v>
      </c>
      <c r="F21" s="42">
        <v>4727</v>
      </c>
      <c r="G21" s="43">
        <v>4932</v>
      </c>
      <c r="H21" s="43">
        <v>4327</v>
      </c>
      <c r="I21" s="43">
        <v>4511</v>
      </c>
      <c r="J21" s="43">
        <v>4376</v>
      </c>
      <c r="K21" s="44">
        <v>4377</v>
      </c>
      <c r="L21" s="44">
        <v>4920</v>
      </c>
      <c r="M21" s="43">
        <v>4272</v>
      </c>
      <c r="N21" s="34">
        <v>5075</v>
      </c>
      <c r="O21" s="43">
        <v>4256</v>
      </c>
      <c r="P21" s="45">
        <v>3881</v>
      </c>
      <c r="Q21" s="46">
        <f>SUM(E21:P21)</f>
        <v>53501</v>
      </c>
      <c r="R21" s="47">
        <f>(Q21/Q24)*100</f>
        <v>89.281423135972233</v>
      </c>
      <c r="S21" s="48">
        <f t="shared" si="1"/>
        <v>4458.416666666667</v>
      </c>
    </row>
    <row r="22" spans="1:19">
      <c r="D22" s="40" t="s">
        <v>13</v>
      </c>
      <c r="E22" s="41">
        <v>144</v>
      </c>
      <c r="F22" s="42">
        <v>175</v>
      </c>
      <c r="G22" s="43">
        <v>177</v>
      </c>
      <c r="H22" s="43">
        <v>146</v>
      </c>
      <c r="I22" s="43">
        <v>233</v>
      </c>
      <c r="J22" s="43">
        <v>182</v>
      </c>
      <c r="K22" s="44">
        <v>185</v>
      </c>
      <c r="L22" s="44">
        <v>281</v>
      </c>
      <c r="M22" s="43">
        <v>257</v>
      </c>
      <c r="N22" s="34">
        <v>292</v>
      </c>
      <c r="O22" s="43">
        <v>262</v>
      </c>
      <c r="P22" s="45">
        <v>253</v>
      </c>
      <c r="Q22" s="46">
        <f>SUM(E22:P22)</f>
        <v>2587</v>
      </c>
      <c r="R22" s="47">
        <f>(Q22/Q24)*100</f>
        <v>4.3171350377144382</v>
      </c>
      <c r="S22" s="48">
        <f t="shared" si="1"/>
        <v>215.58333333333334</v>
      </c>
    </row>
    <row r="23" spans="1:19" ht="15.75" thickBot="1">
      <c r="D23" s="40" t="s">
        <v>14</v>
      </c>
      <c r="E23" s="49">
        <v>57</v>
      </c>
      <c r="F23" s="42">
        <v>73</v>
      </c>
      <c r="G23" s="50">
        <v>55</v>
      </c>
      <c r="H23" s="50">
        <v>65</v>
      </c>
      <c r="I23" s="50">
        <v>61</v>
      </c>
      <c r="J23" s="50">
        <v>59</v>
      </c>
      <c r="K23" s="51">
        <v>44</v>
      </c>
      <c r="L23" s="51">
        <v>82</v>
      </c>
      <c r="M23" s="43">
        <v>88</v>
      </c>
      <c r="N23" s="34">
        <v>74</v>
      </c>
      <c r="O23" s="50">
        <v>72</v>
      </c>
      <c r="P23" s="52">
        <v>56</v>
      </c>
      <c r="Q23" s="53">
        <f>SUM(E23:P23)</f>
        <v>786</v>
      </c>
      <c r="R23" s="54">
        <f>(Q23/Q24)*100</f>
        <v>1.3116614378212403</v>
      </c>
      <c r="S23" s="55">
        <f t="shared" si="1"/>
        <v>65.5</v>
      </c>
    </row>
    <row r="24" spans="1:19" ht="15.75" thickBot="1">
      <c r="D24" s="225" t="s">
        <v>15</v>
      </c>
      <c r="E24" s="56">
        <f>SUM(E19:E23)</f>
        <v>4354</v>
      </c>
      <c r="F24" s="56">
        <f>SUM(F19:F23)</f>
        <v>5247</v>
      </c>
      <c r="G24" s="56">
        <f>SUM(G19:G23)</f>
        <v>5435</v>
      </c>
      <c r="H24" s="56">
        <f>SUM(H19:H23)</f>
        <v>4819</v>
      </c>
      <c r="I24" s="56">
        <f>SUM(I19:I23)</f>
        <v>5084</v>
      </c>
      <c r="J24" s="56">
        <f t="shared" ref="J24:R24" si="2">SUM(J19:J23)</f>
        <v>4897</v>
      </c>
      <c r="K24" s="56">
        <f t="shared" si="2"/>
        <v>4921</v>
      </c>
      <c r="L24" s="56">
        <f t="shared" si="2"/>
        <v>5527</v>
      </c>
      <c r="M24" s="56">
        <f t="shared" si="2"/>
        <v>4816</v>
      </c>
      <c r="N24" s="58">
        <f t="shared" si="2"/>
        <v>5681</v>
      </c>
      <c r="O24" s="56">
        <f t="shared" si="2"/>
        <v>4747</v>
      </c>
      <c r="P24" s="58">
        <f t="shared" si="2"/>
        <v>4396</v>
      </c>
      <c r="Q24" s="59">
        <f t="shared" si="2"/>
        <v>59924</v>
      </c>
      <c r="R24" s="58">
        <f t="shared" si="2"/>
        <v>100</v>
      </c>
      <c r="S24" s="60">
        <f t="shared" si="1"/>
        <v>4993.666666666667</v>
      </c>
    </row>
    <row r="31" spans="1:19">
      <c r="Q31" s="3"/>
    </row>
    <row r="33" spans="13:13">
      <c r="M33" s="3"/>
    </row>
  </sheetData>
  <mergeCells count="2">
    <mergeCell ref="A19:C19"/>
    <mergeCell ref="A20:B21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E24:P24" formulaRange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zoomScaleNormal="100" workbookViewId="0">
      <selection activeCell="A12" sqref="A12"/>
    </sheetView>
  </sheetViews>
  <sheetFormatPr defaultRowHeight="15"/>
  <cols>
    <col min="1" max="1" width="66.85546875" customWidth="1"/>
    <col min="2" max="2" width="10.42578125" customWidth="1"/>
    <col min="3" max="3" width="12.85546875" customWidth="1"/>
    <col min="5" max="5" width="2" customWidth="1"/>
    <col min="15" max="15" width="6.42578125" customWidth="1"/>
  </cols>
  <sheetData>
    <row r="1" spans="1:4">
      <c r="A1" s="610" t="s">
        <v>0</v>
      </c>
      <c r="B1" s="611"/>
      <c r="C1" s="611"/>
      <c r="D1" s="611"/>
    </row>
    <row r="2" spans="1:4" ht="15.75" thickBot="1">
      <c r="A2" s="612" t="s">
        <v>1</v>
      </c>
      <c r="B2" s="109"/>
      <c r="C2" s="109"/>
    </row>
    <row r="3" spans="1:4" ht="15.75" thickBot="1">
      <c r="A3" s="613" t="s">
        <v>503</v>
      </c>
      <c r="B3" s="614" t="s">
        <v>434</v>
      </c>
      <c r="C3" s="615" t="s">
        <v>435</v>
      </c>
      <c r="D3" s="616" t="s">
        <v>23</v>
      </c>
    </row>
    <row r="4" spans="1:4">
      <c r="A4" s="617" t="s">
        <v>215</v>
      </c>
      <c r="B4" s="618">
        <v>0</v>
      </c>
      <c r="C4" s="618">
        <v>0</v>
      </c>
      <c r="D4" s="618">
        <f>SUM(B4:C4)</f>
        <v>0</v>
      </c>
    </row>
    <row r="5" spans="1:4">
      <c r="A5" s="619" t="s">
        <v>436</v>
      </c>
      <c r="B5" s="620">
        <v>0</v>
      </c>
      <c r="C5" s="620">
        <v>0</v>
      </c>
      <c r="D5" s="620">
        <f t="shared" ref="D5:D68" si="0">SUM(B5:C5)</f>
        <v>0</v>
      </c>
    </row>
    <row r="6" spans="1:4">
      <c r="A6" s="621" t="s">
        <v>216</v>
      </c>
      <c r="B6" s="620">
        <v>1</v>
      </c>
      <c r="C6" s="620">
        <v>0</v>
      </c>
      <c r="D6" s="620">
        <f t="shared" si="0"/>
        <v>1</v>
      </c>
    </row>
    <row r="7" spans="1:4">
      <c r="A7" s="621" t="s">
        <v>217</v>
      </c>
      <c r="B7" s="620">
        <v>1</v>
      </c>
      <c r="C7" s="620">
        <v>0</v>
      </c>
      <c r="D7" s="620">
        <f t="shared" si="0"/>
        <v>1</v>
      </c>
    </row>
    <row r="8" spans="1:4">
      <c r="A8" s="621" t="s">
        <v>218</v>
      </c>
      <c r="B8" s="620">
        <v>0</v>
      </c>
      <c r="C8" s="620">
        <v>0</v>
      </c>
      <c r="D8" s="620">
        <f t="shared" si="0"/>
        <v>0</v>
      </c>
    </row>
    <row r="9" spans="1:4">
      <c r="A9" s="621" t="s">
        <v>219</v>
      </c>
      <c r="B9" s="620">
        <v>0</v>
      </c>
      <c r="C9" s="620">
        <v>0</v>
      </c>
      <c r="D9" s="620">
        <f t="shared" si="0"/>
        <v>0</v>
      </c>
    </row>
    <row r="10" spans="1:4">
      <c r="A10" s="621" t="s">
        <v>220</v>
      </c>
      <c r="B10" s="620">
        <v>0</v>
      </c>
      <c r="C10" s="620">
        <v>0</v>
      </c>
      <c r="D10" s="620">
        <f t="shared" si="0"/>
        <v>0</v>
      </c>
    </row>
    <row r="11" spans="1:4">
      <c r="A11" s="621" t="s">
        <v>144</v>
      </c>
      <c r="B11" s="620">
        <v>0</v>
      </c>
      <c r="C11" s="620">
        <v>11</v>
      </c>
      <c r="D11" s="620">
        <f t="shared" si="0"/>
        <v>11</v>
      </c>
    </row>
    <row r="12" spans="1:4">
      <c r="A12" s="621" t="s">
        <v>221</v>
      </c>
      <c r="B12" s="620">
        <v>1</v>
      </c>
      <c r="C12" s="620">
        <v>0</v>
      </c>
      <c r="D12" s="620">
        <f t="shared" si="0"/>
        <v>1</v>
      </c>
    </row>
    <row r="13" spans="1:4">
      <c r="A13" s="621" t="s">
        <v>222</v>
      </c>
      <c r="B13" s="620">
        <v>0</v>
      </c>
      <c r="C13" s="620">
        <v>0</v>
      </c>
      <c r="D13" s="620">
        <f t="shared" si="0"/>
        <v>0</v>
      </c>
    </row>
    <row r="14" spans="1:4">
      <c r="A14" s="621" t="s">
        <v>223</v>
      </c>
      <c r="B14" s="620">
        <v>5</v>
      </c>
      <c r="C14" s="620">
        <v>0</v>
      </c>
      <c r="D14" s="620">
        <f t="shared" si="0"/>
        <v>5</v>
      </c>
    </row>
    <row r="15" spans="1:4">
      <c r="A15" s="621" t="s">
        <v>224</v>
      </c>
      <c r="B15" s="620">
        <v>0</v>
      </c>
      <c r="C15" s="620">
        <v>0</v>
      </c>
      <c r="D15" s="620">
        <f t="shared" si="0"/>
        <v>0</v>
      </c>
    </row>
    <row r="16" spans="1:4">
      <c r="A16" s="621" t="s">
        <v>225</v>
      </c>
      <c r="B16" s="620">
        <v>0</v>
      </c>
      <c r="C16" s="620">
        <v>0</v>
      </c>
      <c r="D16" s="620">
        <f t="shared" si="0"/>
        <v>0</v>
      </c>
    </row>
    <row r="17" spans="1:4">
      <c r="A17" s="621" t="s">
        <v>226</v>
      </c>
      <c r="B17" s="620">
        <v>0</v>
      </c>
      <c r="C17" s="620">
        <v>0</v>
      </c>
      <c r="D17" s="620">
        <f t="shared" si="0"/>
        <v>0</v>
      </c>
    </row>
    <row r="18" spans="1:4">
      <c r="A18" s="621" t="s">
        <v>227</v>
      </c>
      <c r="B18" s="620">
        <v>0</v>
      </c>
      <c r="C18" s="620">
        <v>0</v>
      </c>
      <c r="D18" s="620">
        <f t="shared" si="0"/>
        <v>0</v>
      </c>
    </row>
    <row r="19" spans="1:4">
      <c r="A19" s="621" t="s">
        <v>228</v>
      </c>
      <c r="B19" s="620">
        <v>0</v>
      </c>
      <c r="C19" s="620">
        <v>2</v>
      </c>
      <c r="D19" s="620">
        <f t="shared" si="0"/>
        <v>2</v>
      </c>
    </row>
    <row r="20" spans="1:4">
      <c r="A20" s="621" t="s">
        <v>229</v>
      </c>
      <c r="B20" s="620">
        <v>0</v>
      </c>
      <c r="C20" s="620">
        <v>0</v>
      </c>
      <c r="D20" s="620">
        <f t="shared" si="0"/>
        <v>0</v>
      </c>
    </row>
    <row r="21" spans="1:4">
      <c r="A21" s="621" t="s">
        <v>230</v>
      </c>
      <c r="B21" s="620">
        <v>30</v>
      </c>
      <c r="C21" s="620">
        <v>15</v>
      </c>
      <c r="D21" s="620">
        <f t="shared" si="0"/>
        <v>45</v>
      </c>
    </row>
    <row r="22" spans="1:4">
      <c r="A22" s="621" t="s">
        <v>231</v>
      </c>
      <c r="B22" s="620">
        <v>2</v>
      </c>
      <c r="C22" s="620">
        <v>5</v>
      </c>
      <c r="D22" s="620">
        <f t="shared" si="0"/>
        <v>7</v>
      </c>
    </row>
    <row r="23" spans="1:4">
      <c r="A23" s="622" t="s">
        <v>232</v>
      </c>
      <c r="B23" s="623">
        <v>9</v>
      </c>
      <c r="C23" s="623">
        <v>4</v>
      </c>
      <c r="D23" s="620">
        <f t="shared" si="0"/>
        <v>13</v>
      </c>
    </row>
    <row r="24" spans="1:4">
      <c r="A24" s="624" t="s">
        <v>437</v>
      </c>
      <c r="B24" s="620">
        <v>0</v>
      </c>
      <c r="C24" s="620">
        <v>0</v>
      </c>
      <c r="D24" s="620">
        <f t="shared" si="0"/>
        <v>0</v>
      </c>
    </row>
    <row r="25" spans="1:4">
      <c r="A25" s="617" t="s">
        <v>233</v>
      </c>
      <c r="B25" s="618">
        <v>1</v>
      </c>
      <c r="C25" s="618">
        <v>0</v>
      </c>
      <c r="D25" s="620">
        <f t="shared" si="0"/>
        <v>1</v>
      </c>
    </row>
    <row r="26" spans="1:4">
      <c r="A26" s="621" t="s">
        <v>234</v>
      </c>
      <c r="B26" s="620">
        <v>1</v>
      </c>
      <c r="C26" s="620">
        <v>0</v>
      </c>
      <c r="D26" s="620">
        <f t="shared" si="0"/>
        <v>1</v>
      </c>
    </row>
    <row r="27" spans="1:4">
      <c r="A27" s="621" t="s">
        <v>235</v>
      </c>
      <c r="B27" s="620">
        <v>5</v>
      </c>
      <c r="C27" s="620">
        <v>0</v>
      </c>
      <c r="D27" s="620">
        <f t="shared" si="0"/>
        <v>5</v>
      </c>
    </row>
    <row r="28" spans="1:4">
      <c r="A28" s="621" t="s">
        <v>236</v>
      </c>
      <c r="B28" s="620">
        <v>73</v>
      </c>
      <c r="C28" s="620">
        <v>17</v>
      </c>
      <c r="D28" s="620">
        <f t="shared" si="0"/>
        <v>90</v>
      </c>
    </row>
    <row r="29" spans="1:4">
      <c r="A29" s="621" t="s">
        <v>237</v>
      </c>
      <c r="B29" s="620">
        <v>3</v>
      </c>
      <c r="C29" s="620">
        <v>4</v>
      </c>
      <c r="D29" s="620">
        <f t="shared" si="0"/>
        <v>7</v>
      </c>
    </row>
    <row r="30" spans="1:4">
      <c r="A30" s="621" t="s">
        <v>238</v>
      </c>
      <c r="B30" s="620">
        <v>0</v>
      </c>
      <c r="C30" s="620">
        <v>0</v>
      </c>
      <c r="D30" s="620">
        <f t="shared" si="0"/>
        <v>0</v>
      </c>
    </row>
    <row r="31" spans="1:4">
      <c r="A31" s="621" t="s">
        <v>239</v>
      </c>
      <c r="B31" s="620">
        <v>0</v>
      </c>
      <c r="C31" s="620">
        <v>0</v>
      </c>
      <c r="D31" s="620">
        <f t="shared" si="0"/>
        <v>0</v>
      </c>
    </row>
    <row r="32" spans="1:4">
      <c r="A32" s="621" t="s">
        <v>240</v>
      </c>
      <c r="B32" s="620">
        <v>0</v>
      </c>
      <c r="C32" s="620">
        <v>0</v>
      </c>
      <c r="D32" s="620">
        <f t="shared" si="0"/>
        <v>0</v>
      </c>
    </row>
    <row r="33" spans="1:4">
      <c r="A33" s="621" t="s">
        <v>241</v>
      </c>
      <c r="B33" s="620">
        <v>0</v>
      </c>
      <c r="C33" s="620">
        <v>0</v>
      </c>
      <c r="D33" s="620">
        <f t="shared" si="0"/>
        <v>0</v>
      </c>
    </row>
    <row r="34" spans="1:4">
      <c r="A34" s="621" t="s">
        <v>242</v>
      </c>
      <c r="B34" s="620">
        <v>0</v>
      </c>
      <c r="C34" s="620">
        <v>0</v>
      </c>
      <c r="D34" s="620">
        <f t="shared" si="0"/>
        <v>0</v>
      </c>
    </row>
    <row r="35" spans="1:4">
      <c r="A35" s="621" t="s">
        <v>243</v>
      </c>
      <c r="B35" s="620">
        <v>0</v>
      </c>
      <c r="C35" s="620">
        <v>0</v>
      </c>
      <c r="D35" s="620">
        <f t="shared" si="0"/>
        <v>0</v>
      </c>
    </row>
    <row r="36" spans="1:4">
      <c r="A36" s="621" t="s">
        <v>244</v>
      </c>
      <c r="B36" s="620">
        <v>11</v>
      </c>
      <c r="C36" s="620">
        <v>2</v>
      </c>
      <c r="D36" s="620">
        <f t="shared" si="0"/>
        <v>13</v>
      </c>
    </row>
    <row r="37" spans="1:4">
      <c r="A37" s="621" t="s">
        <v>245</v>
      </c>
      <c r="B37" s="620">
        <v>0</v>
      </c>
      <c r="C37" s="620">
        <v>0</v>
      </c>
      <c r="D37" s="620">
        <f t="shared" si="0"/>
        <v>0</v>
      </c>
    </row>
    <row r="38" spans="1:4">
      <c r="A38" s="621" t="s">
        <v>246</v>
      </c>
      <c r="B38" s="620">
        <v>3</v>
      </c>
      <c r="C38" s="620">
        <v>3</v>
      </c>
      <c r="D38" s="620">
        <f t="shared" si="0"/>
        <v>6</v>
      </c>
    </row>
    <row r="39" spans="1:4">
      <c r="A39" s="621" t="s">
        <v>247</v>
      </c>
      <c r="B39" s="620">
        <v>2</v>
      </c>
      <c r="C39" s="620">
        <v>0</v>
      </c>
      <c r="D39" s="620">
        <f t="shared" si="0"/>
        <v>2</v>
      </c>
    </row>
    <row r="40" spans="1:4">
      <c r="A40" s="621" t="s">
        <v>248</v>
      </c>
      <c r="B40" s="620">
        <v>7</v>
      </c>
      <c r="C40" s="620">
        <v>0</v>
      </c>
      <c r="D40" s="620">
        <f t="shared" si="0"/>
        <v>7</v>
      </c>
    </row>
    <row r="41" spans="1:4">
      <c r="A41" s="621" t="s">
        <v>249</v>
      </c>
      <c r="B41" s="620">
        <v>1</v>
      </c>
      <c r="C41" s="620">
        <v>0</v>
      </c>
      <c r="D41" s="620">
        <f t="shared" si="0"/>
        <v>1</v>
      </c>
    </row>
    <row r="42" spans="1:4">
      <c r="A42" s="621" t="s">
        <v>250</v>
      </c>
      <c r="B42" s="620">
        <v>0</v>
      </c>
      <c r="C42" s="620">
        <v>0</v>
      </c>
      <c r="D42" s="620">
        <f t="shared" si="0"/>
        <v>0</v>
      </c>
    </row>
    <row r="43" spans="1:4">
      <c r="A43" s="621" t="s">
        <v>251</v>
      </c>
      <c r="B43" s="620">
        <v>0</v>
      </c>
      <c r="C43" s="620">
        <v>0</v>
      </c>
      <c r="D43" s="620">
        <f t="shared" si="0"/>
        <v>0</v>
      </c>
    </row>
    <row r="44" spans="1:4">
      <c r="A44" s="621" t="s">
        <v>252</v>
      </c>
      <c r="B44" s="620">
        <v>0</v>
      </c>
      <c r="C44" s="620">
        <v>0</v>
      </c>
      <c r="D44" s="620">
        <f t="shared" si="0"/>
        <v>0</v>
      </c>
    </row>
    <row r="45" spans="1:4">
      <c r="A45" s="621" t="s">
        <v>253</v>
      </c>
      <c r="B45" s="620">
        <v>0</v>
      </c>
      <c r="C45" s="620">
        <v>0</v>
      </c>
      <c r="D45" s="620">
        <f t="shared" si="0"/>
        <v>0</v>
      </c>
    </row>
    <row r="46" spans="1:4">
      <c r="A46" s="621" t="s">
        <v>254</v>
      </c>
      <c r="B46" s="620">
        <v>0</v>
      </c>
      <c r="C46" s="620">
        <v>0</v>
      </c>
      <c r="D46" s="620">
        <f t="shared" si="0"/>
        <v>0</v>
      </c>
    </row>
    <row r="47" spans="1:4">
      <c r="A47" s="621" t="s">
        <v>255</v>
      </c>
      <c r="B47" s="620">
        <v>1</v>
      </c>
      <c r="C47" s="620">
        <v>0</v>
      </c>
      <c r="D47" s="620">
        <f t="shared" si="0"/>
        <v>1</v>
      </c>
    </row>
    <row r="48" spans="1:4">
      <c r="A48" s="621" t="s">
        <v>256</v>
      </c>
      <c r="B48" s="620">
        <v>0</v>
      </c>
      <c r="C48" s="620">
        <v>0</v>
      </c>
      <c r="D48" s="620">
        <f t="shared" si="0"/>
        <v>0</v>
      </c>
    </row>
    <row r="49" spans="1:4">
      <c r="A49" s="621" t="s">
        <v>257</v>
      </c>
      <c r="B49" s="620">
        <v>0</v>
      </c>
      <c r="C49" s="620">
        <v>0</v>
      </c>
      <c r="D49" s="620">
        <f t="shared" si="0"/>
        <v>0</v>
      </c>
    </row>
    <row r="50" spans="1:4">
      <c r="A50" s="621" t="s">
        <v>258</v>
      </c>
      <c r="B50" s="620">
        <v>0</v>
      </c>
      <c r="C50" s="620">
        <v>0</v>
      </c>
      <c r="D50" s="620">
        <f t="shared" si="0"/>
        <v>0</v>
      </c>
    </row>
    <row r="51" spans="1:4">
      <c r="A51" s="621" t="s">
        <v>259</v>
      </c>
      <c r="B51" s="620">
        <v>0</v>
      </c>
      <c r="C51" s="620">
        <v>0</v>
      </c>
      <c r="D51" s="620">
        <f t="shared" si="0"/>
        <v>0</v>
      </c>
    </row>
    <row r="52" spans="1:4">
      <c r="A52" s="621" t="s">
        <v>260</v>
      </c>
      <c r="B52" s="620">
        <v>0</v>
      </c>
      <c r="C52" s="620">
        <v>0</v>
      </c>
      <c r="D52" s="620">
        <f t="shared" si="0"/>
        <v>0</v>
      </c>
    </row>
    <row r="53" spans="1:4">
      <c r="A53" s="621" t="s">
        <v>261</v>
      </c>
      <c r="B53" s="620">
        <v>0</v>
      </c>
      <c r="C53" s="620">
        <v>1</v>
      </c>
      <c r="D53" s="620">
        <f t="shared" si="0"/>
        <v>1</v>
      </c>
    </row>
    <row r="54" spans="1:4">
      <c r="A54" s="621" t="s">
        <v>262</v>
      </c>
      <c r="B54" s="620">
        <v>0</v>
      </c>
      <c r="C54" s="620">
        <v>0</v>
      </c>
      <c r="D54" s="620">
        <f t="shared" si="0"/>
        <v>0</v>
      </c>
    </row>
    <row r="55" spans="1:4">
      <c r="A55" s="621" t="s">
        <v>263</v>
      </c>
      <c r="B55" s="620">
        <v>0</v>
      </c>
      <c r="C55" s="620">
        <v>1</v>
      </c>
      <c r="D55" s="620">
        <f t="shared" si="0"/>
        <v>1</v>
      </c>
    </row>
    <row r="56" spans="1:4">
      <c r="A56" s="621" t="s">
        <v>264</v>
      </c>
      <c r="B56" s="620">
        <v>0</v>
      </c>
      <c r="C56" s="620">
        <v>0</v>
      </c>
      <c r="D56" s="620">
        <f t="shared" si="0"/>
        <v>0</v>
      </c>
    </row>
    <row r="57" spans="1:4">
      <c r="A57" s="621" t="s">
        <v>265</v>
      </c>
      <c r="B57" s="620">
        <v>0</v>
      </c>
      <c r="C57" s="620">
        <v>0</v>
      </c>
      <c r="D57" s="620">
        <f t="shared" si="0"/>
        <v>0</v>
      </c>
    </row>
    <row r="58" spans="1:4">
      <c r="A58" s="621" t="s">
        <v>266</v>
      </c>
      <c r="B58" s="620">
        <v>2</v>
      </c>
      <c r="C58" s="620">
        <v>1</v>
      </c>
      <c r="D58" s="620">
        <f t="shared" si="0"/>
        <v>3</v>
      </c>
    </row>
    <row r="59" spans="1:4">
      <c r="A59" s="621" t="s">
        <v>267</v>
      </c>
      <c r="B59" s="620">
        <v>0</v>
      </c>
      <c r="C59" s="620">
        <v>0</v>
      </c>
      <c r="D59" s="620">
        <f t="shared" si="0"/>
        <v>0</v>
      </c>
    </row>
    <row r="60" spans="1:4">
      <c r="A60" s="621" t="s">
        <v>268</v>
      </c>
      <c r="B60" s="620">
        <v>0</v>
      </c>
      <c r="C60" s="620">
        <v>0</v>
      </c>
      <c r="D60" s="620">
        <f t="shared" si="0"/>
        <v>0</v>
      </c>
    </row>
    <row r="61" spans="1:4">
      <c r="A61" s="621" t="s">
        <v>269</v>
      </c>
      <c r="B61" s="620">
        <v>0</v>
      </c>
      <c r="C61" s="620">
        <v>0</v>
      </c>
      <c r="D61" s="620">
        <f t="shared" si="0"/>
        <v>0</v>
      </c>
    </row>
    <row r="62" spans="1:4">
      <c r="A62" s="621" t="s">
        <v>270</v>
      </c>
      <c r="B62" s="620">
        <v>0</v>
      </c>
      <c r="C62" s="620">
        <v>1</v>
      </c>
      <c r="D62" s="620">
        <f t="shared" si="0"/>
        <v>1</v>
      </c>
    </row>
    <row r="63" spans="1:4">
      <c r="A63" s="621" t="s">
        <v>271</v>
      </c>
      <c r="B63" s="620">
        <v>0</v>
      </c>
      <c r="C63" s="620">
        <v>0</v>
      </c>
      <c r="D63" s="620">
        <f t="shared" si="0"/>
        <v>0</v>
      </c>
    </row>
    <row r="64" spans="1:4">
      <c r="A64" s="621" t="s">
        <v>272</v>
      </c>
      <c r="B64" s="620">
        <v>0</v>
      </c>
      <c r="C64" s="620">
        <v>0</v>
      </c>
      <c r="D64" s="620">
        <f t="shared" si="0"/>
        <v>0</v>
      </c>
    </row>
    <row r="65" spans="1:6">
      <c r="A65" s="621" t="s">
        <v>273</v>
      </c>
      <c r="B65" s="620">
        <v>0</v>
      </c>
      <c r="C65" s="620">
        <v>0</v>
      </c>
      <c r="D65" s="620">
        <f t="shared" si="0"/>
        <v>0</v>
      </c>
    </row>
    <row r="66" spans="1:6">
      <c r="A66" s="621" t="s">
        <v>274</v>
      </c>
      <c r="B66" s="620">
        <v>0</v>
      </c>
      <c r="C66" s="620">
        <v>0</v>
      </c>
      <c r="D66" s="620">
        <f t="shared" si="0"/>
        <v>0</v>
      </c>
    </row>
    <row r="67" spans="1:6">
      <c r="A67" s="621" t="s">
        <v>275</v>
      </c>
      <c r="B67" s="620">
        <v>0</v>
      </c>
      <c r="C67" s="620">
        <v>0</v>
      </c>
      <c r="D67" s="620">
        <f t="shared" si="0"/>
        <v>0</v>
      </c>
    </row>
    <row r="68" spans="1:6">
      <c r="A68" s="621" t="s">
        <v>276</v>
      </c>
      <c r="B68" s="620">
        <v>1</v>
      </c>
      <c r="C68" s="620">
        <v>0</v>
      </c>
      <c r="D68" s="620">
        <f t="shared" si="0"/>
        <v>1</v>
      </c>
    </row>
    <row r="69" spans="1:6">
      <c r="A69" s="621" t="s">
        <v>277</v>
      </c>
      <c r="B69" s="620">
        <v>1</v>
      </c>
      <c r="C69" s="620">
        <v>1</v>
      </c>
      <c r="D69" s="620">
        <f t="shared" ref="D69:D71" si="1">SUM(B69:C69)</f>
        <v>2</v>
      </c>
    </row>
    <row r="70" spans="1:6">
      <c r="A70" s="621" t="s">
        <v>278</v>
      </c>
      <c r="B70" s="620">
        <v>0</v>
      </c>
      <c r="C70" s="620">
        <v>4</v>
      </c>
      <c r="D70" s="620">
        <f t="shared" si="1"/>
        <v>4</v>
      </c>
    </row>
    <row r="71" spans="1:6">
      <c r="A71" s="621" t="s">
        <v>279</v>
      </c>
      <c r="B71" s="620">
        <v>0</v>
      </c>
      <c r="C71" s="620">
        <v>0</v>
      </c>
      <c r="D71" s="620">
        <f t="shared" si="1"/>
        <v>0</v>
      </c>
    </row>
    <row r="72" spans="1:6">
      <c r="A72" s="621" t="s">
        <v>280</v>
      </c>
      <c r="B72" s="620">
        <v>0</v>
      </c>
      <c r="C72" s="620">
        <v>0</v>
      </c>
      <c r="D72" s="620">
        <f>SUM(B72:C72)</f>
        <v>0</v>
      </c>
    </row>
    <row r="73" spans="1:6">
      <c r="A73" s="625" t="s">
        <v>327</v>
      </c>
      <c r="B73" s="947"/>
      <c r="C73" s="948"/>
      <c r="D73" s="620">
        <v>2</v>
      </c>
    </row>
    <row r="74" spans="1:6">
      <c r="A74" s="626" t="s">
        <v>5</v>
      </c>
      <c r="B74" s="627">
        <f>SUM(B4:B72)</f>
        <v>161</v>
      </c>
      <c r="C74" s="627">
        <f>SUM(C4:C72)</f>
        <v>72</v>
      </c>
      <c r="D74" s="656">
        <f>SUM(D4:D73)</f>
        <v>235</v>
      </c>
    </row>
    <row r="75" spans="1:6">
      <c r="A75" s="649"/>
      <c r="B75" s="649"/>
      <c r="C75" s="649"/>
      <c r="D75" s="649"/>
    </row>
    <row r="76" spans="1:6">
      <c r="A76" s="920" t="s">
        <v>434</v>
      </c>
      <c r="B76" s="920" t="s">
        <v>435</v>
      </c>
      <c r="C76" s="921" t="s">
        <v>461</v>
      </c>
      <c r="D76" s="920" t="s">
        <v>23</v>
      </c>
      <c r="E76" s="580"/>
      <c r="F76" s="580"/>
    </row>
    <row r="77" spans="1:6">
      <c r="A77" s="921">
        <v>161</v>
      </c>
      <c r="B77" s="921">
        <v>72</v>
      </c>
      <c r="C77" s="921">
        <v>2</v>
      </c>
      <c r="D77" s="921">
        <f>SUM(A77:C77)</f>
        <v>235</v>
      </c>
      <c r="E77" s="580"/>
      <c r="F77" s="580"/>
    </row>
    <row r="78" spans="1:6">
      <c r="A78" s="649"/>
      <c r="B78" s="649"/>
      <c r="C78" s="649"/>
      <c r="D78" s="649"/>
      <c r="E78" s="649"/>
      <c r="F78" s="649"/>
    </row>
    <row r="79" spans="1:6">
      <c r="A79" s="649"/>
      <c r="B79" s="649"/>
      <c r="C79" s="649"/>
      <c r="D79" s="649"/>
      <c r="E79" s="649"/>
      <c r="F79" s="649"/>
    </row>
    <row r="80" spans="1:6">
      <c r="A80" s="649"/>
      <c r="B80" s="649"/>
      <c r="C80" s="649"/>
      <c r="D80" s="649"/>
      <c r="E80" s="649"/>
      <c r="F80" s="649"/>
    </row>
  </sheetData>
  <mergeCells count="1">
    <mergeCell ref="B73:C7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32"/>
  <sheetViews>
    <sheetView zoomScaleNormal="100" workbookViewId="0"/>
  </sheetViews>
  <sheetFormatPr defaultRowHeight="15"/>
  <cols>
    <col min="1" max="1" width="22.7109375" customWidth="1"/>
    <col min="2" max="2" width="9.85546875" customWidth="1"/>
    <col min="3" max="3" width="9" style="109" customWidth="1"/>
    <col min="4" max="4" width="6.85546875" style="109" bestFit="1" customWidth="1"/>
    <col min="5" max="5" width="6.5703125" bestFit="1" customWidth="1"/>
    <col min="6" max="6" width="7" style="89" bestFit="1" customWidth="1"/>
    <col min="7" max="7" width="6.140625" style="89" bestFit="1" customWidth="1"/>
    <col min="8" max="8" width="6.7109375" style="89" bestFit="1" customWidth="1"/>
    <col min="9" max="9" width="7.140625" style="105" bestFit="1" customWidth="1"/>
    <col min="10" max="10" width="6.7109375" style="89" bestFit="1" customWidth="1"/>
    <col min="11" max="11" width="7.28515625" style="89" bestFit="1" customWidth="1"/>
    <col min="12" max="12" width="6.7109375" style="89" bestFit="1" customWidth="1"/>
    <col min="13" max="13" width="6.5703125" style="150" bestFit="1" customWidth="1"/>
    <col min="14" max="14" width="6.5703125" style="381" bestFit="1" customWidth="1"/>
    <col min="15" max="15" width="12.140625" style="109" customWidth="1"/>
    <col min="16" max="16" width="6" style="109" bestFit="1" customWidth="1"/>
    <col min="17" max="17" width="5.42578125" style="109" customWidth="1"/>
    <col min="18" max="18" width="9.7109375" customWidth="1"/>
    <col min="19" max="19" width="24.140625" bestFit="1" customWidth="1"/>
    <col min="20" max="20" width="7" bestFit="1" customWidth="1"/>
    <col min="21" max="21" width="7.28515625" bestFit="1" customWidth="1"/>
    <col min="22" max="22" width="6.85546875" bestFit="1" customWidth="1"/>
    <col min="23" max="23" width="6.7109375" bestFit="1" customWidth="1"/>
    <col min="24" max="24" width="7.140625" bestFit="1" customWidth="1"/>
    <col min="25" max="25" width="6.140625" bestFit="1" customWidth="1"/>
    <col min="26" max="26" width="6.7109375" bestFit="1" customWidth="1"/>
    <col min="27" max="27" width="7.140625" bestFit="1" customWidth="1"/>
    <col min="28" max="28" width="6.85546875" bestFit="1" customWidth="1"/>
    <col min="29" max="29" width="7.42578125" bestFit="1" customWidth="1"/>
    <col min="30" max="30" width="6.7109375" bestFit="1" customWidth="1"/>
    <col min="31" max="31" width="6.5703125" bestFit="1" customWidth="1"/>
    <col min="32" max="32" width="5.42578125" bestFit="1" customWidth="1"/>
    <col min="33" max="33" width="6.7109375" bestFit="1" customWidth="1"/>
    <col min="34" max="34" width="13" bestFit="1" customWidth="1"/>
    <col min="35" max="35" width="11.42578125" bestFit="1" customWidth="1"/>
    <col min="36" max="36" width="10.28515625" bestFit="1" customWidth="1"/>
    <col min="37" max="38" width="9.28515625" bestFit="1" customWidth="1"/>
    <col min="39" max="40" width="9.7109375" bestFit="1" customWidth="1"/>
    <col min="41" max="41" width="10" bestFit="1" customWidth="1"/>
    <col min="42" max="42" width="9.42578125" customWidth="1"/>
    <col min="43" max="43" width="31.85546875" customWidth="1"/>
    <col min="44" max="44" width="7.7109375" bestFit="1" customWidth="1"/>
    <col min="45" max="45" width="7.85546875" bestFit="1" customWidth="1"/>
    <col min="46" max="46" width="8.28515625" bestFit="1" customWidth="1"/>
    <col min="47" max="47" width="7.85546875" bestFit="1" customWidth="1"/>
    <col min="48" max="48" width="7.7109375" bestFit="1" customWidth="1"/>
    <col min="49" max="50" width="9.42578125" bestFit="1" customWidth="1"/>
    <col min="51" max="53" width="9.28515625" bestFit="1" customWidth="1"/>
    <col min="54" max="54" width="9.28515625" style="154" bestFit="1" customWidth="1"/>
    <col min="55" max="55" width="9.140625" customWidth="1"/>
  </cols>
  <sheetData>
    <row r="1" spans="1:3">
      <c r="A1" s="110" t="s">
        <v>0</v>
      </c>
    </row>
    <row r="2" spans="1:3">
      <c r="A2" s="1" t="s">
        <v>1</v>
      </c>
    </row>
    <row r="3" spans="1:3" ht="15.75" thickBot="1"/>
    <row r="4" spans="1:3" ht="15.75" thickBot="1">
      <c r="A4" s="950" t="s">
        <v>339</v>
      </c>
      <c r="B4" s="950"/>
      <c r="C4" s="951"/>
    </row>
    <row r="5" spans="1:3" ht="15.75" thickBot="1">
      <c r="A5" s="4" t="s">
        <v>2</v>
      </c>
      <c r="B5" s="785" t="s">
        <v>212</v>
      </c>
      <c r="C5" s="787" t="s">
        <v>213</v>
      </c>
    </row>
    <row r="6" spans="1:3">
      <c r="A6" s="382">
        <v>44927</v>
      </c>
      <c r="B6" s="383">
        <f>M100</f>
        <v>728</v>
      </c>
      <c r="C6" s="786">
        <f>((B6-728)/728)*100</f>
        <v>0</v>
      </c>
    </row>
    <row r="7" spans="1:3">
      <c r="A7" s="384">
        <v>44958</v>
      </c>
      <c r="B7" s="385">
        <v>532</v>
      </c>
      <c r="C7" s="9">
        <f t="shared" ref="C7:C17" si="0">((B7-B6)/B6)*100</f>
        <v>-26.923076923076923</v>
      </c>
    </row>
    <row r="8" spans="1:3">
      <c r="A8" s="384">
        <v>44986</v>
      </c>
      <c r="B8" s="385">
        <v>728</v>
      </c>
      <c r="C8" s="9">
        <f t="shared" si="0"/>
        <v>36.84210526315789</v>
      </c>
    </row>
    <row r="9" spans="1:3">
      <c r="A9" s="384">
        <v>45017</v>
      </c>
      <c r="B9" s="385">
        <v>799</v>
      </c>
      <c r="C9" s="9">
        <f t="shared" si="0"/>
        <v>9.7527472527472536</v>
      </c>
    </row>
    <row r="10" spans="1:3">
      <c r="A10" s="384">
        <v>45047</v>
      </c>
      <c r="B10" s="385">
        <v>736</v>
      </c>
      <c r="C10" s="9">
        <f t="shared" si="0"/>
        <v>-7.8848560700876096</v>
      </c>
    </row>
    <row r="11" spans="1:3">
      <c r="A11" s="384">
        <v>45078</v>
      </c>
      <c r="B11" s="385">
        <v>662</v>
      </c>
      <c r="C11" s="9">
        <f t="shared" si="0"/>
        <v>-10.054347826086957</v>
      </c>
    </row>
    <row r="12" spans="1:3">
      <c r="A12" s="384">
        <v>45108</v>
      </c>
      <c r="B12" s="385">
        <v>706</v>
      </c>
      <c r="C12" s="9">
        <f t="shared" si="0"/>
        <v>6.6465256797583088</v>
      </c>
    </row>
    <row r="13" spans="1:3">
      <c r="A13" s="384">
        <v>45139</v>
      </c>
      <c r="B13" s="385">
        <v>636</v>
      </c>
      <c r="C13" s="9">
        <f t="shared" si="0"/>
        <v>-9.9150141643059495</v>
      </c>
    </row>
    <row r="14" spans="1:3">
      <c r="A14" s="384">
        <v>45170</v>
      </c>
      <c r="B14" s="385">
        <v>666</v>
      </c>
      <c r="C14" s="9">
        <f t="shared" si="0"/>
        <v>4.716981132075472</v>
      </c>
    </row>
    <row r="15" spans="1:3">
      <c r="A15" s="384">
        <v>45200</v>
      </c>
      <c r="B15" s="385">
        <v>723</v>
      </c>
      <c r="C15" s="9">
        <f t="shared" si="0"/>
        <v>8.5585585585585591</v>
      </c>
    </row>
    <row r="16" spans="1:3">
      <c r="A16" s="384">
        <v>45231</v>
      </c>
      <c r="B16" s="386">
        <v>637</v>
      </c>
      <c r="C16" s="9">
        <f t="shared" si="0"/>
        <v>-11.89488243430152</v>
      </c>
    </row>
    <row r="17" spans="1:41" ht="15.75" thickBot="1">
      <c r="A17" s="387">
        <v>45261</v>
      </c>
      <c r="B17" s="388">
        <v>441</v>
      </c>
      <c r="C17" s="9">
        <f t="shared" si="0"/>
        <v>-30.76923076923077</v>
      </c>
    </row>
    <row r="18" spans="1:41" ht="15.75" thickBot="1">
      <c r="A18" s="18" t="s">
        <v>5</v>
      </c>
      <c r="B18" s="389">
        <f>SUM(B6:B17)</f>
        <v>7994</v>
      </c>
      <c r="C18"/>
    </row>
    <row r="19" spans="1:41" ht="15.75" thickBot="1">
      <c r="A19" s="390" t="s">
        <v>6</v>
      </c>
      <c r="B19" s="389">
        <f>AVERAGE(B6:B17)</f>
        <v>666.16666666666663</v>
      </c>
      <c r="C19"/>
    </row>
    <row r="20" spans="1:41" ht="15.75" thickBot="1">
      <c r="A20" s="109"/>
      <c r="B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</row>
    <row r="21" spans="1:41" customFormat="1" ht="24.95" customHeight="1" thickBot="1">
      <c r="A21" s="391" t="s">
        <v>340</v>
      </c>
      <c r="B21" s="392">
        <v>45261</v>
      </c>
      <c r="C21" s="392">
        <v>45231</v>
      </c>
      <c r="D21" s="392">
        <v>45200</v>
      </c>
      <c r="E21" s="392">
        <v>45170</v>
      </c>
      <c r="F21" s="392">
        <v>45139</v>
      </c>
      <c r="G21" s="392">
        <v>45108</v>
      </c>
      <c r="H21" s="392">
        <v>45078</v>
      </c>
      <c r="I21" s="392">
        <v>45047</v>
      </c>
      <c r="J21" s="392">
        <v>45017</v>
      </c>
      <c r="K21" s="392">
        <v>44986</v>
      </c>
      <c r="L21" s="392">
        <v>44958</v>
      </c>
      <c r="M21" s="392">
        <v>44927</v>
      </c>
      <c r="N21" s="392" t="s">
        <v>5</v>
      </c>
      <c r="O21" s="393" t="s">
        <v>6</v>
      </c>
      <c r="P21" s="394" t="s">
        <v>8</v>
      </c>
      <c r="Q21" s="395"/>
      <c r="S21" s="950" t="s">
        <v>341</v>
      </c>
      <c r="T21" s="950"/>
      <c r="U21" s="950"/>
      <c r="V21" s="950"/>
      <c r="W21" s="950"/>
      <c r="X21" s="950"/>
      <c r="Y21" s="950"/>
      <c r="Z21" s="950"/>
      <c r="AA21" s="950"/>
      <c r="AB21" s="950"/>
      <c r="AC21" s="950"/>
      <c r="AD21" s="950"/>
      <c r="AE21" s="950"/>
      <c r="AF21" s="950"/>
      <c r="AG21" s="950"/>
      <c r="AH21" s="396">
        <v>12</v>
      </c>
      <c r="AI21" s="396">
        <v>7</v>
      </c>
      <c r="AJ21" s="396">
        <v>11</v>
      </c>
      <c r="AK21" s="396">
        <v>7</v>
      </c>
      <c r="AL21" s="396">
        <v>2</v>
      </c>
      <c r="AM21" s="396">
        <v>10</v>
      </c>
      <c r="AN21" s="396">
        <v>7</v>
      </c>
      <c r="AO21" s="154"/>
    </row>
    <row r="22" spans="1:41" customFormat="1" ht="34.5" customHeight="1" thickBot="1">
      <c r="A22" s="397" t="s">
        <v>342</v>
      </c>
      <c r="B22" s="398">
        <v>0</v>
      </c>
      <c r="C22" s="399">
        <v>1</v>
      </c>
      <c r="D22" s="399">
        <v>3</v>
      </c>
      <c r="E22" s="399">
        <v>1</v>
      </c>
      <c r="F22" s="399">
        <v>1</v>
      </c>
      <c r="G22" s="399">
        <v>0</v>
      </c>
      <c r="H22" s="399">
        <v>0</v>
      </c>
      <c r="I22" s="399">
        <v>0</v>
      </c>
      <c r="J22" s="400">
        <v>3</v>
      </c>
      <c r="K22" s="401">
        <v>0</v>
      </c>
      <c r="L22" s="400">
        <v>2</v>
      </c>
      <c r="M22" s="402">
        <v>0</v>
      </c>
      <c r="N22" s="403">
        <f t="shared" ref="N22:N53" si="1">SUM(B22:M22)</f>
        <v>11</v>
      </c>
      <c r="O22" s="404">
        <f t="shared" ref="O22:O53" si="2">AVERAGE(B22:M22)</f>
        <v>0.91666666666666663</v>
      </c>
      <c r="P22" s="405">
        <f>(N22/N100)*100</f>
        <v>0.13760320240180135</v>
      </c>
      <c r="Q22" s="406"/>
      <c r="R22" s="211"/>
      <c r="S22" s="407"/>
      <c r="T22" s="408">
        <v>45261</v>
      </c>
      <c r="U22" s="408">
        <v>45231</v>
      </c>
      <c r="V22" s="408">
        <v>45200</v>
      </c>
      <c r="W22" s="408">
        <v>45170</v>
      </c>
      <c r="X22" s="408">
        <v>45139</v>
      </c>
      <c r="Y22" s="408">
        <v>45108</v>
      </c>
      <c r="Z22" s="408">
        <v>45078</v>
      </c>
      <c r="AA22" s="408">
        <v>45047</v>
      </c>
      <c r="AB22" s="408">
        <v>45017</v>
      </c>
      <c r="AC22" s="408">
        <v>44986</v>
      </c>
      <c r="AD22" s="408">
        <v>44958</v>
      </c>
      <c r="AE22" s="409">
        <v>44927</v>
      </c>
      <c r="AF22" s="410" t="s">
        <v>5</v>
      </c>
      <c r="AG22" s="411" t="s">
        <v>6</v>
      </c>
      <c r="AH22" s="396">
        <v>84</v>
      </c>
      <c r="AI22" s="396">
        <v>49</v>
      </c>
      <c r="AJ22" s="396">
        <v>90</v>
      </c>
      <c r="AK22" s="396">
        <v>117</v>
      </c>
      <c r="AL22" s="396">
        <v>58</v>
      </c>
      <c r="AM22" s="396">
        <v>49</v>
      </c>
      <c r="AN22" s="396">
        <v>22</v>
      </c>
      <c r="AO22" s="154"/>
    </row>
    <row r="23" spans="1:41" customFormat="1" ht="24.95" customHeight="1" thickBot="1">
      <c r="A23" s="412" t="s">
        <v>343</v>
      </c>
      <c r="B23" s="398">
        <v>0</v>
      </c>
      <c r="C23" s="399">
        <v>0</v>
      </c>
      <c r="D23" s="399">
        <v>0</v>
      </c>
      <c r="E23" s="399">
        <v>0</v>
      </c>
      <c r="F23" s="399">
        <v>0</v>
      </c>
      <c r="G23" s="399">
        <v>0</v>
      </c>
      <c r="H23" s="399">
        <v>0</v>
      </c>
      <c r="I23" s="399">
        <v>2</v>
      </c>
      <c r="J23" s="413">
        <v>1</v>
      </c>
      <c r="K23" s="414">
        <v>0</v>
      </c>
      <c r="L23" s="413">
        <v>5</v>
      </c>
      <c r="M23" s="402">
        <v>0</v>
      </c>
      <c r="N23" s="403">
        <f t="shared" si="1"/>
        <v>8</v>
      </c>
      <c r="O23" s="404">
        <f t="shared" si="2"/>
        <v>0.66666666666666663</v>
      </c>
      <c r="P23" s="405">
        <f>(N23/N100)*100</f>
        <v>0.10007505629221916</v>
      </c>
      <c r="Q23" s="406"/>
      <c r="R23" s="211"/>
      <c r="S23" s="952" t="s">
        <v>344</v>
      </c>
      <c r="T23" s="952"/>
      <c r="U23" s="952"/>
      <c r="V23" s="952"/>
      <c r="W23" s="952"/>
      <c r="X23" s="952"/>
      <c r="Y23" s="952"/>
      <c r="Z23" s="952"/>
      <c r="AA23" s="952"/>
      <c r="AB23" s="952"/>
      <c r="AC23" s="952"/>
      <c r="AD23" s="952"/>
      <c r="AE23" s="952"/>
      <c r="AF23" s="415"/>
      <c r="AG23" s="416"/>
      <c r="AH23" s="154"/>
      <c r="AI23" s="154"/>
      <c r="AJ23" s="154"/>
      <c r="AK23" s="154"/>
      <c r="AL23" s="154"/>
      <c r="AM23" s="154"/>
      <c r="AN23" s="154"/>
      <c r="AO23" s="154"/>
    </row>
    <row r="24" spans="1:41" customFormat="1" ht="24.95" customHeight="1" thickBot="1">
      <c r="A24" s="412" t="s">
        <v>216</v>
      </c>
      <c r="B24" s="417">
        <v>2</v>
      </c>
      <c r="C24" s="418">
        <v>8</v>
      </c>
      <c r="D24" s="418">
        <v>5</v>
      </c>
      <c r="E24" s="418">
        <v>4</v>
      </c>
      <c r="F24" s="418">
        <v>4</v>
      </c>
      <c r="G24" s="399">
        <v>1</v>
      </c>
      <c r="H24" s="418">
        <v>7</v>
      </c>
      <c r="I24" s="418">
        <v>4</v>
      </c>
      <c r="J24" s="413">
        <v>6</v>
      </c>
      <c r="K24" s="419">
        <v>3</v>
      </c>
      <c r="L24" s="413">
        <v>4</v>
      </c>
      <c r="M24" s="420">
        <v>6</v>
      </c>
      <c r="N24" s="421">
        <f t="shared" si="1"/>
        <v>54</v>
      </c>
      <c r="O24" s="422">
        <f t="shared" si="2"/>
        <v>4.5</v>
      </c>
      <c r="P24" s="423">
        <f t="shared" ref="P24:P55" si="3">(N24/$N$100)*100</f>
        <v>0.67550662997247934</v>
      </c>
      <c r="Q24" s="406"/>
      <c r="R24" s="211"/>
      <c r="S24" s="424" t="s">
        <v>5</v>
      </c>
      <c r="T24" s="425">
        <v>441</v>
      </c>
      <c r="U24" s="425">
        <v>637</v>
      </c>
      <c r="V24" s="425">
        <v>723</v>
      </c>
      <c r="W24" s="425">
        <v>666</v>
      </c>
      <c r="X24" s="425">
        <v>636</v>
      </c>
      <c r="Y24" s="425">
        <v>706</v>
      </c>
      <c r="Z24" s="425">
        <v>662</v>
      </c>
      <c r="AA24" s="425">
        <v>736</v>
      </c>
      <c r="AB24" s="425">
        <v>799</v>
      </c>
      <c r="AC24" s="425">
        <v>728</v>
      </c>
      <c r="AD24" s="425">
        <v>560</v>
      </c>
      <c r="AE24" s="426">
        <v>728</v>
      </c>
      <c r="AF24" s="427">
        <f>SUM(T24:AE24)</f>
        <v>8022</v>
      </c>
      <c r="AG24" s="428">
        <f>AVERAGE(T24:AE24)</f>
        <v>668.5</v>
      </c>
      <c r="AH24" s="154"/>
      <c r="AI24" s="154"/>
      <c r="AJ24" s="154"/>
      <c r="AK24" s="154"/>
      <c r="AL24" s="154"/>
      <c r="AM24" s="154"/>
      <c r="AN24" s="154"/>
      <c r="AO24" s="154"/>
    </row>
    <row r="25" spans="1:41" customFormat="1" ht="24.95" customHeight="1">
      <c r="A25" s="412" t="s">
        <v>345</v>
      </c>
      <c r="B25" s="417">
        <v>35</v>
      </c>
      <c r="C25" s="418">
        <v>61</v>
      </c>
      <c r="D25" s="418">
        <v>58</v>
      </c>
      <c r="E25" s="418">
        <v>52</v>
      </c>
      <c r="F25" s="418">
        <v>66</v>
      </c>
      <c r="G25" s="399">
        <v>54</v>
      </c>
      <c r="H25" s="418">
        <v>54</v>
      </c>
      <c r="I25" s="418">
        <v>71</v>
      </c>
      <c r="J25" s="413">
        <v>74</v>
      </c>
      <c r="K25" s="419">
        <v>53</v>
      </c>
      <c r="L25" s="413">
        <v>45</v>
      </c>
      <c r="M25" s="420">
        <v>55</v>
      </c>
      <c r="N25" s="421">
        <f t="shared" si="1"/>
        <v>678</v>
      </c>
      <c r="O25" s="422">
        <f t="shared" si="2"/>
        <v>56.5</v>
      </c>
      <c r="P25" s="423">
        <f>(N25/$N$100)*100</f>
        <v>8.4813610207655739</v>
      </c>
      <c r="Q25" s="406"/>
      <c r="R25" s="211"/>
      <c r="S25" s="429"/>
      <c r="T25" s="430"/>
      <c r="U25" s="430"/>
      <c r="V25" s="430"/>
      <c r="W25" s="430"/>
      <c r="X25" s="430"/>
      <c r="Y25" s="431"/>
      <c r="Z25" s="432"/>
      <c r="AA25" s="430"/>
      <c r="AB25" s="430"/>
      <c r="AC25" s="430"/>
      <c r="AD25" s="430"/>
      <c r="AE25" s="431"/>
      <c r="AF25" s="429"/>
      <c r="AG25" s="433"/>
      <c r="AH25" s="434"/>
      <c r="AI25" s="154"/>
      <c r="AJ25" s="154"/>
      <c r="AK25" s="154"/>
      <c r="AL25" s="154"/>
      <c r="AM25" s="154"/>
      <c r="AN25" s="154"/>
      <c r="AO25" s="154"/>
    </row>
    <row r="26" spans="1:41" customFormat="1" ht="24.95" customHeight="1" thickBot="1">
      <c r="A26" s="412" t="s">
        <v>346</v>
      </c>
      <c r="B26" s="417">
        <v>3</v>
      </c>
      <c r="C26" s="418">
        <v>9</v>
      </c>
      <c r="D26" s="418">
        <v>10</v>
      </c>
      <c r="E26" s="418">
        <v>4</v>
      </c>
      <c r="F26" s="418">
        <v>6</v>
      </c>
      <c r="G26" s="399">
        <v>2</v>
      </c>
      <c r="H26" s="418">
        <v>4</v>
      </c>
      <c r="I26" s="418">
        <v>13</v>
      </c>
      <c r="J26" s="413">
        <v>11</v>
      </c>
      <c r="K26" s="419">
        <v>7</v>
      </c>
      <c r="L26" s="413">
        <v>5</v>
      </c>
      <c r="M26" s="420">
        <v>10</v>
      </c>
      <c r="N26" s="421">
        <f t="shared" si="1"/>
        <v>84</v>
      </c>
      <c r="O26" s="422">
        <f t="shared" si="2"/>
        <v>7</v>
      </c>
      <c r="P26" s="423">
        <f t="shared" si="3"/>
        <v>1.0507880910683012</v>
      </c>
      <c r="Q26" s="406"/>
      <c r="R26" s="211"/>
      <c r="S26" s="953" t="s">
        <v>347</v>
      </c>
      <c r="T26" s="953"/>
      <c r="U26" s="953"/>
      <c r="V26" s="953"/>
      <c r="W26" s="953"/>
      <c r="X26" s="953"/>
      <c r="Y26" s="953"/>
      <c r="Z26" s="953"/>
      <c r="AA26" s="953"/>
      <c r="AB26" s="953"/>
      <c r="AC26" s="953"/>
      <c r="AD26" s="953"/>
      <c r="AE26" s="953"/>
      <c r="AF26" s="435"/>
      <c r="AG26" s="436"/>
      <c r="AH26" s="434"/>
      <c r="AI26" s="154"/>
      <c r="AJ26" s="154"/>
      <c r="AK26" s="154"/>
      <c r="AL26" s="154"/>
      <c r="AM26" s="154"/>
      <c r="AN26" s="154"/>
      <c r="AO26" s="154"/>
    </row>
    <row r="27" spans="1:41" customFormat="1" ht="24.95" customHeight="1" thickBot="1">
      <c r="A27" s="412" t="s">
        <v>348</v>
      </c>
      <c r="B27" s="417">
        <v>19</v>
      </c>
      <c r="C27" s="418">
        <v>11</v>
      </c>
      <c r="D27" s="418">
        <v>12</v>
      </c>
      <c r="E27" s="418">
        <v>8</v>
      </c>
      <c r="F27" s="418">
        <v>10</v>
      </c>
      <c r="G27" s="399">
        <v>14</v>
      </c>
      <c r="H27" s="418">
        <v>20</v>
      </c>
      <c r="I27" s="418">
        <v>14</v>
      </c>
      <c r="J27" s="413">
        <v>12</v>
      </c>
      <c r="K27" s="419">
        <v>18</v>
      </c>
      <c r="L27" s="413">
        <v>13</v>
      </c>
      <c r="M27" s="420">
        <v>12</v>
      </c>
      <c r="N27" s="421">
        <f t="shared" si="1"/>
        <v>163</v>
      </c>
      <c r="O27" s="422">
        <f t="shared" si="2"/>
        <v>13.583333333333334</v>
      </c>
      <c r="P27" s="423">
        <f t="shared" si="3"/>
        <v>2.0390292719539653</v>
      </c>
      <c r="Q27" s="406"/>
      <c r="R27" s="211"/>
      <c r="S27" s="437" t="s">
        <v>349</v>
      </c>
      <c r="T27" s="438">
        <f t="shared" ref="T27:AB27" si="4">SUM(T28:T29)</f>
        <v>522</v>
      </c>
      <c r="U27" s="439">
        <f t="shared" si="4"/>
        <v>640</v>
      </c>
      <c r="V27" s="439">
        <f t="shared" si="4"/>
        <v>652</v>
      </c>
      <c r="W27" s="439">
        <v>645</v>
      </c>
      <c r="X27" s="439">
        <f t="shared" si="4"/>
        <v>599</v>
      </c>
      <c r="Y27" s="439">
        <f t="shared" si="4"/>
        <v>669</v>
      </c>
      <c r="Z27" s="439">
        <v>650</v>
      </c>
      <c r="AA27" s="439">
        <v>832</v>
      </c>
      <c r="AB27" s="439">
        <f t="shared" si="4"/>
        <v>609</v>
      </c>
      <c r="AC27" s="439">
        <v>648</v>
      </c>
      <c r="AD27" s="439">
        <f>SUM(AD28:AD29)</f>
        <v>560</v>
      </c>
      <c r="AE27" s="439">
        <f>SUM(AE28:AE29)</f>
        <v>580</v>
      </c>
      <c r="AF27" s="440">
        <f>SUM(T27:AE27)</f>
        <v>7606</v>
      </c>
      <c r="AG27" s="428">
        <f>SUM(AG28:AG29)</f>
        <v>633.83333333333337</v>
      </c>
      <c r="AH27" s="434"/>
      <c r="AI27" s="154"/>
      <c r="AJ27" s="154"/>
      <c r="AK27" s="154"/>
      <c r="AL27" s="154"/>
      <c r="AM27" s="154"/>
      <c r="AN27" s="154"/>
      <c r="AO27" s="154"/>
    </row>
    <row r="28" spans="1:41" customFormat="1" ht="24.95" customHeight="1">
      <c r="A28" s="412" t="s">
        <v>350</v>
      </c>
      <c r="B28" s="417">
        <v>1</v>
      </c>
      <c r="C28" s="418">
        <v>0</v>
      </c>
      <c r="D28" s="418">
        <v>0</v>
      </c>
      <c r="E28" s="418">
        <v>0</v>
      </c>
      <c r="F28" s="418">
        <v>0</v>
      </c>
      <c r="G28" s="399">
        <v>0</v>
      </c>
      <c r="H28" s="418">
        <v>0</v>
      </c>
      <c r="I28" s="418">
        <v>0</v>
      </c>
      <c r="J28" s="413">
        <v>0</v>
      </c>
      <c r="K28" s="419">
        <v>1</v>
      </c>
      <c r="L28" s="413">
        <v>1</v>
      </c>
      <c r="M28" s="420">
        <v>1</v>
      </c>
      <c r="N28" s="421">
        <f t="shared" si="1"/>
        <v>4</v>
      </c>
      <c r="O28" s="422">
        <f t="shared" si="2"/>
        <v>0.33333333333333331</v>
      </c>
      <c r="P28" s="423">
        <f t="shared" si="3"/>
        <v>5.0037528146109581E-2</v>
      </c>
      <c r="Q28" s="406"/>
      <c r="R28" s="211"/>
      <c r="S28" s="441" t="s">
        <v>351</v>
      </c>
      <c r="T28" s="442">
        <v>411</v>
      </c>
      <c r="U28" s="443">
        <v>442</v>
      </c>
      <c r="V28" s="443">
        <v>515</v>
      </c>
      <c r="W28" s="443">
        <v>542</v>
      </c>
      <c r="X28" s="443">
        <v>466</v>
      </c>
      <c r="Y28" s="443">
        <v>515</v>
      </c>
      <c r="Z28" s="443">
        <v>518</v>
      </c>
      <c r="AA28" s="443">
        <v>640</v>
      </c>
      <c r="AB28" s="443">
        <v>491</v>
      </c>
      <c r="AC28" s="444">
        <v>527</v>
      </c>
      <c r="AD28" s="444">
        <v>435</v>
      </c>
      <c r="AE28" s="445">
        <v>471</v>
      </c>
      <c r="AF28" s="446">
        <f>SUM(T28:AE28)</f>
        <v>5973</v>
      </c>
      <c r="AG28" s="447">
        <f>AVERAGE(T28:AE28)</f>
        <v>497.75</v>
      </c>
      <c r="AH28" s="434"/>
      <c r="AI28" s="154"/>
      <c r="AJ28" s="154"/>
      <c r="AK28" s="154"/>
      <c r="AL28" s="154"/>
      <c r="AM28" s="154"/>
      <c r="AN28" s="154"/>
      <c r="AO28" s="154"/>
    </row>
    <row r="29" spans="1:41" customFormat="1" ht="24.95" customHeight="1" thickBot="1">
      <c r="A29" s="412" t="s">
        <v>352</v>
      </c>
      <c r="B29" s="417">
        <v>2</v>
      </c>
      <c r="C29" s="418">
        <v>1</v>
      </c>
      <c r="D29" s="418">
        <v>2</v>
      </c>
      <c r="E29" s="418">
        <v>2</v>
      </c>
      <c r="F29" s="418">
        <v>1</v>
      </c>
      <c r="G29" s="399">
        <v>0</v>
      </c>
      <c r="H29" s="418">
        <v>3</v>
      </c>
      <c r="I29" s="418">
        <v>1</v>
      </c>
      <c r="J29" s="413">
        <v>0</v>
      </c>
      <c r="K29" s="419">
        <v>0</v>
      </c>
      <c r="L29" s="413">
        <v>1</v>
      </c>
      <c r="M29" s="420">
        <v>1</v>
      </c>
      <c r="N29" s="421">
        <f t="shared" si="1"/>
        <v>14</v>
      </c>
      <c r="O29" s="422">
        <f t="shared" si="2"/>
        <v>1.1666666666666667</v>
      </c>
      <c r="P29" s="423">
        <f t="shared" si="3"/>
        <v>0.17513134851138354</v>
      </c>
      <c r="Q29" s="406"/>
      <c r="R29" s="211"/>
      <c r="S29" s="448" t="s">
        <v>353</v>
      </c>
      <c r="T29" s="449">
        <v>111</v>
      </c>
      <c r="U29" s="450">
        <v>198</v>
      </c>
      <c r="V29" s="450">
        <v>137</v>
      </c>
      <c r="W29" s="450">
        <v>103</v>
      </c>
      <c r="X29" s="450">
        <v>133</v>
      </c>
      <c r="Y29" s="450">
        <v>154</v>
      </c>
      <c r="Z29" s="450">
        <v>132</v>
      </c>
      <c r="AA29" s="450">
        <v>192</v>
      </c>
      <c r="AB29" s="450">
        <v>118</v>
      </c>
      <c r="AC29" s="451">
        <v>121</v>
      </c>
      <c r="AD29" s="451">
        <v>125</v>
      </c>
      <c r="AE29" s="452">
        <v>109</v>
      </c>
      <c r="AF29" s="453">
        <f>SUM(T29:AE29)</f>
        <v>1633</v>
      </c>
      <c r="AG29" s="454">
        <f>AVERAGE(T29:AE29)</f>
        <v>136.08333333333334</v>
      </c>
      <c r="AH29" s="434"/>
      <c r="AI29" s="154"/>
      <c r="AJ29" s="154"/>
      <c r="AK29" s="154"/>
      <c r="AL29" s="154"/>
      <c r="AM29" s="154"/>
      <c r="AN29" s="154"/>
      <c r="AO29" s="154"/>
    </row>
    <row r="30" spans="1:41" customFormat="1" ht="24.95" customHeight="1" thickBot="1">
      <c r="A30" s="455" t="s">
        <v>354</v>
      </c>
      <c r="B30" s="417">
        <v>0</v>
      </c>
      <c r="C30" s="418">
        <v>2</v>
      </c>
      <c r="D30" s="418">
        <v>0</v>
      </c>
      <c r="E30" s="418">
        <v>0</v>
      </c>
      <c r="F30" s="418">
        <v>1</v>
      </c>
      <c r="G30" s="399">
        <v>0</v>
      </c>
      <c r="H30" s="418">
        <v>6</v>
      </c>
      <c r="I30" s="418">
        <v>4</v>
      </c>
      <c r="J30" s="413">
        <v>5</v>
      </c>
      <c r="K30" s="419">
        <v>3</v>
      </c>
      <c r="L30" s="413">
        <v>2</v>
      </c>
      <c r="M30" s="420">
        <v>1</v>
      </c>
      <c r="N30" s="421">
        <f t="shared" si="1"/>
        <v>24</v>
      </c>
      <c r="O30" s="422">
        <f t="shared" si="2"/>
        <v>2</v>
      </c>
      <c r="P30" s="423">
        <f t="shared" si="3"/>
        <v>0.30022516887665751</v>
      </c>
      <c r="Q30" s="406"/>
      <c r="R30" s="211"/>
      <c r="S30" s="456"/>
      <c r="T30" s="457"/>
      <c r="U30" s="457"/>
      <c r="V30" s="457"/>
      <c r="W30" s="457"/>
      <c r="X30" s="457"/>
      <c r="Y30" s="457"/>
      <c r="Z30" s="457"/>
      <c r="AA30" s="457"/>
      <c r="AB30" s="457"/>
      <c r="AC30" s="457"/>
      <c r="AD30" s="457"/>
      <c r="AE30" s="458"/>
      <c r="AF30" s="429"/>
      <c r="AG30" s="433"/>
      <c r="AH30" s="154"/>
      <c r="AI30" s="154"/>
      <c r="AJ30" s="154"/>
      <c r="AK30" s="154"/>
      <c r="AL30" s="154"/>
      <c r="AM30" s="154"/>
      <c r="AN30" s="154"/>
      <c r="AO30" s="154"/>
    </row>
    <row r="31" spans="1:41" customFormat="1" ht="36.75" customHeight="1" thickBot="1">
      <c r="A31" s="412" t="s">
        <v>355</v>
      </c>
      <c r="B31" s="417">
        <v>3</v>
      </c>
      <c r="C31" s="418">
        <v>0</v>
      </c>
      <c r="D31" s="418">
        <v>2</v>
      </c>
      <c r="E31" s="418">
        <v>3</v>
      </c>
      <c r="F31" s="418">
        <v>2</v>
      </c>
      <c r="G31" s="399">
        <v>1</v>
      </c>
      <c r="H31" s="418">
        <v>4</v>
      </c>
      <c r="I31" s="418">
        <v>4</v>
      </c>
      <c r="J31" s="413">
        <v>5</v>
      </c>
      <c r="K31" s="419">
        <v>4</v>
      </c>
      <c r="L31" s="413">
        <v>3</v>
      </c>
      <c r="M31" s="420">
        <v>5</v>
      </c>
      <c r="N31" s="421">
        <f t="shared" si="1"/>
        <v>36</v>
      </c>
      <c r="O31" s="422">
        <f t="shared" si="2"/>
        <v>3</v>
      </c>
      <c r="P31" s="423">
        <f t="shared" si="3"/>
        <v>0.45033775331498621</v>
      </c>
      <c r="Q31" s="406"/>
      <c r="R31" s="211"/>
      <c r="S31" s="954" t="s">
        <v>356</v>
      </c>
      <c r="T31" s="954"/>
      <c r="U31" s="954"/>
      <c r="V31" s="954"/>
      <c r="W31" s="954"/>
      <c r="X31" s="954"/>
      <c r="Y31" s="954"/>
      <c r="Z31" s="954"/>
      <c r="AA31" s="954"/>
      <c r="AB31" s="954"/>
      <c r="AC31" s="954"/>
      <c r="AD31" s="954"/>
      <c r="AE31" s="954"/>
      <c r="AF31" s="435"/>
      <c r="AG31" s="436"/>
      <c r="AH31" s="154"/>
      <c r="AI31" s="154"/>
      <c r="AJ31" s="154"/>
      <c r="AK31" s="154"/>
      <c r="AL31" s="154"/>
      <c r="AM31" s="154"/>
      <c r="AN31" s="154"/>
      <c r="AO31" s="154"/>
    </row>
    <row r="32" spans="1:41" customFormat="1" ht="27.75" customHeight="1" thickBot="1">
      <c r="A32" s="412" t="s">
        <v>357</v>
      </c>
      <c r="B32" s="417">
        <v>9</v>
      </c>
      <c r="C32" s="418">
        <v>11</v>
      </c>
      <c r="D32" s="418">
        <v>6</v>
      </c>
      <c r="E32" s="418">
        <v>25</v>
      </c>
      <c r="F32" s="418">
        <v>11</v>
      </c>
      <c r="G32" s="399">
        <v>10</v>
      </c>
      <c r="H32" s="418">
        <v>6</v>
      </c>
      <c r="I32" s="418">
        <v>12</v>
      </c>
      <c r="J32" s="413">
        <v>8</v>
      </c>
      <c r="K32" s="419">
        <v>9</v>
      </c>
      <c r="L32" s="413">
        <v>12</v>
      </c>
      <c r="M32" s="420">
        <v>7</v>
      </c>
      <c r="N32" s="421">
        <f t="shared" si="1"/>
        <v>126</v>
      </c>
      <c r="O32" s="422">
        <f t="shared" si="2"/>
        <v>10.5</v>
      </c>
      <c r="P32" s="423">
        <f t="shared" si="3"/>
        <v>1.5761821366024518</v>
      </c>
      <c r="Q32" s="406"/>
      <c r="R32" s="211"/>
      <c r="S32" s="744" t="s">
        <v>358</v>
      </c>
      <c r="T32" s="745">
        <v>47</v>
      </c>
      <c r="U32" s="746">
        <v>73</v>
      </c>
      <c r="V32" s="746">
        <v>110</v>
      </c>
      <c r="W32" s="746">
        <v>83</v>
      </c>
      <c r="X32" s="746">
        <v>50</v>
      </c>
      <c r="Y32" s="746">
        <v>66</v>
      </c>
      <c r="Z32" s="746">
        <v>81</v>
      </c>
      <c r="AA32" s="746">
        <v>89</v>
      </c>
      <c r="AB32" s="747">
        <v>76</v>
      </c>
      <c r="AC32" s="747">
        <v>80</v>
      </c>
      <c r="AD32" s="747">
        <v>51</v>
      </c>
      <c r="AE32" s="748">
        <v>80</v>
      </c>
      <c r="AF32" s="749">
        <f>SUM(T32:AE32)</f>
        <v>886</v>
      </c>
      <c r="AG32" s="750">
        <f>AVERAGE(T32:AE32)</f>
        <v>73.833333333333329</v>
      </c>
      <c r="AM32" s="154"/>
    </row>
    <row r="33" spans="1:40" customFormat="1" ht="34.5" thickBot="1">
      <c r="A33" s="459" t="s">
        <v>359</v>
      </c>
      <c r="B33" s="417">
        <v>3</v>
      </c>
      <c r="C33" s="418">
        <v>3</v>
      </c>
      <c r="D33" s="418">
        <v>1</v>
      </c>
      <c r="E33" s="418">
        <v>1</v>
      </c>
      <c r="F33" s="418">
        <v>1</v>
      </c>
      <c r="G33" s="399">
        <v>2</v>
      </c>
      <c r="H33" s="418">
        <v>4</v>
      </c>
      <c r="I33" s="418">
        <v>3</v>
      </c>
      <c r="J33" s="413">
        <v>2</v>
      </c>
      <c r="K33" s="419">
        <v>6</v>
      </c>
      <c r="L33" s="413">
        <v>1</v>
      </c>
      <c r="M33" s="420">
        <v>8</v>
      </c>
      <c r="N33" s="421">
        <f t="shared" si="1"/>
        <v>35</v>
      </c>
      <c r="O33" s="422">
        <f t="shared" si="2"/>
        <v>2.9166666666666665</v>
      </c>
      <c r="P33" s="423">
        <f t="shared" si="3"/>
        <v>0.43782837127845886</v>
      </c>
      <c r="Q33" s="406"/>
      <c r="R33" s="211"/>
      <c r="S33" s="751" t="s">
        <v>360</v>
      </c>
      <c r="T33" s="752">
        <f t="shared" ref="T33:Y33" si="5">SUM(T34:T35)</f>
        <v>42</v>
      </c>
      <c r="U33" s="752">
        <f t="shared" si="5"/>
        <v>62</v>
      </c>
      <c r="V33" s="752">
        <f t="shared" si="5"/>
        <v>94</v>
      </c>
      <c r="W33" s="752">
        <f t="shared" si="5"/>
        <v>68</v>
      </c>
      <c r="X33" s="752">
        <f t="shared" si="5"/>
        <v>36</v>
      </c>
      <c r="Y33" s="752">
        <f t="shared" si="5"/>
        <v>53</v>
      </c>
      <c r="Z33" s="752">
        <v>69</v>
      </c>
      <c r="AA33" s="752">
        <v>66</v>
      </c>
      <c r="AB33" s="752">
        <v>63</v>
      </c>
      <c r="AC33" s="752">
        <v>50</v>
      </c>
      <c r="AD33" s="752">
        <f>SUM(AD34:AD35)</f>
        <v>46</v>
      </c>
      <c r="AE33" s="752">
        <f>SUM(AE34:AE35)</f>
        <v>63</v>
      </c>
      <c r="AF33" s="753">
        <f>SUM(T33:AE33)</f>
        <v>712</v>
      </c>
      <c r="AG33" s="754">
        <f>SUM(AG34:AG35)</f>
        <v>59.333333333333329</v>
      </c>
      <c r="AM33" s="154"/>
    </row>
    <row r="34" spans="1:40" customFormat="1" ht="23.25">
      <c r="A34" s="412" t="s">
        <v>361</v>
      </c>
      <c r="B34" s="417">
        <v>35</v>
      </c>
      <c r="C34" s="418">
        <v>37</v>
      </c>
      <c r="D34" s="418">
        <v>49</v>
      </c>
      <c r="E34" s="418">
        <v>42</v>
      </c>
      <c r="F34" s="418">
        <v>38</v>
      </c>
      <c r="G34" s="399">
        <v>54</v>
      </c>
      <c r="H34" s="418">
        <v>54</v>
      </c>
      <c r="I34" s="418">
        <v>55</v>
      </c>
      <c r="J34" s="413">
        <v>50</v>
      </c>
      <c r="K34" s="419">
        <v>34</v>
      </c>
      <c r="L34" s="413">
        <v>52</v>
      </c>
      <c r="M34" s="420">
        <v>52</v>
      </c>
      <c r="N34" s="421">
        <f t="shared" si="1"/>
        <v>552</v>
      </c>
      <c r="O34" s="422">
        <f t="shared" si="2"/>
        <v>46</v>
      </c>
      <c r="P34" s="423">
        <f t="shared" si="3"/>
        <v>6.9051788841631225</v>
      </c>
      <c r="Q34" s="406"/>
      <c r="R34" s="211"/>
      <c r="S34" s="755" t="s">
        <v>362</v>
      </c>
      <c r="T34" s="756">
        <v>32</v>
      </c>
      <c r="U34" s="757">
        <v>35</v>
      </c>
      <c r="V34" s="758">
        <v>50</v>
      </c>
      <c r="W34" s="759">
        <v>49</v>
      </c>
      <c r="X34" s="760">
        <v>30</v>
      </c>
      <c r="Y34" s="761">
        <v>40</v>
      </c>
      <c r="Z34" s="762">
        <v>55</v>
      </c>
      <c r="AA34" s="757">
        <v>51</v>
      </c>
      <c r="AB34" s="757">
        <v>48</v>
      </c>
      <c r="AC34" s="757">
        <v>30</v>
      </c>
      <c r="AD34" s="757">
        <v>24</v>
      </c>
      <c r="AE34" s="760">
        <v>47</v>
      </c>
      <c r="AF34" s="763">
        <f>SUM(T34:AE34)</f>
        <v>491</v>
      </c>
      <c r="AG34" s="764">
        <f>AVERAGE(T34:AE34)</f>
        <v>40.916666666666664</v>
      </c>
      <c r="AM34" s="154"/>
      <c r="AN34" s="154"/>
    </row>
    <row r="35" spans="1:40" customFormat="1" ht="24" thickBot="1">
      <c r="A35" s="412" t="s">
        <v>363</v>
      </c>
      <c r="B35" s="417">
        <v>1</v>
      </c>
      <c r="C35" s="418">
        <v>2</v>
      </c>
      <c r="D35" s="418">
        <v>5</v>
      </c>
      <c r="E35" s="418">
        <v>5</v>
      </c>
      <c r="F35" s="418">
        <v>3</v>
      </c>
      <c r="G35" s="399">
        <v>4</v>
      </c>
      <c r="H35" s="418">
        <v>5</v>
      </c>
      <c r="I35" s="418">
        <v>1</v>
      </c>
      <c r="J35" s="413">
        <v>1</v>
      </c>
      <c r="K35" s="419">
        <v>1</v>
      </c>
      <c r="L35" s="413">
        <v>2</v>
      </c>
      <c r="M35" s="420">
        <v>5</v>
      </c>
      <c r="N35" s="421">
        <f t="shared" si="1"/>
        <v>35</v>
      </c>
      <c r="O35" s="422">
        <f t="shared" si="2"/>
        <v>2.9166666666666665</v>
      </c>
      <c r="P35" s="423">
        <f t="shared" si="3"/>
        <v>0.43782837127845886</v>
      </c>
      <c r="Q35" s="406"/>
      <c r="R35" s="211"/>
      <c r="S35" s="765" t="s">
        <v>353</v>
      </c>
      <c r="T35" s="766">
        <v>10</v>
      </c>
      <c r="U35" s="767">
        <v>27</v>
      </c>
      <c r="V35" s="767">
        <v>44</v>
      </c>
      <c r="W35" s="768">
        <v>19</v>
      </c>
      <c r="X35" s="769">
        <v>6</v>
      </c>
      <c r="Y35" s="770">
        <v>13</v>
      </c>
      <c r="Z35" s="771">
        <v>14</v>
      </c>
      <c r="AA35" s="767">
        <v>15</v>
      </c>
      <c r="AB35" s="767">
        <v>15</v>
      </c>
      <c r="AC35" s="767">
        <v>20</v>
      </c>
      <c r="AD35" s="767">
        <v>22</v>
      </c>
      <c r="AE35" s="769">
        <v>16</v>
      </c>
      <c r="AF35" s="772">
        <f>SUM(T35:AE35)</f>
        <v>221</v>
      </c>
      <c r="AG35" s="773">
        <f>AVERAGE(T35:AE35)</f>
        <v>18.416666666666668</v>
      </c>
      <c r="AM35" s="154"/>
      <c r="AN35" s="154"/>
    </row>
    <row r="36" spans="1:40" customFormat="1" ht="24" thickBot="1">
      <c r="A36" s="412" t="s">
        <v>364</v>
      </c>
      <c r="B36" s="417">
        <v>16</v>
      </c>
      <c r="C36" s="418">
        <v>15</v>
      </c>
      <c r="D36" s="418">
        <v>23</v>
      </c>
      <c r="E36" s="418">
        <v>22</v>
      </c>
      <c r="F36" s="418">
        <v>15</v>
      </c>
      <c r="G36" s="399">
        <v>14</v>
      </c>
      <c r="H36" s="418">
        <v>20</v>
      </c>
      <c r="I36" s="418">
        <v>19</v>
      </c>
      <c r="J36" s="413">
        <v>21</v>
      </c>
      <c r="K36" s="419">
        <v>23</v>
      </c>
      <c r="L36" s="413">
        <v>17</v>
      </c>
      <c r="M36" s="420">
        <v>12</v>
      </c>
      <c r="N36" s="421">
        <f t="shared" si="1"/>
        <v>217</v>
      </c>
      <c r="O36" s="422">
        <f t="shared" si="2"/>
        <v>18.083333333333332</v>
      </c>
      <c r="P36" s="423">
        <f t="shared" si="3"/>
        <v>2.7145359019264448</v>
      </c>
      <c r="Q36" s="2"/>
      <c r="R36" s="211"/>
      <c r="S36" s="456"/>
      <c r="T36" s="457"/>
      <c r="U36" s="457"/>
      <c r="V36" s="457"/>
      <c r="W36" s="457"/>
      <c r="X36" s="457"/>
      <c r="Y36" s="457"/>
      <c r="Z36" s="457"/>
      <c r="AA36" s="457"/>
      <c r="AB36" s="457"/>
      <c r="AC36" s="457"/>
      <c r="AD36" s="457"/>
      <c r="AE36" s="458"/>
      <c r="AF36" s="415"/>
      <c r="AG36" s="433"/>
      <c r="AM36" s="154"/>
      <c r="AN36" s="154"/>
    </row>
    <row r="37" spans="1:40" customFormat="1" ht="24" thickBot="1">
      <c r="A37" s="412" t="s">
        <v>365</v>
      </c>
      <c r="B37" s="417">
        <v>8</v>
      </c>
      <c r="C37" s="418">
        <v>21</v>
      </c>
      <c r="D37" s="418">
        <v>10</v>
      </c>
      <c r="E37" s="418">
        <v>19</v>
      </c>
      <c r="F37" s="418">
        <v>24</v>
      </c>
      <c r="G37" s="399">
        <v>12</v>
      </c>
      <c r="H37" s="418">
        <v>9</v>
      </c>
      <c r="I37" s="418">
        <v>8</v>
      </c>
      <c r="J37" s="413">
        <v>22</v>
      </c>
      <c r="K37" s="419">
        <v>17</v>
      </c>
      <c r="L37" s="413">
        <v>8</v>
      </c>
      <c r="M37" s="420">
        <v>14</v>
      </c>
      <c r="N37" s="421">
        <f t="shared" si="1"/>
        <v>172</v>
      </c>
      <c r="O37" s="422">
        <f t="shared" si="2"/>
        <v>14.333333333333334</v>
      </c>
      <c r="P37" s="423">
        <f t="shared" si="3"/>
        <v>2.151613710282712</v>
      </c>
      <c r="Q37" s="2"/>
      <c r="R37" s="211"/>
      <c r="S37" s="955" t="s">
        <v>366</v>
      </c>
      <c r="T37" s="955"/>
      <c r="U37" s="955"/>
      <c r="V37" s="955"/>
      <c r="W37" s="955"/>
      <c r="X37" s="955"/>
      <c r="Y37" s="955"/>
      <c r="Z37" s="955"/>
      <c r="AA37" s="955"/>
      <c r="AB37" s="955"/>
      <c r="AC37" s="955"/>
      <c r="AD37" s="955"/>
      <c r="AE37" s="955"/>
      <c r="AF37" s="435"/>
      <c r="AG37" s="436"/>
      <c r="AM37" s="154"/>
      <c r="AN37" s="154"/>
    </row>
    <row r="38" spans="1:40" customFormat="1" ht="24" thickBot="1">
      <c r="A38" s="412" t="s">
        <v>367</v>
      </c>
      <c r="B38" s="417">
        <v>6</v>
      </c>
      <c r="C38" s="418">
        <v>4</v>
      </c>
      <c r="D38" s="418">
        <v>5</v>
      </c>
      <c r="E38" s="418">
        <v>5</v>
      </c>
      <c r="F38" s="418">
        <v>4</v>
      </c>
      <c r="G38" s="399">
        <v>7</v>
      </c>
      <c r="H38" s="418">
        <v>5</v>
      </c>
      <c r="I38" s="418">
        <v>3</v>
      </c>
      <c r="J38" s="413">
        <v>4</v>
      </c>
      <c r="K38" s="419">
        <v>5</v>
      </c>
      <c r="L38" s="413">
        <v>2</v>
      </c>
      <c r="M38" s="420">
        <v>4</v>
      </c>
      <c r="N38" s="421">
        <f t="shared" si="1"/>
        <v>54</v>
      </c>
      <c r="O38" s="422">
        <f t="shared" si="2"/>
        <v>4.5</v>
      </c>
      <c r="P38" s="423">
        <f t="shared" si="3"/>
        <v>0.67550662997247934</v>
      </c>
      <c r="Q38" s="2"/>
      <c r="R38" s="211"/>
      <c r="S38" s="460" t="s">
        <v>358</v>
      </c>
      <c r="T38" s="461">
        <v>65</v>
      </c>
      <c r="U38" s="462">
        <v>34</v>
      </c>
      <c r="V38" s="462">
        <v>86</v>
      </c>
      <c r="W38" s="462">
        <v>39</v>
      </c>
      <c r="X38" s="462">
        <v>64</v>
      </c>
      <c r="Y38" s="462">
        <v>48</v>
      </c>
      <c r="Z38" s="462">
        <v>64</v>
      </c>
      <c r="AA38" s="462">
        <v>60</v>
      </c>
      <c r="AB38" s="462">
        <v>43</v>
      </c>
      <c r="AC38" s="462">
        <v>65</v>
      </c>
      <c r="AD38" s="462">
        <v>48</v>
      </c>
      <c r="AE38" s="463">
        <v>37</v>
      </c>
      <c r="AF38" s="464">
        <f t="shared" ref="AF38:AF43" si="6">SUM(T38:AE38)</f>
        <v>653</v>
      </c>
      <c r="AG38" s="428">
        <f>AVERAGE(T38:AE38)</f>
        <v>54.416666666666664</v>
      </c>
      <c r="AM38" s="154"/>
      <c r="AN38" s="154"/>
    </row>
    <row r="39" spans="1:40" customFormat="1" ht="29.25" thickBot="1">
      <c r="A39" s="412" t="s">
        <v>368</v>
      </c>
      <c r="B39" s="417">
        <v>1</v>
      </c>
      <c r="C39" s="418">
        <v>0</v>
      </c>
      <c r="D39" s="418">
        <v>2</v>
      </c>
      <c r="E39" s="418">
        <v>1</v>
      </c>
      <c r="F39" s="418">
        <v>0</v>
      </c>
      <c r="G39" s="399">
        <v>0</v>
      </c>
      <c r="H39" s="418">
        <v>3</v>
      </c>
      <c r="I39" s="418">
        <v>0</v>
      </c>
      <c r="J39" s="413">
        <v>2</v>
      </c>
      <c r="K39" s="419">
        <v>0</v>
      </c>
      <c r="L39" s="413">
        <v>0</v>
      </c>
      <c r="M39" s="420">
        <v>2</v>
      </c>
      <c r="N39" s="421">
        <f t="shared" si="1"/>
        <v>11</v>
      </c>
      <c r="O39" s="422">
        <f t="shared" si="2"/>
        <v>0.91666666666666663</v>
      </c>
      <c r="P39" s="423">
        <f t="shared" si="3"/>
        <v>0.13760320240180135</v>
      </c>
      <c r="Q39" s="2"/>
      <c r="R39" s="211"/>
      <c r="S39" s="465" t="s">
        <v>369</v>
      </c>
      <c r="T39" s="466">
        <f t="shared" ref="T39:Y39" si="7">SUM(T40:T41)</f>
        <v>78</v>
      </c>
      <c r="U39" s="466">
        <f t="shared" si="7"/>
        <v>36</v>
      </c>
      <c r="V39" s="466">
        <f t="shared" si="7"/>
        <v>78</v>
      </c>
      <c r="W39" s="466">
        <f t="shared" si="7"/>
        <v>40</v>
      </c>
      <c r="X39" s="466">
        <f t="shared" si="7"/>
        <v>55</v>
      </c>
      <c r="Y39" s="466">
        <f t="shared" si="7"/>
        <v>53</v>
      </c>
      <c r="Z39" s="466">
        <v>59</v>
      </c>
      <c r="AA39" s="466">
        <v>60</v>
      </c>
      <c r="AB39" s="466">
        <v>56</v>
      </c>
      <c r="AC39" s="466">
        <v>59</v>
      </c>
      <c r="AD39" s="466">
        <f>SUM(AD40:AD41)</f>
        <v>33</v>
      </c>
      <c r="AE39" s="467">
        <f>SUM(AE40:AE41)</f>
        <v>53</v>
      </c>
      <c r="AF39" s="468">
        <f t="shared" si="6"/>
        <v>660</v>
      </c>
      <c r="AG39" s="469">
        <f>SUM(AG40:AG41)</f>
        <v>55</v>
      </c>
      <c r="AM39" s="154"/>
      <c r="AN39" s="154"/>
    </row>
    <row r="40" spans="1:40" customFormat="1" ht="23.25">
      <c r="A40" s="412" t="s">
        <v>370</v>
      </c>
      <c r="B40" s="417">
        <v>29</v>
      </c>
      <c r="C40" s="418">
        <v>37</v>
      </c>
      <c r="D40" s="418">
        <v>29</v>
      </c>
      <c r="E40" s="418">
        <v>28</v>
      </c>
      <c r="F40" s="418">
        <v>43</v>
      </c>
      <c r="G40" s="399">
        <v>32</v>
      </c>
      <c r="H40" s="418">
        <v>45</v>
      </c>
      <c r="I40" s="418">
        <v>42</v>
      </c>
      <c r="J40" s="413">
        <v>37</v>
      </c>
      <c r="K40" s="419">
        <v>66</v>
      </c>
      <c r="L40" s="413">
        <v>40</v>
      </c>
      <c r="M40" s="420">
        <v>46</v>
      </c>
      <c r="N40" s="421">
        <f t="shared" si="1"/>
        <v>474</v>
      </c>
      <c r="O40" s="422">
        <f t="shared" si="2"/>
        <v>39.5</v>
      </c>
      <c r="P40" s="423">
        <f t="shared" si="3"/>
        <v>5.9294470853139849</v>
      </c>
      <c r="Q40" s="406"/>
      <c r="R40" s="211"/>
      <c r="S40" s="470" t="s">
        <v>362</v>
      </c>
      <c r="T40" s="471">
        <v>64</v>
      </c>
      <c r="U40" s="472">
        <v>20</v>
      </c>
      <c r="V40" s="473">
        <v>24</v>
      </c>
      <c r="W40" s="472">
        <v>18</v>
      </c>
      <c r="X40" s="473">
        <v>31</v>
      </c>
      <c r="Y40" s="473">
        <v>29</v>
      </c>
      <c r="Z40" s="472">
        <v>32</v>
      </c>
      <c r="AA40" s="472">
        <v>41</v>
      </c>
      <c r="AB40" s="472">
        <v>33</v>
      </c>
      <c r="AC40" s="472">
        <v>36</v>
      </c>
      <c r="AD40" s="472">
        <v>11</v>
      </c>
      <c r="AE40" s="474">
        <v>27</v>
      </c>
      <c r="AF40" s="475">
        <f t="shared" si="6"/>
        <v>366</v>
      </c>
      <c r="AG40" s="476">
        <f>AVERAGE(T40:AE40)</f>
        <v>30.5</v>
      </c>
      <c r="AM40" s="154"/>
      <c r="AN40" s="154"/>
    </row>
    <row r="41" spans="1:40" customFormat="1" ht="15.75" thickBot="1">
      <c r="A41" s="412" t="s">
        <v>371</v>
      </c>
      <c r="B41" s="417">
        <v>2</v>
      </c>
      <c r="C41" s="418">
        <v>1</v>
      </c>
      <c r="D41" s="418">
        <v>5</v>
      </c>
      <c r="E41" s="418">
        <v>5</v>
      </c>
      <c r="F41" s="418">
        <v>5</v>
      </c>
      <c r="G41" s="399">
        <v>4</v>
      </c>
      <c r="H41" s="418">
        <v>3</v>
      </c>
      <c r="I41" s="418">
        <v>3</v>
      </c>
      <c r="J41" s="413">
        <v>1</v>
      </c>
      <c r="K41" s="419">
        <v>3</v>
      </c>
      <c r="L41" s="413">
        <v>3</v>
      </c>
      <c r="M41" s="420">
        <v>2</v>
      </c>
      <c r="N41" s="421">
        <f t="shared" si="1"/>
        <v>37</v>
      </c>
      <c r="O41" s="422">
        <f t="shared" si="2"/>
        <v>3.0833333333333335</v>
      </c>
      <c r="P41" s="423">
        <f t="shared" si="3"/>
        <v>0.46284713535151367</v>
      </c>
      <c r="Q41" s="2"/>
      <c r="R41" s="211"/>
      <c r="S41" s="477" t="s">
        <v>353</v>
      </c>
      <c r="T41" s="478">
        <v>14</v>
      </c>
      <c r="U41" s="473">
        <v>16</v>
      </c>
      <c r="V41" s="479">
        <v>54</v>
      </c>
      <c r="W41" s="473">
        <v>22</v>
      </c>
      <c r="X41" s="479">
        <v>24</v>
      </c>
      <c r="Y41" s="479">
        <v>24</v>
      </c>
      <c r="Z41" s="473">
        <v>27</v>
      </c>
      <c r="AA41" s="473">
        <v>19</v>
      </c>
      <c r="AB41" s="473">
        <v>23</v>
      </c>
      <c r="AC41" s="473">
        <v>23</v>
      </c>
      <c r="AD41" s="473">
        <v>22</v>
      </c>
      <c r="AE41" s="480">
        <v>26</v>
      </c>
      <c r="AF41" s="481">
        <f t="shared" si="6"/>
        <v>294</v>
      </c>
      <c r="AG41" s="482">
        <f>AVERAGE(T41:AE41)</f>
        <v>24.5</v>
      </c>
      <c r="AM41" s="154"/>
      <c r="AN41" s="154"/>
    </row>
    <row r="42" spans="1:40" customFormat="1" ht="24" thickBot="1">
      <c r="A42" s="412" t="s">
        <v>372</v>
      </c>
      <c r="B42" s="417">
        <v>6</v>
      </c>
      <c r="C42" s="418">
        <v>9</v>
      </c>
      <c r="D42" s="418">
        <v>20</v>
      </c>
      <c r="E42" s="418">
        <v>10</v>
      </c>
      <c r="F42" s="418">
        <v>9</v>
      </c>
      <c r="G42" s="399">
        <v>7</v>
      </c>
      <c r="H42" s="418">
        <v>10</v>
      </c>
      <c r="I42" s="418">
        <v>15</v>
      </c>
      <c r="J42" s="413">
        <v>18</v>
      </c>
      <c r="K42" s="419">
        <v>4</v>
      </c>
      <c r="L42" s="413">
        <v>3</v>
      </c>
      <c r="M42" s="420">
        <v>9</v>
      </c>
      <c r="N42" s="421">
        <f t="shared" si="1"/>
        <v>120</v>
      </c>
      <c r="O42" s="422">
        <f t="shared" si="2"/>
        <v>10</v>
      </c>
      <c r="P42" s="423">
        <f t="shared" si="3"/>
        <v>1.5011258443832876</v>
      </c>
      <c r="Q42" s="2"/>
      <c r="R42" s="211"/>
      <c r="S42" s="483" t="s">
        <v>373</v>
      </c>
      <c r="T42" s="461">
        <v>52</v>
      </c>
      <c r="U42" s="462">
        <v>21</v>
      </c>
      <c r="V42" s="462">
        <v>35</v>
      </c>
      <c r="W42" s="462">
        <v>27</v>
      </c>
      <c r="X42" s="462">
        <v>50</v>
      </c>
      <c r="Y42" s="462">
        <v>29</v>
      </c>
      <c r="Z42" s="462">
        <v>45</v>
      </c>
      <c r="AA42" s="462">
        <v>52</v>
      </c>
      <c r="AB42" s="462">
        <v>25</v>
      </c>
      <c r="AC42" s="462">
        <v>57</v>
      </c>
      <c r="AD42" s="462">
        <v>35</v>
      </c>
      <c r="AE42" s="463">
        <v>15</v>
      </c>
      <c r="AF42" s="484">
        <f t="shared" si="6"/>
        <v>443</v>
      </c>
      <c r="AG42" s="485">
        <f>AVERAGE(T42:AE42)</f>
        <v>36.916666666666664</v>
      </c>
      <c r="AM42" s="154"/>
      <c r="AN42" s="154"/>
    </row>
    <row r="43" spans="1:40" customFormat="1" ht="26.25" thickBot="1">
      <c r="A43" s="412" t="s">
        <v>374</v>
      </c>
      <c r="B43" s="417">
        <v>17</v>
      </c>
      <c r="C43" s="418">
        <v>7</v>
      </c>
      <c r="D43" s="418">
        <v>13</v>
      </c>
      <c r="E43" s="418">
        <v>13</v>
      </c>
      <c r="F43" s="418">
        <v>9</v>
      </c>
      <c r="G43" s="399">
        <v>4</v>
      </c>
      <c r="H43" s="418">
        <v>11</v>
      </c>
      <c r="I43" s="418">
        <v>16</v>
      </c>
      <c r="J43" s="413">
        <v>17</v>
      </c>
      <c r="K43" s="419">
        <v>17</v>
      </c>
      <c r="L43" s="413">
        <v>9</v>
      </c>
      <c r="M43" s="420">
        <v>8</v>
      </c>
      <c r="N43" s="421">
        <f t="shared" si="1"/>
        <v>141</v>
      </c>
      <c r="O43" s="422">
        <f t="shared" si="2"/>
        <v>11.75</v>
      </c>
      <c r="P43" s="423">
        <f t="shared" si="3"/>
        <v>1.7638228671503628</v>
      </c>
      <c r="Q43" s="2"/>
      <c r="R43" s="211"/>
      <c r="S43" s="486" t="s">
        <v>375</v>
      </c>
      <c r="T43" s="487">
        <v>10</v>
      </c>
      <c r="U43" s="488">
        <v>7</v>
      </c>
      <c r="V43" s="488">
        <v>16</v>
      </c>
      <c r="W43" s="488">
        <v>20</v>
      </c>
      <c r="X43" s="488">
        <v>15</v>
      </c>
      <c r="Y43" s="488">
        <v>6</v>
      </c>
      <c r="Z43" s="488">
        <v>21</v>
      </c>
      <c r="AA43" s="488">
        <v>24</v>
      </c>
      <c r="AB43" s="488">
        <v>17</v>
      </c>
      <c r="AC43" s="488">
        <v>27</v>
      </c>
      <c r="AD43" s="488">
        <v>10</v>
      </c>
      <c r="AE43" s="489">
        <v>3</v>
      </c>
      <c r="AF43" s="490">
        <f t="shared" si="6"/>
        <v>176</v>
      </c>
      <c r="AG43" s="469">
        <f>AVERAGE(T43:AE43)</f>
        <v>14.666666666666666</v>
      </c>
      <c r="AM43" s="154"/>
      <c r="AN43" s="154"/>
    </row>
    <row r="44" spans="1:40" customFormat="1" ht="34.5" thickBot="1">
      <c r="A44" s="459" t="s">
        <v>376</v>
      </c>
      <c r="B44" s="417">
        <v>12</v>
      </c>
      <c r="C44" s="418">
        <v>9</v>
      </c>
      <c r="D44" s="418">
        <v>18</v>
      </c>
      <c r="E44" s="418">
        <v>15</v>
      </c>
      <c r="F44" s="418">
        <v>20</v>
      </c>
      <c r="G44" s="399">
        <v>13</v>
      </c>
      <c r="H44" s="418">
        <v>12</v>
      </c>
      <c r="I44" s="418">
        <v>19</v>
      </c>
      <c r="J44" s="413">
        <v>45</v>
      </c>
      <c r="K44" s="419">
        <v>14</v>
      </c>
      <c r="L44" s="413">
        <v>10</v>
      </c>
      <c r="M44" s="420">
        <v>9</v>
      </c>
      <c r="N44" s="421">
        <f t="shared" si="1"/>
        <v>196</v>
      </c>
      <c r="O44" s="422">
        <f t="shared" si="2"/>
        <v>16.333333333333332</v>
      </c>
      <c r="P44" s="423">
        <f t="shared" si="3"/>
        <v>2.4518388791593697</v>
      </c>
      <c r="Q44" s="2"/>
      <c r="R44" s="211"/>
      <c r="S44" s="415"/>
      <c r="T44" s="491"/>
      <c r="U44" s="491"/>
      <c r="V44" s="491"/>
      <c r="W44" s="491"/>
      <c r="X44" s="491"/>
      <c r="Y44" s="491"/>
      <c r="Z44" s="491"/>
      <c r="AA44" s="491"/>
      <c r="AB44" s="491"/>
      <c r="AC44" s="491"/>
      <c r="AD44" s="491"/>
      <c r="AE44" s="492"/>
      <c r="AF44" s="493"/>
      <c r="AG44" s="494"/>
      <c r="AM44" s="154"/>
      <c r="AN44" s="154"/>
    </row>
    <row r="45" spans="1:40" customFormat="1" ht="24" thickBot="1">
      <c r="A45" s="412" t="s">
        <v>377</v>
      </c>
      <c r="B45" s="417">
        <v>10</v>
      </c>
      <c r="C45" s="418">
        <v>26</v>
      </c>
      <c r="D45" s="418">
        <v>19</v>
      </c>
      <c r="E45" s="418">
        <v>12</v>
      </c>
      <c r="F45" s="418">
        <v>25</v>
      </c>
      <c r="G45" s="399">
        <v>38</v>
      </c>
      <c r="H45" s="418">
        <v>18</v>
      </c>
      <c r="I45" s="418">
        <v>20</v>
      </c>
      <c r="J45" s="413">
        <v>14</v>
      </c>
      <c r="K45" s="419">
        <v>14</v>
      </c>
      <c r="L45" s="413">
        <v>15</v>
      </c>
      <c r="M45" s="420">
        <v>15</v>
      </c>
      <c r="N45" s="421">
        <f t="shared" si="1"/>
        <v>226</v>
      </c>
      <c r="O45" s="422">
        <f t="shared" si="2"/>
        <v>18.833333333333332</v>
      </c>
      <c r="P45" s="423">
        <f t="shared" si="3"/>
        <v>2.8271203402551914</v>
      </c>
      <c r="Q45" s="2"/>
      <c r="R45" s="211"/>
      <c r="S45" s="949" t="s">
        <v>378</v>
      </c>
      <c r="T45" s="949"/>
      <c r="U45" s="949"/>
      <c r="V45" s="949"/>
      <c r="W45" s="949"/>
      <c r="X45" s="949"/>
      <c r="Y45" s="949"/>
      <c r="Z45" s="949"/>
      <c r="AA45" s="949"/>
      <c r="AB45" s="949"/>
      <c r="AC45" s="949"/>
      <c r="AD45" s="949"/>
      <c r="AE45" s="949"/>
      <c r="AF45" s="495"/>
      <c r="AG45" s="496"/>
      <c r="AM45" s="154"/>
      <c r="AN45" s="154"/>
    </row>
    <row r="46" spans="1:40" customFormat="1" ht="35.25" thickBot="1">
      <c r="A46" s="412" t="s">
        <v>379</v>
      </c>
      <c r="B46" s="417">
        <v>2</v>
      </c>
      <c r="C46" s="418">
        <v>3</v>
      </c>
      <c r="D46" s="418">
        <v>3</v>
      </c>
      <c r="E46" s="418">
        <v>7</v>
      </c>
      <c r="F46" s="418">
        <v>0</v>
      </c>
      <c r="G46" s="399">
        <v>4</v>
      </c>
      <c r="H46" s="418">
        <v>4</v>
      </c>
      <c r="I46" s="418">
        <v>3</v>
      </c>
      <c r="J46" s="413">
        <v>2</v>
      </c>
      <c r="K46" s="419">
        <v>1</v>
      </c>
      <c r="L46" s="413">
        <v>5</v>
      </c>
      <c r="M46" s="420">
        <v>4</v>
      </c>
      <c r="N46" s="421">
        <f t="shared" si="1"/>
        <v>38</v>
      </c>
      <c r="O46" s="422">
        <f t="shared" si="2"/>
        <v>3.1666666666666665</v>
      </c>
      <c r="P46" s="423">
        <f t="shared" si="3"/>
        <v>0.47535651738804102</v>
      </c>
      <c r="Q46" s="2"/>
      <c r="R46" s="211"/>
      <c r="S46" s="497" t="s">
        <v>358</v>
      </c>
      <c r="T46" s="498">
        <v>6</v>
      </c>
      <c r="U46" s="499">
        <v>10</v>
      </c>
      <c r="V46" s="499">
        <v>31</v>
      </c>
      <c r="W46" s="499">
        <v>7</v>
      </c>
      <c r="X46" s="499">
        <v>6</v>
      </c>
      <c r="Y46" s="499">
        <v>6</v>
      </c>
      <c r="Z46" s="499">
        <v>12</v>
      </c>
      <c r="AA46" s="499">
        <v>6</v>
      </c>
      <c r="AB46" s="499">
        <v>7</v>
      </c>
      <c r="AC46" s="499">
        <v>9</v>
      </c>
      <c r="AD46" s="499">
        <v>11</v>
      </c>
      <c r="AE46" s="500">
        <v>8</v>
      </c>
      <c r="AF46" s="501">
        <f>SUM(T46:AE46)</f>
        <v>119</v>
      </c>
      <c r="AG46" s="485">
        <f>AVERAGE(T46:AE46)</f>
        <v>9.9166666666666661</v>
      </c>
      <c r="AM46" s="154"/>
      <c r="AN46" s="154"/>
    </row>
    <row r="47" spans="1:40" customFormat="1" ht="35.25" thickBot="1">
      <c r="A47" s="412" t="s">
        <v>380</v>
      </c>
      <c r="B47" s="417">
        <v>8</v>
      </c>
      <c r="C47" s="418">
        <v>9</v>
      </c>
      <c r="D47" s="418">
        <v>16</v>
      </c>
      <c r="E47" s="418">
        <v>6</v>
      </c>
      <c r="F47" s="418">
        <v>3</v>
      </c>
      <c r="G47" s="399">
        <v>2</v>
      </c>
      <c r="H47" s="418">
        <v>2</v>
      </c>
      <c r="I47" s="418">
        <v>7</v>
      </c>
      <c r="J47" s="413">
        <v>12</v>
      </c>
      <c r="K47" s="419">
        <v>6</v>
      </c>
      <c r="L47" s="413">
        <v>5</v>
      </c>
      <c r="M47" s="420">
        <v>2</v>
      </c>
      <c r="N47" s="421">
        <f t="shared" si="1"/>
        <v>78</v>
      </c>
      <c r="O47" s="422">
        <f t="shared" si="2"/>
        <v>6.5</v>
      </c>
      <c r="P47" s="423">
        <f t="shared" si="3"/>
        <v>0.97573179884913686</v>
      </c>
      <c r="Q47" s="2"/>
      <c r="R47" s="211"/>
      <c r="S47" s="502" t="s">
        <v>381</v>
      </c>
      <c r="T47" s="503">
        <f t="shared" ref="T47:Y47" si="8">SUM(T48:T49)</f>
        <v>45</v>
      </c>
      <c r="U47" s="503">
        <f t="shared" si="8"/>
        <v>11</v>
      </c>
      <c r="V47" s="503">
        <f t="shared" si="8"/>
        <v>14</v>
      </c>
      <c r="W47" s="503">
        <f t="shared" si="8"/>
        <v>0</v>
      </c>
      <c r="X47" s="503">
        <f t="shared" si="8"/>
        <v>2</v>
      </c>
      <c r="Y47" s="503">
        <f t="shared" si="8"/>
        <v>5</v>
      </c>
      <c r="Z47" s="503">
        <v>7</v>
      </c>
      <c r="AA47" s="503">
        <v>10</v>
      </c>
      <c r="AB47" s="503">
        <v>18</v>
      </c>
      <c r="AC47" s="504">
        <v>21</v>
      </c>
      <c r="AD47" s="503">
        <f>SUM(AD48:AD49)</f>
        <v>3</v>
      </c>
      <c r="AE47" s="505">
        <f>SUM(AE48:AE49)</f>
        <v>35</v>
      </c>
      <c r="AF47" s="468">
        <f>SUM(T47:AE47)</f>
        <v>171</v>
      </c>
      <c r="AG47" s="469">
        <f>SUM(AG48:AG49)</f>
        <v>14.25</v>
      </c>
      <c r="AM47" s="154"/>
      <c r="AN47" s="154"/>
    </row>
    <row r="48" spans="1:40" customFormat="1" ht="23.25">
      <c r="A48" s="412" t="s">
        <v>382</v>
      </c>
      <c r="B48" s="417">
        <v>25</v>
      </c>
      <c r="C48" s="418">
        <v>28</v>
      </c>
      <c r="D48" s="418">
        <v>35</v>
      </c>
      <c r="E48" s="418">
        <v>20</v>
      </c>
      <c r="F48" s="418">
        <v>45</v>
      </c>
      <c r="G48" s="399">
        <v>60</v>
      </c>
      <c r="H48" s="418">
        <v>38</v>
      </c>
      <c r="I48" s="418">
        <v>47</v>
      </c>
      <c r="J48" s="413">
        <v>43</v>
      </c>
      <c r="K48" s="419">
        <v>79</v>
      </c>
      <c r="L48" s="413">
        <v>56</v>
      </c>
      <c r="M48" s="420">
        <v>38</v>
      </c>
      <c r="N48" s="421">
        <f t="shared" si="1"/>
        <v>514</v>
      </c>
      <c r="O48" s="422">
        <f t="shared" si="2"/>
        <v>42.833333333333336</v>
      </c>
      <c r="P48" s="423">
        <f t="shared" si="3"/>
        <v>6.4298223667750811</v>
      </c>
      <c r="Q48" s="2"/>
      <c r="R48" s="211"/>
      <c r="S48" s="506" t="s">
        <v>362</v>
      </c>
      <c r="T48" s="507">
        <v>0</v>
      </c>
      <c r="U48" s="508">
        <v>0</v>
      </c>
      <c r="V48" s="508">
        <v>0</v>
      </c>
      <c r="W48" s="508">
        <v>0</v>
      </c>
      <c r="X48" s="508">
        <v>0</v>
      </c>
      <c r="Y48" s="509">
        <v>0</v>
      </c>
      <c r="Z48" s="508">
        <v>0</v>
      </c>
      <c r="AA48" s="508">
        <v>0</v>
      </c>
      <c r="AB48" s="508">
        <v>0</v>
      </c>
      <c r="AC48" s="508">
        <v>1</v>
      </c>
      <c r="AD48" s="508">
        <v>3</v>
      </c>
      <c r="AE48" s="510">
        <v>3</v>
      </c>
      <c r="AF48" s="475">
        <f>SUM(T48:AE48)</f>
        <v>7</v>
      </c>
      <c r="AG48" s="476">
        <f>AVERAGE(T48:AE48)</f>
        <v>0.58333333333333337</v>
      </c>
      <c r="AM48" s="154"/>
      <c r="AN48" s="154"/>
    </row>
    <row r="49" spans="1:55" ht="24" thickBot="1">
      <c r="A49" s="412" t="s">
        <v>383</v>
      </c>
      <c r="B49" s="417">
        <v>2</v>
      </c>
      <c r="C49" s="418">
        <v>10</v>
      </c>
      <c r="D49" s="418">
        <v>6</v>
      </c>
      <c r="E49" s="418">
        <v>8</v>
      </c>
      <c r="F49" s="418">
        <v>5</v>
      </c>
      <c r="G49" s="399">
        <v>5</v>
      </c>
      <c r="H49" s="418">
        <v>3</v>
      </c>
      <c r="I49" s="418">
        <v>9</v>
      </c>
      <c r="J49" s="413">
        <v>5</v>
      </c>
      <c r="K49" s="419">
        <v>7</v>
      </c>
      <c r="L49" s="413">
        <v>5</v>
      </c>
      <c r="M49" s="420">
        <v>7</v>
      </c>
      <c r="N49" s="421">
        <f t="shared" si="1"/>
        <v>72</v>
      </c>
      <c r="O49" s="422">
        <f t="shared" si="2"/>
        <v>6</v>
      </c>
      <c r="P49" s="423">
        <f t="shared" si="3"/>
        <v>0.90067550662997242</v>
      </c>
      <c r="Q49" s="2"/>
      <c r="R49" s="211"/>
      <c r="S49" s="511" t="s">
        <v>353</v>
      </c>
      <c r="T49" s="512">
        <v>45</v>
      </c>
      <c r="U49" s="513">
        <v>11</v>
      </c>
      <c r="V49" s="513">
        <v>14</v>
      </c>
      <c r="W49" s="513">
        <v>0</v>
      </c>
      <c r="X49" s="513">
        <v>2</v>
      </c>
      <c r="Y49" s="514">
        <v>5</v>
      </c>
      <c r="Z49" s="513">
        <v>7</v>
      </c>
      <c r="AA49" s="513">
        <v>10</v>
      </c>
      <c r="AB49" s="513">
        <v>18</v>
      </c>
      <c r="AC49" s="513">
        <v>20</v>
      </c>
      <c r="AD49" s="513">
        <v>0</v>
      </c>
      <c r="AE49" s="515">
        <v>32</v>
      </c>
      <c r="AF49" s="481">
        <f>SUM(T49:AE49)</f>
        <v>164</v>
      </c>
      <c r="AG49" s="482">
        <f>AVERAGE(T49:AE49)</f>
        <v>13.666666666666666</v>
      </c>
      <c r="AM49" s="154"/>
      <c r="AN49" s="154"/>
      <c r="BB49"/>
    </row>
    <row r="50" spans="1:55" ht="23.25">
      <c r="A50" s="412" t="s">
        <v>384</v>
      </c>
      <c r="B50" s="417">
        <v>4</v>
      </c>
      <c r="C50" s="418">
        <v>2</v>
      </c>
      <c r="D50" s="418">
        <v>2</v>
      </c>
      <c r="E50" s="418">
        <v>1</v>
      </c>
      <c r="F50" s="418">
        <v>0</v>
      </c>
      <c r="G50" s="399">
        <v>0</v>
      </c>
      <c r="H50" s="418">
        <v>2</v>
      </c>
      <c r="I50" s="418">
        <v>1</v>
      </c>
      <c r="J50" s="413">
        <v>0</v>
      </c>
      <c r="K50" s="419">
        <v>0</v>
      </c>
      <c r="L50" s="413">
        <v>1</v>
      </c>
      <c r="M50" s="420">
        <v>1</v>
      </c>
      <c r="N50" s="421">
        <f t="shared" si="1"/>
        <v>14</v>
      </c>
      <c r="O50" s="422">
        <f t="shared" si="2"/>
        <v>1.1666666666666667</v>
      </c>
      <c r="P50" s="423">
        <f t="shared" si="3"/>
        <v>0.17513134851138354</v>
      </c>
      <c r="Q50" s="2"/>
      <c r="R50" s="211"/>
      <c r="BC50" s="154"/>
    </row>
    <row r="51" spans="1:55" ht="23.25">
      <c r="A51" s="412" t="s">
        <v>385</v>
      </c>
      <c r="B51" s="417">
        <v>2</v>
      </c>
      <c r="C51" s="418">
        <v>2</v>
      </c>
      <c r="D51" s="418">
        <v>6</v>
      </c>
      <c r="E51" s="418">
        <v>1</v>
      </c>
      <c r="F51" s="418">
        <v>2</v>
      </c>
      <c r="G51" s="399">
        <v>1</v>
      </c>
      <c r="H51" s="418">
        <v>3</v>
      </c>
      <c r="I51" s="418">
        <v>1</v>
      </c>
      <c r="J51" s="413">
        <v>3</v>
      </c>
      <c r="K51" s="419">
        <v>3</v>
      </c>
      <c r="L51" s="413">
        <v>0</v>
      </c>
      <c r="M51" s="420">
        <v>4</v>
      </c>
      <c r="N51" s="421">
        <f t="shared" si="1"/>
        <v>28</v>
      </c>
      <c r="O51" s="422">
        <f t="shared" si="2"/>
        <v>2.3333333333333335</v>
      </c>
      <c r="P51" s="423">
        <f t="shared" si="3"/>
        <v>0.35026269702276708</v>
      </c>
      <c r="Q51" s="2"/>
      <c r="R51" s="211"/>
      <c r="BC51" s="154"/>
    </row>
    <row r="52" spans="1:55" ht="22.5">
      <c r="A52" s="455" t="s">
        <v>386</v>
      </c>
      <c r="B52" s="417">
        <v>1</v>
      </c>
      <c r="C52" s="418">
        <v>1</v>
      </c>
      <c r="D52" s="418">
        <v>2</v>
      </c>
      <c r="E52" s="418">
        <v>1</v>
      </c>
      <c r="F52" s="418">
        <v>2</v>
      </c>
      <c r="G52" s="399">
        <v>1</v>
      </c>
      <c r="H52" s="418">
        <v>0</v>
      </c>
      <c r="I52" s="418">
        <v>0</v>
      </c>
      <c r="J52" s="413">
        <v>1</v>
      </c>
      <c r="K52" s="419">
        <v>1</v>
      </c>
      <c r="L52" s="413">
        <v>0</v>
      </c>
      <c r="M52" s="420">
        <v>1</v>
      </c>
      <c r="N52" s="421">
        <f t="shared" si="1"/>
        <v>11</v>
      </c>
      <c r="O52" s="422">
        <f t="shared" si="2"/>
        <v>0.91666666666666663</v>
      </c>
      <c r="P52" s="423">
        <f t="shared" si="3"/>
        <v>0.13760320240180135</v>
      </c>
      <c r="Q52" s="406"/>
      <c r="R52" s="211"/>
      <c r="S52" s="211"/>
      <c r="AH52" s="109"/>
    </row>
    <row r="53" spans="1:55" ht="23.25">
      <c r="A53" s="412" t="s">
        <v>387</v>
      </c>
      <c r="B53" s="417">
        <v>72</v>
      </c>
      <c r="C53" s="418">
        <v>111</v>
      </c>
      <c r="D53" s="418">
        <v>144</v>
      </c>
      <c r="E53" s="418">
        <v>109</v>
      </c>
      <c r="F53" s="418">
        <v>91</v>
      </c>
      <c r="G53" s="399">
        <v>124</v>
      </c>
      <c r="H53" s="418">
        <v>86</v>
      </c>
      <c r="I53" s="418">
        <v>105</v>
      </c>
      <c r="J53" s="413">
        <v>121</v>
      </c>
      <c r="K53" s="419">
        <v>89</v>
      </c>
      <c r="L53" s="413">
        <v>65</v>
      </c>
      <c r="M53" s="420">
        <v>154</v>
      </c>
      <c r="N53" s="421">
        <f t="shared" si="1"/>
        <v>1271</v>
      </c>
      <c r="O53" s="422">
        <f t="shared" si="2"/>
        <v>105.91666666666667</v>
      </c>
      <c r="P53" s="423">
        <f t="shared" si="3"/>
        <v>15.899424568426321</v>
      </c>
      <c r="Q53" s="2"/>
      <c r="R53" s="211"/>
      <c r="S53" s="211"/>
    </row>
    <row r="54" spans="1:55" ht="23.25">
      <c r="A54" s="412" t="s">
        <v>388</v>
      </c>
      <c r="B54" s="417">
        <v>11</v>
      </c>
      <c r="C54" s="418">
        <v>10</v>
      </c>
      <c r="D54" s="418">
        <v>12</v>
      </c>
      <c r="E54" s="418">
        <v>10</v>
      </c>
      <c r="F54" s="418">
        <v>7</v>
      </c>
      <c r="G54" s="399">
        <v>19</v>
      </c>
      <c r="H54" s="418">
        <v>8</v>
      </c>
      <c r="I54" s="418">
        <v>7</v>
      </c>
      <c r="J54" s="413">
        <v>17</v>
      </c>
      <c r="K54" s="419">
        <v>15</v>
      </c>
      <c r="L54" s="413">
        <v>7</v>
      </c>
      <c r="M54" s="420">
        <v>7</v>
      </c>
      <c r="N54" s="421">
        <f t="shared" ref="N54:N85" si="9">SUM(B54:M54)</f>
        <v>130</v>
      </c>
      <c r="O54" s="422">
        <f t="shared" ref="O54:O85" si="10">AVERAGE(B54:M54)</f>
        <v>10.833333333333334</v>
      </c>
      <c r="P54" s="423">
        <f t="shared" si="3"/>
        <v>1.6262196647485614</v>
      </c>
      <c r="Q54" s="2"/>
      <c r="R54" s="211"/>
      <c r="S54" s="211"/>
    </row>
    <row r="55" spans="1:55" ht="23.25">
      <c r="A55" s="412" t="s">
        <v>389</v>
      </c>
      <c r="B55" s="417">
        <v>22</v>
      </c>
      <c r="C55" s="418">
        <v>37</v>
      </c>
      <c r="D55" s="418">
        <v>21</v>
      </c>
      <c r="E55" s="418">
        <v>23</v>
      </c>
      <c r="F55" s="418">
        <v>39</v>
      </c>
      <c r="G55" s="399">
        <v>33</v>
      </c>
      <c r="H55" s="418">
        <v>31</v>
      </c>
      <c r="I55" s="418">
        <v>34</v>
      </c>
      <c r="J55" s="413">
        <v>37</v>
      </c>
      <c r="K55" s="419">
        <v>32</v>
      </c>
      <c r="L55" s="413">
        <v>24</v>
      </c>
      <c r="M55" s="420">
        <v>30</v>
      </c>
      <c r="N55" s="421">
        <f t="shared" si="9"/>
        <v>363</v>
      </c>
      <c r="O55" s="422">
        <f t="shared" si="10"/>
        <v>30.25</v>
      </c>
      <c r="P55" s="423">
        <f t="shared" si="3"/>
        <v>4.5409056792594447</v>
      </c>
      <c r="Q55" s="2"/>
      <c r="R55" s="211"/>
      <c r="S55" s="211"/>
    </row>
    <row r="56" spans="1:55" ht="23.25">
      <c r="A56" s="412" t="s">
        <v>390</v>
      </c>
      <c r="B56" s="417">
        <v>10</v>
      </c>
      <c r="C56" s="418">
        <v>21</v>
      </c>
      <c r="D56" s="418">
        <v>11</v>
      </c>
      <c r="E56" s="418">
        <v>17</v>
      </c>
      <c r="F56" s="418">
        <v>18</v>
      </c>
      <c r="G56" s="399">
        <v>19</v>
      </c>
      <c r="H56" s="418">
        <v>18</v>
      </c>
      <c r="I56" s="418">
        <v>32</v>
      </c>
      <c r="J56" s="413">
        <v>26</v>
      </c>
      <c r="K56" s="419">
        <v>22</v>
      </c>
      <c r="L56" s="413">
        <v>17</v>
      </c>
      <c r="M56" s="420">
        <v>20</v>
      </c>
      <c r="N56" s="421">
        <f t="shared" si="9"/>
        <v>231</v>
      </c>
      <c r="O56" s="422">
        <f t="shared" si="10"/>
        <v>19.25</v>
      </c>
      <c r="P56" s="423">
        <f t="shared" ref="P56:P87" si="11">(N56/$N$100)*100</f>
        <v>2.8896672504378285</v>
      </c>
      <c r="Q56" s="406"/>
      <c r="R56" s="211"/>
      <c r="S56" s="211"/>
    </row>
    <row r="57" spans="1:55" ht="23.25">
      <c r="A57" s="516" t="s">
        <v>391</v>
      </c>
      <c r="B57" s="417">
        <v>6</v>
      </c>
      <c r="C57" s="418">
        <v>4</v>
      </c>
      <c r="D57" s="418">
        <v>3</v>
      </c>
      <c r="E57" s="418">
        <v>1</v>
      </c>
      <c r="F57" s="418">
        <v>3</v>
      </c>
      <c r="G57" s="399">
        <v>0</v>
      </c>
      <c r="H57" s="418">
        <v>1</v>
      </c>
      <c r="I57" s="418">
        <v>2</v>
      </c>
      <c r="J57" s="413">
        <v>3</v>
      </c>
      <c r="K57" s="419">
        <v>1</v>
      </c>
      <c r="L57" s="413">
        <v>0</v>
      </c>
      <c r="M57" s="420">
        <v>1</v>
      </c>
      <c r="N57" s="421">
        <f t="shared" si="9"/>
        <v>25</v>
      </c>
      <c r="O57" s="422">
        <f t="shared" si="10"/>
        <v>2.0833333333333335</v>
      </c>
      <c r="P57" s="423">
        <f t="shared" si="11"/>
        <v>0.31273455091318486</v>
      </c>
      <c r="Q57" s="406"/>
      <c r="R57" s="211"/>
      <c r="S57" s="211"/>
    </row>
    <row r="58" spans="1:55" ht="23.25">
      <c r="A58" s="412" t="s">
        <v>392</v>
      </c>
      <c r="B58" s="417">
        <v>12</v>
      </c>
      <c r="C58" s="418">
        <v>21</v>
      </c>
      <c r="D58" s="418">
        <v>26</v>
      </c>
      <c r="E58" s="418">
        <v>30</v>
      </c>
      <c r="F58" s="418">
        <v>18</v>
      </c>
      <c r="G58" s="399">
        <v>9</v>
      </c>
      <c r="H58" s="418">
        <v>24</v>
      </c>
      <c r="I58" s="418">
        <v>10</v>
      </c>
      <c r="J58" s="413">
        <v>20</v>
      </c>
      <c r="K58" s="419">
        <v>23</v>
      </c>
      <c r="L58" s="413">
        <v>14</v>
      </c>
      <c r="M58" s="420">
        <v>20</v>
      </c>
      <c r="N58" s="421">
        <f t="shared" si="9"/>
        <v>227</v>
      </c>
      <c r="O58" s="422">
        <f t="shared" si="10"/>
        <v>18.916666666666668</v>
      </c>
      <c r="P58" s="423">
        <f t="shared" si="11"/>
        <v>2.8396297222917188</v>
      </c>
      <c r="Q58" s="406"/>
      <c r="R58" s="211"/>
      <c r="S58" s="211"/>
    </row>
    <row r="59" spans="1:55" ht="23.25">
      <c r="A59" s="412" t="s">
        <v>393</v>
      </c>
      <c r="B59" s="417">
        <v>0</v>
      </c>
      <c r="C59" s="418">
        <v>0</v>
      </c>
      <c r="D59" s="418">
        <v>0</v>
      </c>
      <c r="E59" s="418">
        <v>0</v>
      </c>
      <c r="F59" s="418">
        <v>2</v>
      </c>
      <c r="G59" s="399">
        <v>1</v>
      </c>
      <c r="H59" s="418">
        <v>1</v>
      </c>
      <c r="I59" s="418">
        <v>0</v>
      </c>
      <c r="J59" s="413">
        <v>4</v>
      </c>
      <c r="K59" s="419">
        <v>0</v>
      </c>
      <c r="L59" s="413">
        <v>0</v>
      </c>
      <c r="M59" s="420">
        <v>0</v>
      </c>
      <c r="N59" s="421">
        <f t="shared" si="9"/>
        <v>8</v>
      </c>
      <c r="O59" s="422">
        <f t="shared" si="10"/>
        <v>0.66666666666666663</v>
      </c>
      <c r="P59" s="423">
        <f t="shared" si="11"/>
        <v>0.10007505629221916</v>
      </c>
      <c r="Q59" s="406"/>
      <c r="R59" s="211"/>
      <c r="S59" s="211"/>
    </row>
    <row r="60" spans="1:55">
      <c r="A60" s="412" t="s">
        <v>394</v>
      </c>
      <c r="B60" s="417">
        <v>5</v>
      </c>
      <c r="C60" s="418">
        <v>7</v>
      </c>
      <c r="D60" s="418">
        <v>10</v>
      </c>
      <c r="E60" s="418">
        <v>2</v>
      </c>
      <c r="F60" s="418">
        <v>5</v>
      </c>
      <c r="G60" s="399">
        <v>10</v>
      </c>
      <c r="H60" s="418">
        <v>12</v>
      </c>
      <c r="I60" s="418">
        <v>10</v>
      </c>
      <c r="J60" s="413">
        <v>14</v>
      </c>
      <c r="K60" s="419">
        <v>10</v>
      </c>
      <c r="L60" s="413">
        <v>5</v>
      </c>
      <c r="M60" s="420">
        <v>6</v>
      </c>
      <c r="N60" s="421">
        <f t="shared" si="9"/>
        <v>96</v>
      </c>
      <c r="O60" s="422">
        <f t="shared" si="10"/>
        <v>8</v>
      </c>
      <c r="P60" s="423">
        <f t="shared" si="11"/>
        <v>1.20090067550663</v>
      </c>
      <c r="Q60" s="406"/>
      <c r="R60" s="211"/>
      <c r="S60" s="211"/>
    </row>
    <row r="61" spans="1:55">
      <c r="A61" s="517" t="s">
        <v>395</v>
      </c>
      <c r="B61" s="417">
        <v>0</v>
      </c>
      <c r="C61" s="418">
        <v>0</v>
      </c>
      <c r="D61" s="418">
        <v>2</v>
      </c>
      <c r="E61" s="418">
        <v>0</v>
      </c>
      <c r="F61" s="418">
        <v>1</v>
      </c>
      <c r="G61" s="399">
        <v>0</v>
      </c>
      <c r="H61" s="418">
        <v>0</v>
      </c>
      <c r="I61" s="418">
        <v>5</v>
      </c>
      <c r="J61" s="413">
        <v>3</v>
      </c>
      <c r="K61" s="419">
        <v>0</v>
      </c>
      <c r="L61" s="413">
        <v>0</v>
      </c>
      <c r="M61" s="420">
        <v>1</v>
      </c>
      <c r="N61" s="421">
        <f t="shared" si="9"/>
        <v>12</v>
      </c>
      <c r="O61" s="422">
        <f t="shared" si="10"/>
        <v>1</v>
      </c>
      <c r="P61" s="423">
        <f t="shared" si="11"/>
        <v>0.15011258443832876</v>
      </c>
      <c r="Q61" s="2"/>
      <c r="R61" s="211"/>
      <c r="S61" s="211"/>
      <c r="AL61" s="518"/>
    </row>
    <row r="62" spans="1:55" ht="34.5">
      <c r="A62" s="516" t="s">
        <v>396</v>
      </c>
      <c r="B62" s="417">
        <v>5</v>
      </c>
      <c r="C62" s="418">
        <v>6</v>
      </c>
      <c r="D62" s="418">
        <v>8</v>
      </c>
      <c r="E62" s="418">
        <v>17</v>
      </c>
      <c r="F62" s="418">
        <v>9</v>
      </c>
      <c r="G62" s="399">
        <v>14</v>
      </c>
      <c r="H62" s="418">
        <v>20</v>
      </c>
      <c r="I62" s="418">
        <v>16</v>
      </c>
      <c r="J62" s="413">
        <v>12</v>
      </c>
      <c r="K62" s="419">
        <v>9</v>
      </c>
      <c r="L62" s="413">
        <v>9</v>
      </c>
      <c r="M62" s="420">
        <v>3</v>
      </c>
      <c r="N62" s="421">
        <f t="shared" si="9"/>
        <v>128</v>
      </c>
      <c r="O62" s="422">
        <f t="shared" si="10"/>
        <v>10.666666666666666</v>
      </c>
      <c r="P62" s="423">
        <f t="shared" si="11"/>
        <v>1.6012009006755066</v>
      </c>
      <c r="Q62" s="2"/>
      <c r="R62" s="211"/>
      <c r="S62" s="211"/>
    </row>
    <row r="63" spans="1:55" ht="23.25">
      <c r="A63" s="516" t="s">
        <v>397</v>
      </c>
      <c r="B63" s="417">
        <v>0</v>
      </c>
      <c r="C63" s="418">
        <v>6</v>
      </c>
      <c r="D63" s="418">
        <v>2</v>
      </c>
      <c r="E63" s="418">
        <v>1</v>
      </c>
      <c r="F63" s="418">
        <v>1</v>
      </c>
      <c r="G63" s="399">
        <v>1</v>
      </c>
      <c r="H63" s="418">
        <v>3</v>
      </c>
      <c r="I63" s="418">
        <v>7</v>
      </c>
      <c r="J63" s="413">
        <v>3</v>
      </c>
      <c r="K63" s="419">
        <v>1</v>
      </c>
      <c r="L63" s="413">
        <v>0</v>
      </c>
      <c r="M63" s="420">
        <v>3</v>
      </c>
      <c r="N63" s="421">
        <f t="shared" si="9"/>
        <v>28</v>
      </c>
      <c r="O63" s="422">
        <f t="shared" si="10"/>
        <v>2.3333333333333335</v>
      </c>
      <c r="P63" s="423">
        <f t="shared" si="11"/>
        <v>0.35026269702276708</v>
      </c>
      <c r="Q63" s="406"/>
      <c r="R63" s="211"/>
      <c r="S63" s="211"/>
    </row>
    <row r="64" spans="1:55" ht="34.5">
      <c r="A64" s="516" t="s">
        <v>398</v>
      </c>
      <c r="B64" s="417">
        <v>0</v>
      </c>
      <c r="C64" s="418">
        <v>0</v>
      </c>
      <c r="D64" s="418">
        <v>1</v>
      </c>
      <c r="E64" s="418">
        <v>0</v>
      </c>
      <c r="F64" s="418">
        <v>1</v>
      </c>
      <c r="G64" s="399">
        <v>0</v>
      </c>
      <c r="H64" s="418">
        <v>1</v>
      </c>
      <c r="I64" s="418">
        <v>1</v>
      </c>
      <c r="J64" s="413">
        <v>1</v>
      </c>
      <c r="K64" s="419">
        <v>1</v>
      </c>
      <c r="L64" s="413">
        <v>1</v>
      </c>
      <c r="M64" s="420">
        <v>0</v>
      </c>
      <c r="N64" s="421">
        <f t="shared" si="9"/>
        <v>7</v>
      </c>
      <c r="O64" s="422">
        <f t="shared" si="10"/>
        <v>0.58333333333333337</v>
      </c>
      <c r="P64" s="423">
        <f t="shared" si="11"/>
        <v>8.7565674255691769E-2</v>
      </c>
      <c r="Q64" s="406"/>
      <c r="R64" s="211"/>
      <c r="S64" s="211"/>
    </row>
    <row r="65" spans="1:38" ht="24.95" customHeight="1">
      <c r="A65" s="455" t="s">
        <v>399</v>
      </c>
      <c r="B65" s="417">
        <v>0</v>
      </c>
      <c r="C65" s="418">
        <v>0</v>
      </c>
      <c r="D65" s="418">
        <v>0</v>
      </c>
      <c r="E65" s="418">
        <v>0</v>
      </c>
      <c r="F65" s="418">
        <v>0</v>
      </c>
      <c r="G65" s="399">
        <v>0</v>
      </c>
      <c r="H65" s="418">
        <v>0</v>
      </c>
      <c r="I65" s="418">
        <v>0</v>
      </c>
      <c r="J65" s="413">
        <v>0</v>
      </c>
      <c r="K65" s="414">
        <v>0</v>
      </c>
      <c r="L65" s="413">
        <v>0</v>
      </c>
      <c r="M65" s="420">
        <v>0</v>
      </c>
      <c r="N65" s="421">
        <f t="shared" si="9"/>
        <v>0</v>
      </c>
      <c r="O65" s="422">
        <f t="shared" si="10"/>
        <v>0</v>
      </c>
      <c r="P65" s="423">
        <f t="shared" si="11"/>
        <v>0</v>
      </c>
      <c r="Q65" s="406"/>
      <c r="R65" s="211"/>
      <c r="S65" s="211"/>
    </row>
    <row r="66" spans="1:38" ht="24.95" customHeight="1">
      <c r="A66" s="412" t="s">
        <v>400</v>
      </c>
      <c r="B66" s="417">
        <v>2</v>
      </c>
      <c r="C66" s="418">
        <v>1</v>
      </c>
      <c r="D66" s="418">
        <v>1</v>
      </c>
      <c r="E66" s="418">
        <v>2</v>
      </c>
      <c r="F66" s="418">
        <v>1</v>
      </c>
      <c r="G66" s="399">
        <v>1</v>
      </c>
      <c r="H66" s="418">
        <v>2</v>
      </c>
      <c r="I66" s="418">
        <v>2</v>
      </c>
      <c r="J66" s="413">
        <v>3</v>
      </c>
      <c r="K66" s="419">
        <v>2</v>
      </c>
      <c r="L66" s="413">
        <v>1</v>
      </c>
      <c r="M66" s="420">
        <v>2</v>
      </c>
      <c r="N66" s="421">
        <f t="shared" si="9"/>
        <v>20</v>
      </c>
      <c r="O66" s="422">
        <f t="shared" si="10"/>
        <v>1.6666666666666667</v>
      </c>
      <c r="P66" s="423">
        <f t="shared" si="11"/>
        <v>0.25018764073054789</v>
      </c>
      <c r="Q66" s="406"/>
      <c r="R66" s="211"/>
      <c r="S66" s="211"/>
    </row>
    <row r="67" spans="1:38" ht="24.95" customHeight="1">
      <c r="A67" s="412" t="s">
        <v>401</v>
      </c>
      <c r="B67" s="417">
        <v>0</v>
      </c>
      <c r="C67" s="418">
        <v>1</v>
      </c>
      <c r="D67" s="418">
        <v>3</v>
      </c>
      <c r="E67" s="418">
        <v>7</v>
      </c>
      <c r="F67" s="418">
        <v>0</v>
      </c>
      <c r="G67" s="399">
        <v>6</v>
      </c>
      <c r="H67" s="418">
        <v>3</v>
      </c>
      <c r="I67" s="418">
        <v>3</v>
      </c>
      <c r="J67" s="413">
        <v>4</v>
      </c>
      <c r="K67" s="419">
        <v>1</v>
      </c>
      <c r="L67" s="413">
        <v>1</v>
      </c>
      <c r="M67" s="420">
        <v>3</v>
      </c>
      <c r="N67" s="421">
        <f t="shared" si="9"/>
        <v>32</v>
      </c>
      <c r="O67" s="422">
        <f t="shared" si="10"/>
        <v>2.6666666666666665</v>
      </c>
      <c r="P67" s="423">
        <f t="shared" si="11"/>
        <v>0.40030022516887664</v>
      </c>
      <c r="Q67" s="2"/>
      <c r="R67" s="211"/>
      <c r="S67" s="211"/>
      <c r="AL67" s="105"/>
    </row>
    <row r="68" spans="1:38" ht="24.95" customHeight="1">
      <c r="A68" s="412" t="s">
        <v>250</v>
      </c>
      <c r="B68" s="417">
        <v>2</v>
      </c>
      <c r="C68" s="418">
        <v>2</v>
      </c>
      <c r="D68" s="418">
        <v>4</v>
      </c>
      <c r="E68" s="418">
        <v>3</v>
      </c>
      <c r="F68" s="418">
        <v>10</v>
      </c>
      <c r="G68" s="399">
        <v>6</v>
      </c>
      <c r="H68" s="418">
        <v>4</v>
      </c>
      <c r="I68" s="418">
        <v>8</v>
      </c>
      <c r="J68" s="413">
        <v>4</v>
      </c>
      <c r="K68" s="419">
        <v>8</v>
      </c>
      <c r="L68" s="413">
        <v>6</v>
      </c>
      <c r="M68" s="420">
        <v>5</v>
      </c>
      <c r="N68" s="421">
        <f t="shared" si="9"/>
        <v>62</v>
      </c>
      <c r="O68" s="422">
        <f t="shared" si="10"/>
        <v>5.166666666666667</v>
      </c>
      <c r="P68" s="423">
        <f t="shared" si="11"/>
        <v>0.77558168626469859</v>
      </c>
      <c r="Q68" s="2"/>
      <c r="R68" s="211"/>
      <c r="S68" s="211"/>
      <c r="AL68" s="105"/>
    </row>
    <row r="69" spans="1:38" ht="24.95" customHeight="1">
      <c r="A69" s="412" t="s">
        <v>251</v>
      </c>
      <c r="B69" s="417">
        <v>0</v>
      </c>
      <c r="C69" s="418">
        <v>4</v>
      </c>
      <c r="D69" s="418">
        <v>4</v>
      </c>
      <c r="E69" s="418">
        <v>4</v>
      </c>
      <c r="F69" s="418">
        <v>2</v>
      </c>
      <c r="G69" s="399">
        <v>2</v>
      </c>
      <c r="H69" s="418">
        <v>2</v>
      </c>
      <c r="I69" s="418">
        <v>2</v>
      </c>
      <c r="J69" s="413">
        <v>2</v>
      </c>
      <c r="K69" s="419">
        <v>1</v>
      </c>
      <c r="L69" s="413">
        <v>0</v>
      </c>
      <c r="M69" s="420">
        <v>4</v>
      </c>
      <c r="N69" s="421">
        <f t="shared" si="9"/>
        <v>27</v>
      </c>
      <c r="O69" s="422">
        <f t="shared" si="10"/>
        <v>2.25</v>
      </c>
      <c r="P69" s="423">
        <f t="shared" si="11"/>
        <v>0.33775331498623967</v>
      </c>
      <c r="Q69" s="2"/>
      <c r="R69" s="211"/>
      <c r="S69" s="211"/>
      <c r="AL69" s="105"/>
    </row>
    <row r="70" spans="1:38" ht="24.95" customHeight="1">
      <c r="A70" s="412" t="s">
        <v>252</v>
      </c>
      <c r="B70" s="417">
        <v>0</v>
      </c>
      <c r="C70" s="418">
        <v>1</v>
      </c>
      <c r="D70" s="418">
        <v>2</v>
      </c>
      <c r="E70" s="418">
        <v>3</v>
      </c>
      <c r="F70" s="418">
        <v>0</v>
      </c>
      <c r="G70" s="399">
        <v>4</v>
      </c>
      <c r="H70" s="418">
        <v>1</v>
      </c>
      <c r="I70" s="418">
        <v>4</v>
      </c>
      <c r="J70" s="413">
        <v>2</v>
      </c>
      <c r="K70" s="419">
        <v>2</v>
      </c>
      <c r="L70" s="413">
        <v>1</v>
      </c>
      <c r="M70" s="420">
        <v>3</v>
      </c>
      <c r="N70" s="421">
        <f t="shared" si="9"/>
        <v>23</v>
      </c>
      <c r="O70" s="422">
        <f t="shared" si="10"/>
        <v>1.9166666666666667</v>
      </c>
      <c r="P70" s="423">
        <f t="shared" si="11"/>
        <v>0.28771578684013011</v>
      </c>
      <c r="Q70" s="2"/>
      <c r="R70" s="211"/>
      <c r="S70" s="211"/>
      <c r="AL70" s="105"/>
    </row>
    <row r="71" spans="1:38" ht="24.95" customHeight="1">
      <c r="A71" s="412" t="s">
        <v>402</v>
      </c>
      <c r="B71" s="417">
        <v>0</v>
      </c>
      <c r="C71" s="418">
        <v>1</v>
      </c>
      <c r="D71" s="418">
        <v>2</v>
      </c>
      <c r="E71" s="418">
        <v>8</v>
      </c>
      <c r="F71" s="418">
        <v>2</v>
      </c>
      <c r="G71" s="399">
        <v>3</v>
      </c>
      <c r="H71" s="418">
        <v>2</v>
      </c>
      <c r="I71" s="418">
        <v>1</v>
      </c>
      <c r="J71" s="413">
        <v>2</v>
      </c>
      <c r="K71" s="419">
        <v>4</v>
      </c>
      <c r="L71" s="413">
        <v>0</v>
      </c>
      <c r="M71" s="420">
        <v>3</v>
      </c>
      <c r="N71" s="421">
        <f t="shared" si="9"/>
        <v>28</v>
      </c>
      <c r="O71" s="422">
        <f t="shared" si="10"/>
        <v>2.3333333333333335</v>
      </c>
      <c r="P71" s="423">
        <f t="shared" si="11"/>
        <v>0.35026269702276708</v>
      </c>
      <c r="Q71" s="2"/>
      <c r="R71" s="211"/>
      <c r="S71" s="211"/>
      <c r="AL71" s="105"/>
    </row>
    <row r="72" spans="1:38" ht="24.95" customHeight="1">
      <c r="A72" s="412" t="s">
        <v>254</v>
      </c>
      <c r="B72" s="417">
        <v>0</v>
      </c>
      <c r="C72" s="418">
        <v>2</v>
      </c>
      <c r="D72" s="418">
        <v>2</v>
      </c>
      <c r="E72" s="418">
        <v>3</v>
      </c>
      <c r="F72" s="418">
        <v>2</v>
      </c>
      <c r="G72" s="399">
        <v>5</v>
      </c>
      <c r="H72" s="418">
        <v>2</v>
      </c>
      <c r="I72" s="418">
        <v>6</v>
      </c>
      <c r="J72" s="413">
        <v>3</v>
      </c>
      <c r="K72" s="419">
        <v>1</v>
      </c>
      <c r="L72" s="413">
        <v>1</v>
      </c>
      <c r="M72" s="420">
        <v>4</v>
      </c>
      <c r="N72" s="421">
        <f t="shared" si="9"/>
        <v>31</v>
      </c>
      <c r="O72" s="422">
        <f t="shared" si="10"/>
        <v>2.5833333333333335</v>
      </c>
      <c r="P72" s="423">
        <f t="shared" si="11"/>
        <v>0.38779084313234929</v>
      </c>
      <c r="Q72" s="2"/>
      <c r="R72" s="211"/>
      <c r="S72" s="211"/>
    </row>
    <row r="73" spans="1:38" ht="24.95" customHeight="1">
      <c r="A73" s="412" t="s">
        <v>255</v>
      </c>
      <c r="B73" s="417">
        <v>0</v>
      </c>
      <c r="C73" s="418">
        <v>2</v>
      </c>
      <c r="D73" s="418">
        <v>2</v>
      </c>
      <c r="E73" s="418">
        <v>2</v>
      </c>
      <c r="F73" s="418">
        <v>2</v>
      </c>
      <c r="G73" s="399">
        <v>2</v>
      </c>
      <c r="H73" s="418">
        <v>1</v>
      </c>
      <c r="I73" s="418">
        <v>1</v>
      </c>
      <c r="J73" s="413">
        <v>1</v>
      </c>
      <c r="K73" s="419">
        <v>3</v>
      </c>
      <c r="L73" s="413">
        <v>0</v>
      </c>
      <c r="M73" s="420">
        <v>3</v>
      </c>
      <c r="N73" s="421">
        <f t="shared" si="9"/>
        <v>19</v>
      </c>
      <c r="O73" s="422">
        <f t="shared" si="10"/>
        <v>1.5833333333333333</v>
      </c>
      <c r="P73" s="423">
        <f t="shared" si="11"/>
        <v>0.23767825869402051</v>
      </c>
      <c r="Q73" s="2"/>
      <c r="R73" s="211"/>
      <c r="S73" s="211"/>
    </row>
    <row r="74" spans="1:38" ht="24.95" customHeight="1">
      <c r="A74" s="412" t="s">
        <v>256</v>
      </c>
      <c r="B74" s="417">
        <v>0</v>
      </c>
      <c r="C74" s="418">
        <v>1</v>
      </c>
      <c r="D74" s="418">
        <v>12</v>
      </c>
      <c r="E74" s="418">
        <v>4</v>
      </c>
      <c r="F74" s="418">
        <v>1</v>
      </c>
      <c r="G74" s="399">
        <v>2</v>
      </c>
      <c r="H74" s="418">
        <v>1</v>
      </c>
      <c r="I74" s="418">
        <v>1</v>
      </c>
      <c r="J74" s="413">
        <v>2</v>
      </c>
      <c r="K74" s="419">
        <v>1</v>
      </c>
      <c r="L74" s="413">
        <v>0</v>
      </c>
      <c r="M74" s="420">
        <v>4</v>
      </c>
      <c r="N74" s="421">
        <f t="shared" si="9"/>
        <v>29</v>
      </c>
      <c r="O74" s="422">
        <f t="shared" si="10"/>
        <v>2.4166666666666665</v>
      </c>
      <c r="P74" s="423">
        <f t="shared" si="11"/>
        <v>0.36277207905929448</v>
      </c>
      <c r="Q74" s="2"/>
      <c r="R74" s="211"/>
      <c r="S74" s="211"/>
    </row>
    <row r="75" spans="1:38" ht="24.95" customHeight="1">
      <c r="A75" s="412" t="s">
        <v>403</v>
      </c>
      <c r="B75" s="417">
        <v>1</v>
      </c>
      <c r="C75" s="418">
        <v>2</v>
      </c>
      <c r="D75" s="418">
        <v>2</v>
      </c>
      <c r="E75" s="418">
        <v>3</v>
      </c>
      <c r="F75" s="418">
        <v>0</v>
      </c>
      <c r="G75" s="399">
        <v>3</v>
      </c>
      <c r="H75" s="418">
        <v>2</v>
      </c>
      <c r="I75" s="418">
        <v>4</v>
      </c>
      <c r="J75" s="413">
        <v>1</v>
      </c>
      <c r="K75" s="419">
        <v>1</v>
      </c>
      <c r="L75" s="413">
        <v>0</v>
      </c>
      <c r="M75" s="420">
        <v>3</v>
      </c>
      <c r="N75" s="421">
        <f t="shared" si="9"/>
        <v>22</v>
      </c>
      <c r="O75" s="422">
        <f t="shared" si="10"/>
        <v>1.8333333333333333</v>
      </c>
      <c r="P75" s="423">
        <f t="shared" si="11"/>
        <v>0.2752064048036027</v>
      </c>
      <c r="Q75" s="2"/>
      <c r="R75" s="211"/>
      <c r="S75" s="211"/>
    </row>
    <row r="76" spans="1:38" ht="24.95" customHeight="1">
      <c r="A76" s="412" t="s">
        <v>258</v>
      </c>
      <c r="B76" s="417">
        <v>1</v>
      </c>
      <c r="C76" s="418">
        <v>2</v>
      </c>
      <c r="D76" s="418">
        <v>2</v>
      </c>
      <c r="E76" s="418">
        <v>3</v>
      </c>
      <c r="F76" s="418">
        <v>0</v>
      </c>
      <c r="G76" s="399">
        <v>3</v>
      </c>
      <c r="H76" s="418">
        <v>1</v>
      </c>
      <c r="I76" s="418">
        <v>1</v>
      </c>
      <c r="J76" s="413">
        <v>1</v>
      </c>
      <c r="K76" s="419">
        <v>2</v>
      </c>
      <c r="L76" s="413">
        <v>0</v>
      </c>
      <c r="M76" s="420">
        <v>3</v>
      </c>
      <c r="N76" s="421">
        <f t="shared" si="9"/>
        <v>19</v>
      </c>
      <c r="O76" s="422">
        <f t="shared" si="10"/>
        <v>1.5833333333333333</v>
      </c>
      <c r="P76" s="423">
        <f t="shared" si="11"/>
        <v>0.23767825869402051</v>
      </c>
      <c r="Q76" s="2"/>
      <c r="R76" s="211"/>
      <c r="S76" s="211"/>
    </row>
    <row r="77" spans="1:38" ht="24.95" customHeight="1">
      <c r="A77" s="412" t="s">
        <v>259</v>
      </c>
      <c r="B77" s="417">
        <v>1</v>
      </c>
      <c r="C77" s="418">
        <v>6</v>
      </c>
      <c r="D77" s="418">
        <v>3</v>
      </c>
      <c r="E77" s="418">
        <v>5</v>
      </c>
      <c r="F77" s="418">
        <v>1</v>
      </c>
      <c r="G77" s="399">
        <v>2</v>
      </c>
      <c r="H77" s="418">
        <v>2</v>
      </c>
      <c r="I77" s="418">
        <v>2</v>
      </c>
      <c r="J77" s="413">
        <v>3</v>
      </c>
      <c r="K77" s="419">
        <v>7</v>
      </c>
      <c r="L77" s="413">
        <v>3</v>
      </c>
      <c r="M77" s="420">
        <v>4</v>
      </c>
      <c r="N77" s="421">
        <f t="shared" si="9"/>
        <v>39</v>
      </c>
      <c r="O77" s="422">
        <f t="shared" si="10"/>
        <v>3.25</v>
      </c>
      <c r="P77" s="423">
        <f t="shared" si="11"/>
        <v>0.48786589942456843</v>
      </c>
      <c r="Q77" s="2"/>
      <c r="R77" s="211"/>
      <c r="S77" s="211"/>
    </row>
    <row r="78" spans="1:38" ht="24.95" customHeight="1">
      <c r="A78" s="412" t="s">
        <v>260</v>
      </c>
      <c r="B78" s="417">
        <v>0</v>
      </c>
      <c r="C78" s="418">
        <v>1</v>
      </c>
      <c r="D78" s="418">
        <v>2</v>
      </c>
      <c r="E78" s="418">
        <v>5</v>
      </c>
      <c r="F78" s="418">
        <v>0</v>
      </c>
      <c r="G78" s="399">
        <v>2</v>
      </c>
      <c r="H78" s="418">
        <v>4</v>
      </c>
      <c r="I78" s="418">
        <v>2</v>
      </c>
      <c r="J78" s="413">
        <v>2</v>
      </c>
      <c r="K78" s="419">
        <v>0</v>
      </c>
      <c r="L78" s="413">
        <v>3</v>
      </c>
      <c r="M78" s="420">
        <v>4</v>
      </c>
      <c r="N78" s="421">
        <f t="shared" si="9"/>
        <v>25</v>
      </c>
      <c r="O78" s="422">
        <f t="shared" si="10"/>
        <v>2.0833333333333335</v>
      </c>
      <c r="P78" s="423">
        <f t="shared" si="11"/>
        <v>0.31273455091318486</v>
      </c>
      <c r="Q78" s="2"/>
      <c r="R78" s="211"/>
      <c r="S78" s="211"/>
    </row>
    <row r="79" spans="1:38" ht="24.95" customHeight="1">
      <c r="A79" s="412" t="s">
        <v>261</v>
      </c>
      <c r="B79" s="417">
        <v>1</v>
      </c>
      <c r="C79" s="418">
        <v>1</v>
      </c>
      <c r="D79" s="418">
        <v>3</v>
      </c>
      <c r="E79" s="418">
        <v>3</v>
      </c>
      <c r="F79" s="418">
        <v>2</v>
      </c>
      <c r="G79" s="399">
        <v>4</v>
      </c>
      <c r="H79" s="418">
        <v>3</v>
      </c>
      <c r="I79" s="418">
        <v>1</v>
      </c>
      <c r="J79" s="413">
        <v>3</v>
      </c>
      <c r="K79" s="419">
        <v>2</v>
      </c>
      <c r="L79" s="413">
        <v>2</v>
      </c>
      <c r="M79" s="420">
        <v>7</v>
      </c>
      <c r="N79" s="421">
        <f t="shared" si="9"/>
        <v>32</v>
      </c>
      <c r="O79" s="422">
        <f t="shared" si="10"/>
        <v>2.6666666666666665</v>
      </c>
      <c r="P79" s="423">
        <f t="shared" si="11"/>
        <v>0.40030022516887664</v>
      </c>
      <c r="Q79" s="2"/>
      <c r="R79" s="211"/>
      <c r="S79" s="211"/>
    </row>
    <row r="80" spans="1:38" ht="24.95" customHeight="1">
      <c r="A80" s="412" t="s">
        <v>262</v>
      </c>
      <c r="B80" s="417">
        <v>0</v>
      </c>
      <c r="C80" s="418">
        <v>1</v>
      </c>
      <c r="D80" s="418">
        <v>2</v>
      </c>
      <c r="E80" s="418">
        <v>2</v>
      </c>
      <c r="F80" s="418">
        <v>0</v>
      </c>
      <c r="G80" s="399">
        <v>3</v>
      </c>
      <c r="H80" s="418">
        <v>2</v>
      </c>
      <c r="I80" s="418">
        <v>1</v>
      </c>
      <c r="J80" s="413">
        <v>1</v>
      </c>
      <c r="K80" s="419">
        <v>1</v>
      </c>
      <c r="L80" s="413">
        <v>2</v>
      </c>
      <c r="M80" s="420">
        <v>4</v>
      </c>
      <c r="N80" s="421">
        <f t="shared" si="9"/>
        <v>19</v>
      </c>
      <c r="O80" s="422">
        <f t="shared" si="10"/>
        <v>1.5833333333333333</v>
      </c>
      <c r="P80" s="423">
        <f t="shared" si="11"/>
        <v>0.23767825869402051</v>
      </c>
      <c r="Q80" s="2"/>
      <c r="R80" s="211"/>
      <c r="S80" s="211"/>
    </row>
    <row r="81" spans="1:19" ht="24.95" customHeight="1">
      <c r="A81" s="412" t="s">
        <v>263</v>
      </c>
      <c r="B81" s="417">
        <v>0</v>
      </c>
      <c r="C81" s="418">
        <v>1</v>
      </c>
      <c r="D81" s="418">
        <v>2</v>
      </c>
      <c r="E81" s="418">
        <v>2</v>
      </c>
      <c r="F81" s="418">
        <v>2</v>
      </c>
      <c r="G81" s="399">
        <v>3</v>
      </c>
      <c r="H81" s="418">
        <v>2</v>
      </c>
      <c r="I81" s="418">
        <v>4</v>
      </c>
      <c r="J81" s="413">
        <v>3</v>
      </c>
      <c r="K81" s="419">
        <v>4</v>
      </c>
      <c r="L81" s="413">
        <v>1</v>
      </c>
      <c r="M81" s="420">
        <v>3</v>
      </c>
      <c r="N81" s="421">
        <f t="shared" si="9"/>
        <v>27</v>
      </c>
      <c r="O81" s="422">
        <f t="shared" si="10"/>
        <v>2.25</v>
      </c>
      <c r="P81" s="423">
        <f t="shared" si="11"/>
        <v>0.33775331498623967</v>
      </c>
      <c r="Q81" s="2"/>
      <c r="R81" s="211"/>
      <c r="S81" s="211"/>
    </row>
    <row r="82" spans="1:19" ht="24.95" customHeight="1">
      <c r="A82" s="412" t="s">
        <v>264</v>
      </c>
      <c r="B82" s="417">
        <v>1</v>
      </c>
      <c r="C82" s="418">
        <v>3</v>
      </c>
      <c r="D82" s="418">
        <v>5</v>
      </c>
      <c r="E82" s="418">
        <v>3</v>
      </c>
      <c r="F82" s="418">
        <v>3</v>
      </c>
      <c r="G82" s="399">
        <v>3</v>
      </c>
      <c r="H82" s="418">
        <v>2</v>
      </c>
      <c r="I82" s="418">
        <v>1</v>
      </c>
      <c r="J82" s="413">
        <v>1</v>
      </c>
      <c r="K82" s="419">
        <v>6</v>
      </c>
      <c r="L82" s="413">
        <v>4</v>
      </c>
      <c r="M82" s="420">
        <v>4</v>
      </c>
      <c r="N82" s="421">
        <f t="shared" si="9"/>
        <v>36</v>
      </c>
      <c r="O82" s="422">
        <f t="shared" si="10"/>
        <v>3</v>
      </c>
      <c r="P82" s="423">
        <f t="shared" si="11"/>
        <v>0.45033775331498621</v>
      </c>
      <c r="Q82" s="2"/>
      <c r="R82" s="211"/>
      <c r="S82" s="211"/>
    </row>
    <row r="83" spans="1:19" ht="24.95" customHeight="1">
      <c r="A83" s="519" t="s">
        <v>404</v>
      </c>
      <c r="B83" s="417">
        <v>0</v>
      </c>
      <c r="C83" s="418">
        <v>1</v>
      </c>
      <c r="D83" s="418">
        <v>2</v>
      </c>
      <c r="E83" s="418">
        <v>4</v>
      </c>
      <c r="F83" s="418">
        <v>2</v>
      </c>
      <c r="G83" s="399">
        <v>3</v>
      </c>
      <c r="H83" s="418">
        <v>1</v>
      </c>
      <c r="I83" s="418">
        <v>3</v>
      </c>
      <c r="J83" s="413">
        <v>2</v>
      </c>
      <c r="K83" s="419">
        <v>1</v>
      </c>
      <c r="L83" s="413">
        <v>4</v>
      </c>
      <c r="M83" s="420">
        <v>3</v>
      </c>
      <c r="N83" s="421">
        <f t="shared" si="9"/>
        <v>26</v>
      </c>
      <c r="O83" s="422">
        <f t="shared" si="10"/>
        <v>2.1666666666666665</v>
      </c>
      <c r="P83" s="423">
        <f t="shared" si="11"/>
        <v>0.32524393294971227</v>
      </c>
      <c r="Q83" s="2"/>
      <c r="R83" s="211"/>
      <c r="S83" s="211"/>
    </row>
    <row r="84" spans="1:19" ht="24.95" customHeight="1">
      <c r="A84" s="412" t="s">
        <v>266</v>
      </c>
      <c r="B84" s="417">
        <v>1</v>
      </c>
      <c r="C84" s="418">
        <v>2</v>
      </c>
      <c r="D84" s="418">
        <v>2</v>
      </c>
      <c r="E84" s="418">
        <v>4</v>
      </c>
      <c r="F84" s="418">
        <v>4</v>
      </c>
      <c r="G84" s="399">
        <v>3</v>
      </c>
      <c r="H84" s="418">
        <v>1</v>
      </c>
      <c r="I84" s="418">
        <v>3</v>
      </c>
      <c r="J84" s="413">
        <v>3</v>
      </c>
      <c r="K84" s="419">
        <v>5</v>
      </c>
      <c r="L84" s="413">
        <v>4</v>
      </c>
      <c r="M84" s="420">
        <v>3</v>
      </c>
      <c r="N84" s="421">
        <f t="shared" si="9"/>
        <v>35</v>
      </c>
      <c r="O84" s="422">
        <f t="shared" si="10"/>
        <v>2.9166666666666665</v>
      </c>
      <c r="P84" s="423">
        <f t="shared" si="11"/>
        <v>0.43782837127845886</v>
      </c>
      <c r="Q84" s="2"/>
      <c r="R84" s="211"/>
      <c r="S84" s="211"/>
    </row>
    <row r="85" spans="1:19" ht="24.95" customHeight="1">
      <c r="A85" s="412" t="s">
        <v>267</v>
      </c>
      <c r="B85" s="417">
        <v>2</v>
      </c>
      <c r="C85" s="418">
        <v>1</v>
      </c>
      <c r="D85" s="418">
        <v>2</v>
      </c>
      <c r="E85" s="418">
        <v>4</v>
      </c>
      <c r="F85" s="418">
        <v>2</v>
      </c>
      <c r="G85" s="399">
        <v>2</v>
      </c>
      <c r="H85" s="418">
        <v>3</v>
      </c>
      <c r="I85" s="418">
        <v>1</v>
      </c>
      <c r="J85" s="413">
        <v>2</v>
      </c>
      <c r="K85" s="419">
        <v>2</v>
      </c>
      <c r="L85" s="413">
        <v>0</v>
      </c>
      <c r="M85" s="420">
        <v>3</v>
      </c>
      <c r="N85" s="421">
        <f t="shared" si="9"/>
        <v>24</v>
      </c>
      <c r="O85" s="422">
        <f t="shared" si="10"/>
        <v>2</v>
      </c>
      <c r="P85" s="423">
        <f t="shared" si="11"/>
        <v>0.30022516887665751</v>
      </c>
      <c r="Q85" s="2"/>
      <c r="R85" s="211"/>
      <c r="S85" s="211"/>
    </row>
    <row r="86" spans="1:19" ht="24.95" customHeight="1">
      <c r="A86" s="412" t="s">
        <v>268</v>
      </c>
      <c r="B86" s="417">
        <v>1</v>
      </c>
      <c r="C86" s="418">
        <v>5</v>
      </c>
      <c r="D86" s="418">
        <v>3</v>
      </c>
      <c r="E86" s="418">
        <v>3</v>
      </c>
      <c r="F86" s="418">
        <v>3</v>
      </c>
      <c r="G86" s="399">
        <v>4</v>
      </c>
      <c r="H86" s="418">
        <v>4</v>
      </c>
      <c r="I86" s="418">
        <v>3</v>
      </c>
      <c r="J86" s="413">
        <v>2</v>
      </c>
      <c r="K86" s="419">
        <v>3</v>
      </c>
      <c r="L86" s="413">
        <v>0</v>
      </c>
      <c r="M86" s="420">
        <v>4</v>
      </c>
      <c r="N86" s="421">
        <f t="shared" ref="N86:N99" si="12">SUM(B86:M86)</f>
        <v>35</v>
      </c>
      <c r="O86" s="422">
        <f t="shared" ref="O86:O100" si="13">AVERAGE(B86:M86)</f>
        <v>2.9166666666666665</v>
      </c>
      <c r="P86" s="423">
        <f t="shared" si="11"/>
        <v>0.43782837127845886</v>
      </c>
      <c r="Q86" s="2"/>
      <c r="R86" s="211"/>
      <c r="S86" s="211"/>
    </row>
    <row r="87" spans="1:19" ht="24.95" customHeight="1">
      <c r="A87" s="412" t="s">
        <v>269</v>
      </c>
      <c r="B87" s="417">
        <v>0</v>
      </c>
      <c r="C87" s="418">
        <v>1</v>
      </c>
      <c r="D87" s="418">
        <v>2</v>
      </c>
      <c r="E87" s="418">
        <v>3</v>
      </c>
      <c r="F87" s="418">
        <v>0</v>
      </c>
      <c r="G87" s="399">
        <v>2</v>
      </c>
      <c r="H87" s="418">
        <v>1</v>
      </c>
      <c r="I87" s="418">
        <v>1</v>
      </c>
      <c r="J87" s="413">
        <v>2</v>
      </c>
      <c r="K87" s="419">
        <v>3</v>
      </c>
      <c r="L87" s="413">
        <v>0</v>
      </c>
      <c r="M87" s="420">
        <v>5</v>
      </c>
      <c r="N87" s="421">
        <f t="shared" si="12"/>
        <v>20</v>
      </c>
      <c r="O87" s="422">
        <f t="shared" si="13"/>
        <v>1.6666666666666667</v>
      </c>
      <c r="P87" s="423">
        <f t="shared" si="11"/>
        <v>0.25018764073054789</v>
      </c>
      <c r="Q87" s="2"/>
      <c r="R87" s="211"/>
      <c r="S87" s="211"/>
    </row>
    <row r="88" spans="1:19" ht="24.95" customHeight="1">
      <c r="A88" s="412" t="s">
        <v>270</v>
      </c>
      <c r="B88" s="417">
        <v>5</v>
      </c>
      <c r="C88" s="418">
        <v>4</v>
      </c>
      <c r="D88" s="418">
        <v>5</v>
      </c>
      <c r="E88" s="418">
        <v>6</v>
      </c>
      <c r="F88" s="418">
        <v>3</v>
      </c>
      <c r="G88" s="399">
        <v>8</v>
      </c>
      <c r="H88" s="418">
        <v>1</v>
      </c>
      <c r="I88" s="418">
        <v>3</v>
      </c>
      <c r="J88" s="413">
        <v>6</v>
      </c>
      <c r="K88" s="419">
        <v>5</v>
      </c>
      <c r="L88" s="413">
        <v>7</v>
      </c>
      <c r="M88" s="420">
        <v>5</v>
      </c>
      <c r="N88" s="421">
        <f t="shared" si="12"/>
        <v>58</v>
      </c>
      <c r="O88" s="422">
        <f t="shared" si="13"/>
        <v>4.833333333333333</v>
      </c>
      <c r="P88" s="423">
        <f t="shared" ref="P88:P99" si="14">(N88/$N$100)*100</f>
        <v>0.72554415811858897</v>
      </c>
      <c r="Q88" s="2"/>
      <c r="R88" s="211"/>
      <c r="S88" s="211"/>
    </row>
    <row r="89" spans="1:19" ht="24.95" customHeight="1">
      <c r="A89" s="412" t="s">
        <v>271</v>
      </c>
      <c r="B89" s="417">
        <v>1</v>
      </c>
      <c r="C89" s="418">
        <v>2</v>
      </c>
      <c r="D89" s="418">
        <v>3</v>
      </c>
      <c r="E89" s="418">
        <v>4</v>
      </c>
      <c r="F89" s="418">
        <v>3</v>
      </c>
      <c r="G89" s="399">
        <v>2</v>
      </c>
      <c r="H89" s="418">
        <v>3</v>
      </c>
      <c r="I89" s="418">
        <v>1</v>
      </c>
      <c r="J89" s="413">
        <v>6</v>
      </c>
      <c r="K89" s="419">
        <v>4</v>
      </c>
      <c r="L89" s="413">
        <v>2</v>
      </c>
      <c r="M89" s="420">
        <v>4</v>
      </c>
      <c r="N89" s="421">
        <f t="shared" si="12"/>
        <v>35</v>
      </c>
      <c r="O89" s="422">
        <f t="shared" si="13"/>
        <v>2.9166666666666665</v>
      </c>
      <c r="P89" s="423">
        <f t="shared" si="14"/>
        <v>0.43782837127845886</v>
      </c>
      <c r="Q89" s="2"/>
      <c r="R89" s="211"/>
      <c r="S89" s="211"/>
    </row>
    <row r="90" spans="1:19" ht="24.95" customHeight="1">
      <c r="A90" s="412" t="s">
        <v>272</v>
      </c>
      <c r="B90" s="417">
        <v>2</v>
      </c>
      <c r="C90" s="418">
        <v>2</v>
      </c>
      <c r="D90" s="418">
        <v>3</v>
      </c>
      <c r="E90" s="418">
        <v>4</v>
      </c>
      <c r="F90" s="418">
        <v>3</v>
      </c>
      <c r="G90" s="399">
        <v>5</v>
      </c>
      <c r="H90" s="418">
        <v>4</v>
      </c>
      <c r="I90" s="418">
        <v>3</v>
      </c>
      <c r="J90" s="413">
        <v>2</v>
      </c>
      <c r="K90" s="419">
        <v>4</v>
      </c>
      <c r="L90" s="413">
        <v>1</v>
      </c>
      <c r="M90" s="420">
        <v>4</v>
      </c>
      <c r="N90" s="421">
        <f t="shared" si="12"/>
        <v>37</v>
      </c>
      <c r="O90" s="422">
        <f t="shared" si="13"/>
        <v>3.0833333333333335</v>
      </c>
      <c r="P90" s="423">
        <f t="shared" si="14"/>
        <v>0.46284713535151367</v>
      </c>
      <c r="Q90" s="2"/>
      <c r="R90" s="211"/>
      <c r="S90" s="211"/>
    </row>
    <row r="91" spans="1:19" ht="24.95" customHeight="1">
      <c r="A91" s="412" t="s">
        <v>273</v>
      </c>
      <c r="B91" s="417">
        <v>1</v>
      </c>
      <c r="C91" s="418">
        <v>2</v>
      </c>
      <c r="D91" s="418">
        <v>2</v>
      </c>
      <c r="E91" s="418">
        <v>4</v>
      </c>
      <c r="F91" s="418">
        <v>4</v>
      </c>
      <c r="G91" s="399">
        <v>4</v>
      </c>
      <c r="H91" s="418">
        <v>4</v>
      </c>
      <c r="I91" s="418">
        <v>6</v>
      </c>
      <c r="J91" s="413">
        <v>2</v>
      </c>
      <c r="K91" s="419">
        <v>2</v>
      </c>
      <c r="L91" s="413">
        <v>1</v>
      </c>
      <c r="M91" s="420">
        <v>4</v>
      </c>
      <c r="N91" s="421">
        <f t="shared" si="12"/>
        <v>36</v>
      </c>
      <c r="O91" s="422">
        <f t="shared" si="13"/>
        <v>3</v>
      </c>
      <c r="P91" s="423">
        <f t="shared" si="14"/>
        <v>0.45033775331498621</v>
      </c>
      <c r="Q91" s="2"/>
      <c r="R91" s="211"/>
      <c r="S91" s="211"/>
    </row>
    <row r="92" spans="1:19" ht="24.95" customHeight="1">
      <c r="A92" s="412" t="s">
        <v>274</v>
      </c>
      <c r="B92" s="417">
        <v>4</v>
      </c>
      <c r="C92" s="418">
        <v>3</v>
      </c>
      <c r="D92" s="418">
        <v>3</v>
      </c>
      <c r="E92" s="418">
        <v>3</v>
      </c>
      <c r="F92" s="418">
        <v>1</v>
      </c>
      <c r="G92" s="399">
        <v>3</v>
      </c>
      <c r="H92" s="418">
        <v>6</v>
      </c>
      <c r="I92" s="418">
        <v>3</v>
      </c>
      <c r="J92" s="413">
        <v>13</v>
      </c>
      <c r="K92" s="419">
        <v>6</v>
      </c>
      <c r="L92" s="413">
        <v>3</v>
      </c>
      <c r="M92" s="420">
        <v>6</v>
      </c>
      <c r="N92" s="421">
        <f t="shared" si="12"/>
        <v>54</v>
      </c>
      <c r="O92" s="422">
        <f t="shared" si="13"/>
        <v>4.5</v>
      </c>
      <c r="P92" s="423">
        <f t="shared" si="14"/>
        <v>0.67550662997247934</v>
      </c>
      <c r="Q92" s="2"/>
      <c r="R92" s="211"/>
      <c r="S92" s="211"/>
    </row>
    <row r="93" spans="1:19" ht="24.95" customHeight="1">
      <c r="A93" s="412" t="s">
        <v>275</v>
      </c>
      <c r="B93" s="417">
        <v>0</v>
      </c>
      <c r="C93" s="418">
        <v>2</v>
      </c>
      <c r="D93" s="418">
        <v>3</v>
      </c>
      <c r="E93" s="418">
        <v>2</v>
      </c>
      <c r="F93" s="418">
        <v>1</v>
      </c>
      <c r="G93" s="399">
        <v>4</v>
      </c>
      <c r="H93" s="418">
        <v>1</v>
      </c>
      <c r="I93" s="418">
        <v>1</v>
      </c>
      <c r="J93" s="413">
        <v>3</v>
      </c>
      <c r="K93" s="419">
        <v>2</v>
      </c>
      <c r="L93" s="413">
        <v>2</v>
      </c>
      <c r="M93" s="420">
        <v>5</v>
      </c>
      <c r="N93" s="421">
        <f t="shared" si="12"/>
        <v>26</v>
      </c>
      <c r="O93" s="422">
        <f t="shared" si="13"/>
        <v>2.1666666666666665</v>
      </c>
      <c r="P93" s="423">
        <f t="shared" si="14"/>
        <v>0.32524393294971227</v>
      </c>
      <c r="Q93" s="2"/>
      <c r="R93" s="211"/>
      <c r="S93" s="211"/>
    </row>
    <row r="94" spans="1:19" ht="24.95" customHeight="1">
      <c r="A94" s="412" t="s">
        <v>276</v>
      </c>
      <c r="B94" s="417">
        <v>0</v>
      </c>
      <c r="C94" s="418">
        <v>1</v>
      </c>
      <c r="D94" s="418">
        <v>2</v>
      </c>
      <c r="E94" s="418">
        <v>3</v>
      </c>
      <c r="F94" s="418">
        <v>1</v>
      </c>
      <c r="G94" s="399">
        <v>3</v>
      </c>
      <c r="H94" s="418">
        <v>1</v>
      </c>
      <c r="I94" s="418">
        <v>2</v>
      </c>
      <c r="J94" s="413">
        <v>2</v>
      </c>
      <c r="K94" s="419">
        <v>1</v>
      </c>
      <c r="L94" s="413">
        <v>0</v>
      </c>
      <c r="M94" s="420">
        <v>3</v>
      </c>
      <c r="N94" s="421">
        <f t="shared" si="12"/>
        <v>19</v>
      </c>
      <c r="O94" s="422">
        <f t="shared" si="13"/>
        <v>1.5833333333333333</v>
      </c>
      <c r="P94" s="423">
        <f t="shared" si="14"/>
        <v>0.23767825869402051</v>
      </c>
      <c r="Q94" s="2"/>
      <c r="R94" s="211"/>
      <c r="S94" s="211"/>
    </row>
    <row r="95" spans="1:19" ht="24.95" customHeight="1">
      <c r="A95" s="412" t="s">
        <v>277</v>
      </c>
      <c r="B95" s="417">
        <v>1</v>
      </c>
      <c r="C95" s="418">
        <v>10</v>
      </c>
      <c r="D95" s="418">
        <v>9</v>
      </c>
      <c r="E95" s="418">
        <v>5</v>
      </c>
      <c r="F95" s="418">
        <v>6</v>
      </c>
      <c r="G95" s="399">
        <v>6</v>
      </c>
      <c r="H95" s="418">
        <v>3</v>
      </c>
      <c r="I95" s="418">
        <v>11</v>
      </c>
      <c r="J95" s="413">
        <v>7</v>
      </c>
      <c r="K95" s="419">
        <v>5</v>
      </c>
      <c r="L95" s="413">
        <v>2</v>
      </c>
      <c r="M95" s="420">
        <v>8</v>
      </c>
      <c r="N95" s="421">
        <f t="shared" si="12"/>
        <v>73</v>
      </c>
      <c r="O95" s="422">
        <f t="shared" si="13"/>
        <v>6.083333333333333</v>
      </c>
      <c r="P95" s="423">
        <f t="shared" si="14"/>
        <v>0.91318488866649983</v>
      </c>
      <c r="Q95" s="2"/>
      <c r="R95" s="211"/>
      <c r="S95" s="211"/>
    </row>
    <row r="96" spans="1:19" ht="24.95" customHeight="1">
      <c r="A96" s="412" t="s">
        <v>278</v>
      </c>
      <c r="B96" s="417">
        <v>0</v>
      </c>
      <c r="C96" s="418">
        <v>1</v>
      </c>
      <c r="D96" s="418">
        <v>2</v>
      </c>
      <c r="E96" s="418">
        <v>2</v>
      </c>
      <c r="F96" s="418">
        <v>2</v>
      </c>
      <c r="G96" s="399">
        <v>2</v>
      </c>
      <c r="H96" s="418">
        <v>3</v>
      </c>
      <c r="I96" s="418">
        <v>3</v>
      </c>
      <c r="J96" s="413">
        <v>4</v>
      </c>
      <c r="K96" s="419">
        <v>3</v>
      </c>
      <c r="L96" s="413">
        <v>1</v>
      </c>
      <c r="M96" s="420">
        <v>4</v>
      </c>
      <c r="N96" s="421">
        <f t="shared" si="12"/>
        <v>27</v>
      </c>
      <c r="O96" s="422">
        <f t="shared" si="13"/>
        <v>2.25</v>
      </c>
      <c r="P96" s="423">
        <f t="shared" si="14"/>
        <v>0.33775331498623967</v>
      </c>
      <c r="Q96" s="2"/>
      <c r="R96" s="211"/>
      <c r="S96" s="211"/>
    </row>
    <row r="97" spans="1:54" ht="24.95" customHeight="1">
      <c r="A97" s="412" t="s">
        <v>279</v>
      </c>
      <c r="B97" s="417">
        <v>1</v>
      </c>
      <c r="C97" s="418">
        <v>1</v>
      </c>
      <c r="D97" s="418">
        <v>3</v>
      </c>
      <c r="E97" s="418">
        <v>8</v>
      </c>
      <c r="F97" s="418">
        <v>13</v>
      </c>
      <c r="G97" s="399">
        <v>4</v>
      </c>
      <c r="H97" s="418">
        <v>6</v>
      </c>
      <c r="I97" s="418">
        <v>4</v>
      </c>
      <c r="J97" s="413">
        <v>4</v>
      </c>
      <c r="K97" s="419">
        <v>6</v>
      </c>
      <c r="L97" s="413">
        <v>0</v>
      </c>
      <c r="M97" s="420">
        <v>5</v>
      </c>
      <c r="N97" s="421">
        <f t="shared" si="12"/>
        <v>55</v>
      </c>
      <c r="O97" s="422">
        <f t="shared" si="13"/>
        <v>4.583333333333333</v>
      </c>
      <c r="P97" s="423">
        <f t="shared" si="14"/>
        <v>0.68801601200900675</v>
      </c>
      <c r="Q97" s="2"/>
      <c r="R97" s="211"/>
      <c r="S97" s="211"/>
    </row>
    <row r="98" spans="1:54" s="89" customFormat="1" ht="24.95" customHeight="1">
      <c r="A98" s="421" t="s">
        <v>280</v>
      </c>
      <c r="B98" s="739">
        <v>1</v>
      </c>
      <c r="C98" s="418">
        <v>2</v>
      </c>
      <c r="D98" s="523">
        <v>2</v>
      </c>
      <c r="E98" s="523">
        <v>2</v>
      </c>
      <c r="F98" s="523">
        <v>3</v>
      </c>
      <c r="G98" s="399">
        <v>3</v>
      </c>
      <c r="H98" s="523">
        <v>2</v>
      </c>
      <c r="I98" s="523">
        <v>1</v>
      </c>
      <c r="J98" s="413">
        <v>1</v>
      </c>
      <c r="K98" s="419">
        <v>2</v>
      </c>
      <c r="L98" s="413">
        <v>0</v>
      </c>
      <c r="M98" s="420">
        <v>4</v>
      </c>
      <c r="N98" s="421">
        <f t="shared" si="12"/>
        <v>23</v>
      </c>
      <c r="O98" s="520">
        <f t="shared" si="13"/>
        <v>1.9166666666666667</v>
      </c>
      <c r="P98" s="521">
        <f t="shared" si="14"/>
        <v>0.28771578684013011</v>
      </c>
      <c r="Q98" s="406"/>
      <c r="T98" s="150"/>
      <c r="BB98" s="159"/>
    </row>
    <row r="99" spans="1:54" ht="24.95" customHeight="1" thickBot="1">
      <c r="A99" s="522" t="s">
        <v>405</v>
      </c>
      <c r="B99" s="682">
        <v>5</v>
      </c>
      <c r="C99" s="523">
        <v>12</v>
      </c>
      <c r="D99" s="524">
        <v>15</v>
      </c>
      <c r="E99" s="524">
        <v>12</v>
      </c>
      <c r="F99" s="524">
        <v>7</v>
      </c>
      <c r="G99" s="645">
        <v>18</v>
      </c>
      <c r="H99" s="524">
        <v>22</v>
      </c>
      <c r="I99" s="524">
        <v>17</v>
      </c>
      <c r="J99" s="525">
        <v>14</v>
      </c>
      <c r="K99" s="526">
        <v>26</v>
      </c>
      <c r="L99" s="525">
        <v>11</v>
      </c>
      <c r="M99" s="527">
        <v>9</v>
      </c>
      <c r="N99" s="528">
        <f t="shared" si="12"/>
        <v>168</v>
      </c>
      <c r="O99" s="529">
        <f t="shared" si="13"/>
        <v>14</v>
      </c>
      <c r="P99" s="530">
        <f t="shared" si="14"/>
        <v>2.1015761821366024</v>
      </c>
      <c r="Q99" s="531"/>
      <c r="R99" s="211"/>
      <c r="S99" s="532"/>
      <c r="T99" s="231"/>
      <c r="U99" s="154"/>
      <c r="V99" s="154"/>
      <c r="W99" s="154"/>
      <c r="X99" s="154"/>
      <c r="Y99" s="154"/>
      <c r="Z99" s="154"/>
      <c r="AA99" s="154"/>
      <c r="AB99" s="154"/>
      <c r="AC99" s="154"/>
      <c r="AD99" s="154"/>
      <c r="AE99" s="154"/>
    </row>
    <row r="100" spans="1:54" ht="24.95" customHeight="1" thickBot="1">
      <c r="A100" s="533" t="s">
        <v>321</v>
      </c>
      <c r="B100" s="535">
        <f>SUM(B22:B99)</f>
        <v>441</v>
      </c>
      <c r="C100" s="535">
        <f>SUM(C22:C99)</f>
        <v>637</v>
      </c>
      <c r="D100" s="534">
        <f>SUM(D22:D99)</f>
        <v>723</v>
      </c>
      <c r="E100" s="534">
        <f>SUM(E22:E99)</f>
        <v>666</v>
      </c>
      <c r="F100" s="643">
        <f>SUM(F22:F99)</f>
        <v>636</v>
      </c>
      <c r="G100" s="646">
        <v>706</v>
      </c>
      <c r="H100" s="644">
        <f t="shared" ref="H100:N100" si="15">SUM(H22:H99)</f>
        <v>662</v>
      </c>
      <c r="I100" s="535">
        <f t="shared" si="15"/>
        <v>736</v>
      </c>
      <c r="J100" s="535">
        <f t="shared" si="15"/>
        <v>799</v>
      </c>
      <c r="K100" s="535">
        <f t="shared" si="15"/>
        <v>728</v>
      </c>
      <c r="L100" s="535">
        <f t="shared" si="15"/>
        <v>532</v>
      </c>
      <c r="M100" s="535">
        <f t="shared" si="15"/>
        <v>728</v>
      </c>
      <c r="N100" s="534">
        <f t="shared" si="15"/>
        <v>7994</v>
      </c>
      <c r="O100" s="536">
        <f t="shared" si="13"/>
        <v>666.16666666666663</v>
      </c>
      <c r="P100" s="537">
        <f>SUM(P22:P99)</f>
        <v>99.999999999999972</v>
      </c>
      <c r="Q100" s="538"/>
      <c r="R100" s="158"/>
      <c r="S100" s="211"/>
      <c r="T100" s="539"/>
      <c r="U100" s="89"/>
      <c r="V100" s="89"/>
      <c r="W100" s="89"/>
      <c r="X100" s="89"/>
      <c r="Y100" s="89"/>
      <c r="Z100" s="89"/>
      <c r="AA100" s="89"/>
      <c r="AB100" s="89"/>
      <c r="AC100" s="89"/>
      <c r="AD100" s="159"/>
      <c r="AE100" s="159"/>
      <c r="AF100" s="89"/>
      <c r="AG100" s="89"/>
      <c r="AH100" s="150"/>
    </row>
    <row r="101" spans="1:54" s="649" customFormat="1" ht="24.95" customHeight="1">
      <c r="C101" s="657"/>
      <c r="D101" s="657"/>
      <c r="F101" s="658"/>
      <c r="G101" s="658"/>
      <c r="H101" s="658"/>
      <c r="I101" s="659"/>
      <c r="J101" s="658"/>
      <c r="K101" s="658"/>
      <c r="L101" s="658"/>
      <c r="M101" s="660"/>
      <c r="N101" s="661"/>
      <c r="O101" s="657"/>
      <c r="P101" s="657"/>
      <c r="Q101" s="662"/>
      <c r="T101" s="910"/>
      <c r="U101" s="658"/>
      <c r="V101" s="658"/>
      <c r="W101" s="658"/>
      <c r="X101" s="658"/>
      <c r="Y101" s="658"/>
      <c r="Z101" s="658"/>
      <c r="AA101" s="658"/>
      <c r="AB101" s="658"/>
      <c r="AC101" s="658"/>
      <c r="AD101" s="658"/>
      <c r="AE101" s="658"/>
      <c r="AF101" s="658"/>
      <c r="AG101" s="658"/>
      <c r="AH101" s="660"/>
    </row>
    <row r="102" spans="1:54" s="649" customFormat="1">
      <c r="A102" s="788"/>
      <c r="B102" s="789"/>
      <c r="C102" s="789"/>
      <c r="D102" s="789"/>
      <c r="E102" s="789"/>
      <c r="F102" s="789"/>
      <c r="G102" s="789"/>
      <c r="H102" s="789"/>
      <c r="I102" s="789"/>
      <c r="J102" s="789"/>
      <c r="K102" s="789"/>
      <c r="L102" s="789"/>
      <c r="M102" s="789"/>
      <c r="N102" s="789"/>
      <c r="O102" s="790"/>
      <c r="P102" s="662"/>
      <c r="Q102" s="657"/>
      <c r="R102" s="911"/>
      <c r="S102" s="658"/>
      <c r="T102" s="660"/>
      <c r="U102" s="658"/>
      <c r="V102" s="658"/>
      <c r="W102" s="658"/>
      <c r="X102" s="658"/>
      <c r="Y102" s="658"/>
      <c r="Z102" s="658"/>
      <c r="AA102" s="658"/>
      <c r="AB102" s="658"/>
      <c r="AC102" s="658"/>
      <c r="AD102" s="658"/>
      <c r="AE102" s="658"/>
      <c r="AF102" s="660"/>
    </row>
    <row r="103" spans="1:54" s="663" customFormat="1">
      <c r="B103" s="912"/>
      <c r="C103" s="912"/>
      <c r="D103" s="912"/>
      <c r="E103" s="913"/>
      <c r="F103" s="913"/>
      <c r="G103" s="913"/>
      <c r="H103" s="913"/>
      <c r="I103" s="913"/>
      <c r="J103" s="913"/>
      <c r="K103" s="913"/>
      <c r="L103" s="913"/>
      <c r="M103" s="913"/>
      <c r="N103" s="664"/>
      <c r="O103" s="665"/>
      <c r="P103" s="666"/>
      <c r="Q103" s="664"/>
      <c r="T103" s="914"/>
      <c r="U103" s="665"/>
      <c r="V103" s="665"/>
      <c r="W103" s="665"/>
      <c r="X103" s="665"/>
      <c r="Y103" s="665"/>
      <c r="Z103" s="665"/>
      <c r="AA103" s="665"/>
      <c r="AB103" s="665"/>
      <c r="AC103" s="665"/>
      <c r="AD103" s="665"/>
      <c r="AE103" s="665"/>
      <c r="AF103" s="665"/>
      <c r="AG103" s="665"/>
      <c r="AH103" s="668"/>
    </row>
    <row r="104" spans="1:54" s="663" customFormat="1">
      <c r="A104" s="629" t="s">
        <v>340</v>
      </c>
      <c r="B104" s="630">
        <v>45261</v>
      </c>
      <c r="C104" s="630">
        <v>45231</v>
      </c>
      <c r="D104" s="631">
        <v>45200</v>
      </c>
      <c r="E104" s="631">
        <v>45170</v>
      </c>
      <c r="F104" s="631">
        <v>45139</v>
      </c>
      <c r="G104" s="631">
        <v>45108</v>
      </c>
      <c r="H104" s="631">
        <v>45078</v>
      </c>
      <c r="I104" s="631">
        <v>45047</v>
      </c>
      <c r="J104" s="631">
        <v>45017</v>
      </c>
      <c r="K104" s="631">
        <v>44986</v>
      </c>
      <c r="L104" s="632">
        <v>44958</v>
      </c>
      <c r="M104" s="631">
        <v>44927</v>
      </c>
      <c r="N104" s="631" t="s">
        <v>5</v>
      </c>
      <c r="O104" s="633"/>
      <c r="P104" s="740"/>
      <c r="Q104" s="664"/>
      <c r="T104" s="914"/>
      <c r="U104" s="665"/>
      <c r="V104" s="665"/>
      <c r="W104" s="665"/>
      <c r="X104" s="665"/>
      <c r="Y104" s="665"/>
      <c r="Z104" s="665"/>
      <c r="AA104" s="665"/>
      <c r="AB104" s="665"/>
      <c r="AC104" s="665"/>
      <c r="AD104" s="665"/>
      <c r="AE104" s="665"/>
      <c r="AF104" s="665"/>
      <c r="AG104" s="665"/>
      <c r="AH104" s="668"/>
    </row>
    <row r="105" spans="1:54" s="663" customFormat="1">
      <c r="A105" s="742" t="s">
        <v>406</v>
      </c>
      <c r="B105" s="634">
        <v>72</v>
      </c>
      <c r="C105" s="634">
        <v>111</v>
      </c>
      <c r="D105" s="634">
        <v>144</v>
      </c>
      <c r="E105" s="634">
        <v>109</v>
      </c>
      <c r="F105" s="634">
        <v>91</v>
      </c>
      <c r="G105" s="634">
        <v>124</v>
      </c>
      <c r="H105" s="634">
        <v>86</v>
      </c>
      <c r="I105" s="634">
        <v>105</v>
      </c>
      <c r="J105" s="635">
        <v>121</v>
      </c>
      <c r="K105" s="635">
        <v>89</v>
      </c>
      <c r="L105" s="635">
        <v>65</v>
      </c>
      <c r="M105" s="635">
        <v>154</v>
      </c>
      <c r="N105" s="634">
        <f t="shared" ref="N105:N114" si="16">SUM(B105:M105)</f>
        <v>1271</v>
      </c>
      <c r="O105" s="636">
        <f>N105/$N$115*100</f>
        <v>26.741005680622763</v>
      </c>
      <c r="P105" s="740"/>
      <c r="Q105" s="664"/>
      <c r="T105" s="914"/>
      <c r="U105" s="665"/>
      <c r="V105" s="665"/>
      <c r="W105" s="665"/>
      <c r="X105" s="665"/>
      <c r="Y105" s="665"/>
      <c r="Z105" s="665"/>
      <c r="AA105" s="665"/>
      <c r="AB105" s="665"/>
      <c r="AC105" s="665"/>
      <c r="AD105" s="665"/>
      <c r="AE105" s="665"/>
      <c r="AF105" s="665"/>
      <c r="AG105" s="665"/>
      <c r="AH105" s="668"/>
    </row>
    <row r="106" spans="1:54" s="663" customFormat="1">
      <c r="A106" s="742" t="s">
        <v>407</v>
      </c>
      <c r="B106" s="634">
        <v>35</v>
      </c>
      <c r="C106" s="634">
        <v>61</v>
      </c>
      <c r="D106" s="634">
        <v>58</v>
      </c>
      <c r="E106" s="634">
        <v>52</v>
      </c>
      <c r="F106" s="634">
        <v>66</v>
      </c>
      <c r="G106" s="634">
        <v>54</v>
      </c>
      <c r="H106" s="634">
        <v>54</v>
      </c>
      <c r="I106" s="634">
        <v>71</v>
      </c>
      <c r="J106" s="635">
        <v>74</v>
      </c>
      <c r="K106" s="635">
        <v>53</v>
      </c>
      <c r="L106" s="635">
        <v>45</v>
      </c>
      <c r="M106" s="635">
        <v>55</v>
      </c>
      <c r="N106" s="634">
        <f t="shared" si="16"/>
        <v>678</v>
      </c>
      <c r="O106" s="636">
        <f t="shared" ref="O106:O114" si="17">N106/$N$115*100</f>
        <v>14.264674942141806</v>
      </c>
      <c r="P106" s="740"/>
      <c r="Q106" s="664"/>
      <c r="T106" s="914"/>
      <c r="U106" s="665"/>
      <c r="V106" s="665"/>
      <c r="W106" s="665"/>
      <c r="X106" s="665"/>
      <c r="Y106" s="665"/>
      <c r="Z106" s="665"/>
      <c r="AA106" s="665"/>
      <c r="AB106" s="665"/>
      <c r="AC106" s="665"/>
      <c r="AD106" s="665"/>
      <c r="AE106" s="665"/>
      <c r="AF106" s="665"/>
      <c r="AG106" s="665"/>
      <c r="AH106" s="668"/>
    </row>
    <row r="107" spans="1:54" s="663" customFormat="1">
      <c r="A107" s="742" t="s">
        <v>409</v>
      </c>
      <c r="B107" s="634">
        <v>35</v>
      </c>
      <c r="C107" s="634">
        <v>37</v>
      </c>
      <c r="D107" s="634">
        <v>49</v>
      </c>
      <c r="E107" s="634">
        <v>42</v>
      </c>
      <c r="F107" s="634">
        <v>38</v>
      </c>
      <c r="G107" s="634">
        <v>54</v>
      </c>
      <c r="H107" s="634">
        <v>54</v>
      </c>
      <c r="I107" s="634">
        <v>55</v>
      </c>
      <c r="J107" s="635">
        <v>50</v>
      </c>
      <c r="K107" s="635">
        <v>34</v>
      </c>
      <c r="L107" s="635">
        <v>52</v>
      </c>
      <c r="M107" s="635">
        <v>52</v>
      </c>
      <c r="N107" s="634">
        <f t="shared" si="16"/>
        <v>552</v>
      </c>
      <c r="O107" s="636">
        <f t="shared" si="17"/>
        <v>11.613717652009257</v>
      </c>
      <c r="P107" s="740"/>
      <c r="Q107" s="664"/>
      <c r="T107" s="914"/>
      <c r="U107" s="665"/>
      <c r="V107" s="665"/>
      <c r="W107" s="665"/>
      <c r="X107" s="665"/>
      <c r="Y107" s="665"/>
      <c r="Z107" s="665"/>
      <c r="AA107" s="665"/>
      <c r="AB107" s="665"/>
      <c r="AC107" s="665"/>
      <c r="AD107" s="665"/>
      <c r="AE107" s="665"/>
      <c r="AF107" s="665"/>
      <c r="AG107" s="665"/>
      <c r="AH107" s="668"/>
    </row>
    <row r="108" spans="1:54" s="663" customFormat="1">
      <c r="A108" s="742" t="s">
        <v>408</v>
      </c>
      <c r="B108" s="634">
        <v>25</v>
      </c>
      <c r="C108" s="634">
        <v>28</v>
      </c>
      <c r="D108" s="634">
        <v>35</v>
      </c>
      <c r="E108" s="634">
        <v>20</v>
      </c>
      <c r="F108" s="634">
        <v>45</v>
      </c>
      <c r="G108" s="634">
        <v>60</v>
      </c>
      <c r="H108" s="634">
        <v>38</v>
      </c>
      <c r="I108" s="634">
        <v>47</v>
      </c>
      <c r="J108" s="635">
        <v>43</v>
      </c>
      <c r="K108" s="635">
        <v>79</v>
      </c>
      <c r="L108" s="635">
        <v>56</v>
      </c>
      <c r="M108" s="635">
        <v>38</v>
      </c>
      <c r="N108" s="634">
        <f t="shared" si="16"/>
        <v>514</v>
      </c>
      <c r="O108" s="636">
        <f t="shared" si="17"/>
        <v>10.814222596254996</v>
      </c>
      <c r="P108" s="740"/>
      <c r="Q108" s="664"/>
      <c r="T108" s="915"/>
    </row>
    <row r="109" spans="1:54" s="663" customFormat="1">
      <c r="A109" s="742" t="s">
        <v>410</v>
      </c>
      <c r="B109" s="634">
        <v>29</v>
      </c>
      <c r="C109" s="634">
        <v>37</v>
      </c>
      <c r="D109" s="634">
        <v>29</v>
      </c>
      <c r="E109" s="634">
        <v>28</v>
      </c>
      <c r="F109" s="634">
        <v>43</v>
      </c>
      <c r="G109" s="634">
        <v>32</v>
      </c>
      <c r="H109" s="634">
        <v>45</v>
      </c>
      <c r="I109" s="634">
        <v>42</v>
      </c>
      <c r="J109" s="635">
        <v>37</v>
      </c>
      <c r="K109" s="635">
        <v>66</v>
      </c>
      <c r="L109" s="635">
        <v>40</v>
      </c>
      <c r="M109" s="635">
        <v>46</v>
      </c>
      <c r="N109" s="634">
        <f t="shared" si="16"/>
        <v>474</v>
      </c>
      <c r="O109" s="636">
        <f t="shared" si="17"/>
        <v>9.9726488533557749</v>
      </c>
      <c r="P109" s="740"/>
      <c r="Q109" s="664"/>
      <c r="T109" s="915"/>
    </row>
    <row r="110" spans="1:54" s="663" customFormat="1">
      <c r="A110" s="742" t="s">
        <v>411</v>
      </c>
      <c r="B110" s="634">
        <v>22</v>
      </c>
      <c r="C110" s="634">
        <v>37</v>
      </c>
      <c r="D110" s="634">
        <v>21</v>
      </c>
      <c r="E110" s="634">
        <v>23</v>
      </c>
      <c r="F110" s="634">
        <v>39</v>
      </c>
      <c r="G110" s="634">
        <v>33</v>
      </c>
      <c r="H110" s="634">
        <v>31</v>
      </c>
      <c r="I110" s="634">
        <v>34</v>
      </c>
      <c r="J110" s="635">
        <v>37</v>
      </c>
      <c r="K110" s="635">
        <v>32</v>
      </c>
      <c r="L110" s="635">
        <v>24</v>
      </c>
      <c r="M110" s="635">
        <v>30</v>
      </c>
      <c r="N110" s="634">
        <f t="shared" si="16"/>
        <v>363</v>
      </c>
      <c r="O110" s="636">
        <f t="shared" si="17"/>
        <v>7.6372817168104357</v>
      </c>
      <c r="P110" s="740"/>
      <c r="Q110" s="664"/>
      <c r="T110" s="915"/>
    </row>
    <row r="111" spans="1:54" s="663" customFormat="1">
      <c r="A111" s="742" t="s">
        <v>412</v>
      </c>
      <c r="B111" s="634">
        <v>10</v>
      </c>
      <c r="C111" s="634">
        <v>21</v>
      </c>
      <c r="D111" s="634">
        <v>11</v>
      </c>
      <c r="E111" s="634">
        <v>17</v>
      </c>
      <c r="F111" s="634">
        <v>18</v>
      </c>
      <c r="G111" s="634">
        <v>19</v>
      </c>
      <c r="H111" s="634">
        <v>18</v>
      </c>
      <c r="I111" s="634">
        <v>32</v>
      </c>
      <c r="J111" s="635">
        <v>26</v>
      </c>
      <c r="K111" s="635">
        <v>22</v>
      </c>
      <c r="L111" s="635">
        <v>17</v>
      </c>
      <c r="M111" s="635">
        <v>20</v>
      </c>
      <c r="N111" s="634">
        <f t="shared" si="16"/>
        <v>231</v>
      </c>
      <c r="O111" s="636">
        <f t="shared" si="17"/>
        <v>4.8600883652430049</v>
      </c>
      <c r="P111" s="740"/>
      <c r="Q111" s="664"/>
      <c r="T111" s="915"/>
    </row>
    <row r="112" spans="1:54" s="663" customFormat="1">
      <c r="A112" s="742" t="s">
        <v>462</v>
      </c>
      <c r="B112" s="634">
        <v>12</v>
      </c>
      <c r="C112" s="634">
        <v>21</v>
      </c>
      <c r="D112" s="634">
        <v>26</v>
      </c>
      <c r="E112" s="634">
        <v>30</v>
      </c>
      <c r="F112" s="634">
        <v>18</v>
      </c>
      <c r="G112" s="634">
        <v>9</v>
      </c>
      <c r="H112" s="634">
        <v>24</v>
      </c>
      <c r="I112" s="634">
        <v>10</v>
      </c>
      <c r="J112" s="635">
        <v>20</v>
      </c>
      <c r="K112" s="635">
        <v>23</v>
      </c>
      <c r="L112" s="635">
        <v>14</v>
      </c>
      <c r="M112" s="635">
        <v>20</v>
      </c>
      <c r="N112" s="634">
        <f t="shared" si="16"/>
        <v>227</v>
      </c>
      <c r="O112" s="636">
        <f t="shared" si="17"/>
        <v>4.7759309909530829</v>
      </c>
      <c r="P112" s="740"/>
      <c r="Q112" s="664"/>
      <c r="T112" s="915"/>
    </row>
    <row r="113" spans="1:20" s="663" customFormat="1">
      <c r="A113" s="742" t="s">
        <v>438</v>
      </c>
      <c r="B113" s="634">
        <v>10</v>
      </c>
      <c r="C113" s="634">
        <v>26</v>
      </c>
      <c r="D113" s="634">
        <v>19</v>
      </c>
      <c r="E113" s="634">
        <v>12</v>
      </c>
      <c r="F113" s="634">
        <v>25</v>
      </c>
      <c r="G113" s="634">
        <v>38</v>
      </c>
      <c r="H113" s="634">
        <v>18</v>
      </c>
      <c r="I113" s="634">
        <v>20</v>
      </c>
      <c r="J113" s="635">
        <v>14</v>
      </c>
      <c r="K113" s="635">
        <v>14</v>
      </c>
      <c r="L113" s="635">
        <v>15</v>
      </c>
      <c r="M113" s="635">
        <v>15</v>
      </c>
      <c r="N113" s="634">
        <f t="shared" si="16"/>
        <v>226</v>
      </c>
      <c r="O113" s="636">
        <f t="shared" si="17"/>
        <v>4.7548916473806022</v>
      </c>
      <c r="P113" s="740"/>
      <c r="Q113" s="664"/>
      <c r="T113" s="915"/>
    </row>
    <row r="114" spans="1:20" s="663" customFormat="1">
      <c r="A114" s="742" t="s">
        <v>413</v>
      </c>
      <c r="B114" s="634">
        <v>16</v>
      </c>
      <c r="C114" s="634">
        <v>15</v>
      </c>
      <c r="D114" s="634">
        <v>23</v>
      </c>
      <c r="E114" s="634">
        <v>22</v>
      </c>
      <c r="F114" s="634">
        <v>15</v>
      </c>
      <c r="G114" s="634">
        <v>14</v>
      </c>
      <c r="H114" s="634">
        <v>20</v>
      </c>
      <c r="I114" s="634">
        <v>19</v>
      </c>
      <c r="J114" s="635">
        <v>21</v>
      </c>
      <c r="K114" s="635">
        <v>23</v>
      </c>
      <c r="L114" s="635">
        <v>17</v>
      </c>
      <c r="M114" s="635">
        <v>12</v>
      </c>
      <c r="N114" s="634">
        <f t="shared" si="16"/>
        <v>217</v>
      </c>
      <c r="O114" s="636">
        <f t="shared" si="17"/>
        <v>4.5655375552282766</v>
      </c>
      <c r="P114" s="740"/>
      <c r="Q114" s="666"/>
      <c r="T114" s="915"/>
    </row>
    <row r="115" spans="1:20" s="663" customFormat="1">
      <c r="A115" s="629"/>
      <c r="B115" s="637"/>
      <c r="C115" s="638"/>
      <c r="D115" s="639"/>
      <c r="E115" s="637"/>
      <c r="F115" s="640"/>
      <c r="G115" s="640"/>
      <c r="H115" s="640"/>
      <c r="I115" s="641"/>
      <c r="J115" s="640"/>
      <c r="K115" s="640"/>
      <c r="L115" s="642"/>
      <c r="M115" s="642"/>
      <c r="N115" s="640">
        <f>SUM(N105:N114)</f>
        <v>4753</v>
      </c>
      <c r="O115" s="633"/>
      <c r="P115" s="740"/>
      <c r="Q115" s="666"/>
    </row>
    <row r="116" spans="1:20" s="663" customFormat="1">
      <c r="A116" s="642"/>
      <c r="B116" s="637"/>
      <c r="C116" s="638"/>
      <c r="D116" s="639"/>
      <c r="E116" s="637"/>
      <c r="F116" s="640"/>
      <c r="G116" s="640"/>
      <c r="H116" s="640"/>
      <c r="I116" s="641"/>
      <c r="J116" s="640"/>
      <c r="K116" s="640"/>
      <c r="L116" s="642"/>
      <c r="M116" s="642"/>
      <c r="N116" s="640"/>
      <c r="O116" s="633"/>
      <c r="P116" s="740"/>
      <c r="Q116" s="666"/>
    </row>
    <row r="117" spans="1:20" s="663" customFormat="1">
      <c r="A117" s="742"/>
      <c r="B117" s="634"/>
      <c r="C117" s="634"/>
      <c r="D117" s="743"/>
      <c r="E117" s="634"/>
      <c r="F117" s="634"/>
      <c r="G117" s="634"/>
      <c r="H117" s="634"/>
      <c r="I117" s="634"/>
      <c r="J117" s="635"/>
      <c r="K117" s="635"/>
      <c r="L117" s="635"/>
      <c r="M117" s="635"/>
      <c r="N117" s="634"/>
      <c r="O117" s="633"/>
      <c r="P117" s="740"/>
      <c r="Q117" s="666"/>
    </row>
    <row r="118" spans="1:20" s="663" customFormat="1">
      <c r="A118" s="742"/>
      <c r="B118" s="634"/>
      <c r="C118" s="634"/>
      <c r="D118" s="743"/>
      <c r="E118" s="634"/>
      <c r="F118" s="634"/>
      <c r="G118" s="634"/>
      <c r="H118" s="634"/>
      <c r="I118" s="634"/>
      <c r="J118" s="635"/>
      <c r="K118" s="635"/>
      <c r="L118" s="635"/>
      <c r="M118" s="635"/>
      <c r="N118" s="634"/>
      <c r="O118" s="639"/>
      <c r="P118" s="741"/>
      <c r="Q118" s="666"/>
    </row>
    <row r="119" spans="1:20" s="663" customFormat="1">
      <c r="A119" s="742" t="s">
        <v>406</v>
      </c>
      <c r="B119" s="634">
        <v>72</v>
      </c>
      <c r="C119" s="634">
        <v>111</v>
      </c>
      <c r="D119" s="634">
        <v>144</v>
      </c>
      <c r="E119" s="634">
        <v>109</v>
      </c>
      <c r="F119" s="634">
        <v>91</v>
      </c>
      <c r="G119" s="634">
        <v>124</v>
      </c>
      <c r="H119" s="634">
        <v>86</v>
      </c>
      <c r="I119" s="634">
        <v>105</v>
      </c>
      <c r="J119" s="635">
        <v>121</v>
      </c>
      <c r="K119" s="635">
        <v>89</v>
      </c>
      <c r="L119" s="635">
        <v>65</v>
      </c>
      <c r="M119" s="635">
        <v>154</v>
      </c>
      <c r="N119" s="634">
        <f t="shared" ref="N119:N150" si="18">SUM(B119:M119)</f>
        <v>1271</v>
      </c>
      <c r="O119" s="628"/>
      <c r="P119" s="666"/>
      <c r="Q119" s="666"/>
    </row>
    <row r="120" spans="1:20" s="663" customFormat="1">
      <c r="A120" s="742" t="s">
        <v>407</v>
      </c>
      <c r="B120" s="634">
        <v>35</v>
      </c>
      <c r="C120" s="634">
        <v>61</v>
      </c>
      <c r="D120" s="634">
        <v>58</v>
      </c>
      <c r="E120" s="634">
        <v>52</v>
      </c>
      <c r="F120" s="634">
        <v>66</v>
      </c>
      <c r="G120" s="634">
        <v>54</v>
      </c>
      <c r="H120" s="634">
        <v>54</v>
      </c>
      <c r="I120" s="634">
        <v>71</v>
      </c>
      <c r="J120" s="635">
        <v>74</v>
      </c>
      <c r="K120" s="635">
        <v>53</v>
      </c>
      <c r="L120" s="635">
        <v>45</v>
      </c>
      <c r="M120" s="635">
        <v>55</v>
      </c>
      <c r="N120" s="634">
        <f t="shared" si="18"/>
        <v>678</v>
      </c>
      <c r="O120" s="628"/>
      <c r="P120" s="666"/>
      <c r="Q120" s="666"/>
    </row>
    <row r="121" spans="1:20" s="663" customFormat="1">
      <c r="A121" s="742" t="s">
        <v>409</v>
      </c>
      <c r="B121" s="634">
        <v>35</v>
      </c>
      <c r="C121" s="634">
        <v>37</v>
      </c>
      <c r="D121" s="634">
        <v>49</v>
      </c>
      <c r="E121" s="634">
        <v>42</v>
      </c>
      <c r="F121" s="634">
        <v>38</v>
      </c>
      <c r="G121" s="634">
        <v>54</v>
      </c>
      <c r="H121" s="634">
        <v>54</v>
      </c>
      <c r="I121" s="634">
        <v>55</v>
      </c>
      <c r="J121" s="635">
        <v>50</v>
      </c>
      <c r="K121" s="635">
        <v>34</v>
      </c>
      <c r="L121" s="635">
        <v>52</v>
      </c>
      <c r="M121" s="635">
        <v>52</v>
      </c>
      <c r="N121" s="634">
        <f t="shared" si="18"/>
        <v>552</v>
      </c>
      <c r="O121" s="628"/>
      <c r="P121" s="666"/>
      <c r="Q121" s="666"/>
    </row>
    <row r="122" spans="1:20" s="663" customFormat="1">
      <c r="A122" s="742" t="s">
        <v>408</v>
      </c>
      <c r="B122" s="634">
        <v>25</v>
      </c>
      <c r="C122" s="634">
        <v>28</v>
      </c>
      <c r="D122" s="634">
        <v>35</v>
      </c>
      <c r="E122" s="634">
        <v>20</v>
      </c>
      <c r="F122" s="634">
        <v>45</v>
      </c>
      <c r="G122" s="634">
        <v>60</v>
      </c>
      <c r="H122" s="634">
        <v>38</v>
      </c>
      <c r="I122" s="634">
        <v>47</v>
      </c>
      <c r="J122" s="635">
        <v>43</v>
      </c>
      <c r="K122" s="635">
        <v>79</v>
      </c>
      <c r="L122" s="635">
        <v>56</v>
      </c>
      <c r="M122" s="635">
        <v>38</v>
      </c>
      <c r="N122" s="634">
        <f t="shared" si="18"/>
        <v>514</v>
      </c>
      <c r="O122" s="628"/>
      <c r="P122" s="666"/>
      <c r="Q122" s="666"/>
    </row>
    <row r="123" spans="1:20" s="663" customFormat="1">
      <c r="A123" s="742" t="s">
        <v>410</v>
      </c>
      <c r="B123" s="634">
        <v>29</v>
      </c>
      <c r="C123" s="634">
        <v>37</v>
      </c>
      <c r="D123" s="634">
        <v>29</v>
      </c>
      <c r="E123" s="634">
        <v>28</v>
      </c>
      <c r="F123" s="634">
        <v>43</v>
      </c>
      <c r="G123" s="634">
        <v>32</v>
      </c>
      <c r="H123" s="634">
        <v>45</v>
      </c>
      <c r="I123" s="634">
        <v>42</v>
      </c>
      <c r="J123" s="635">
        <v>37</v>
      </c>
      <c r="K123" s="635">
        <v>66</v>
      </c>
      <c r="L123" s="635">
        <v>40</v>
      </c>
      <c r="M123" s="635">
        <v>46</v>
      </c>
      <c r="N123" s="634">
        <f t="shared" si="18"/>
        <v>474</v>
      </c>
      <c r="O123" s="628"/>
      <c r="P123" s="666"/>
      <c r="Q123" s="666"/>
    </row>
    <row r="124" spans="1:20" s="663" customFormat="1">
      <c r="A124" s="742" t="s">
        <v>411</v>
      </c>
      <c r="B124" s="634">
        <v>22</v>
      </c>
      <c r="C124" s="634">
        <v>37</v>
      </c>
      <c r="D124" s="634">
        <v>21</v>
      </c>
      <c r="E124" s="634">
        <v>23</v>
      </c>
      <c r="F124" s="634">
        <v>39</v>
      </c>
      <c r="G124" s="634">
        <v>33</v>
      </c>
      <c r="H124" s="634">
        <v>31</v>
      </c>
      <c r="I124" s="634">
        <v>34</v>
      </c>
      <c r="J124" s="635">
        <v>37</v>
      </c>
      <c r="K124" s="635">
        <v>32</v>
      </c>
      <c r="L124" s="635">
        <v>24</v>
      </c>
      <c r="M124" s="635">
        <v>30</v>
      </c>
      <c r="N124" s="634">
        <f t="shared" si="18"/>
        <v>363</v>
      </c>
      <c r="O124" s="628"/>
      <c r="P124" s="666"/>
      <c r="Q124" s="666"/>
    </row>
    <row r="125" spans="1:20" s="663" customFormat="1">
      <c r="A125" s="742" t="s">
        <v>412</v>
      </c>
      <c r="B125" s="634">
        <v>10</v>
      </c>
      <c r="C125" s="634">
        <v>21</v>
      </c>
      <c r="D125" s="634">
        <v>11</v>
      </c>
      <c r="E125" s="634">
        <v>17</v>
      </c>
      <c r="F125" s="634">
        <v>18</v>
      </c>
      <c r="G125" s="634">
        <v>19</v>
      </c>
      <c r="H125" s="634">
        <v>18</v>
      </c>
      <c r="I125" s="634">
        <v>32</v>
      </c>
      <c r="J125" s="635">
        <v>26</v>
      </c>
      <c r="K125" s="635">
        <v>22</v>
      </c>
      <c r="L125" s="635">
        <v>17</v>
      </c>
      <c r="M125" s="635">
        <v>20</v>
      </c>
      <c r="N125" s="634">
        <f t="shared" si="18"/>
        <v>231</v>
      </c>
      <c r="O125" s="628"/>
      <c r="P125" s="666"/>
      <c r="Q125" s="666"/>
    </row>
    <row r="126" spans="1:20" s="663" customFormat="1">
      <c r="A126" s="742" t="s">
        <v>462</v>
      </c>
      <c r="B126" s="634">
        <v>12</v>
      </c>
      <c r="C126" s="634">
        <v>21</v>
      </c>
      <c r="D126" s="634">
        <v>26</v>
      </c>
      <c r="E126" s="634">
        <v>30</v>
      </c>
      <c r="F126" s="634">
        <v>18</v>
      </c>
      <c r="G126" s="634">
        <v>9</v>
      </c>
      <c r="H126" s="634">
        <v>24</v>
      </c>
      <c r="I126" s="634">
        <v>10</v>
      </c>
      <c r="J126" s="635">
        <v>20</v>
      </c>
      <c r="K126" s="635">
        <v>23</v>
      </c>
      <c r="L126" s="635">
        <v>14</v>
      </c>
      <c r="M126" s="635">
        <v>20</v>
      </c>
      <c r="N126" s="634">
        <f t="shared" si="18"/>
        <v>227</v>
      </c>
      <c r="O126" s="628"/>
      <c r="P126" s="666"/>
      <c r="Q126" s="666"/>
    </row>
    <row r="127" spans="1:20" s="663" customFormat="1">
      <c r="A127" s="742" t="s">
        <v>438</v>
      </c>
      <c r="B127" s="634">
        <v>10</v>
      </c>
      <c r="C127" s="634">
        <v>26</v>
      </c>
      <c r="D127" s="634">
        <v>19</v>
      </c>
      <c r="E127" s="634">
        <v>12</v>
      </c>
      <c r="F127" s="634">
        <v>25</v>
      </c>
      <c r="G127" s="634">
        <v>38</v>
      </c>
      <c r="H127" s="634">
        <v>18</v>
      </c>
      <c r="I127" s="634">
        <v>20</v>
      </c>
      <c r="J127" s="635">
        <v>14</v>
      </c>
      <c r="K127" s="635">
        <v>14</v>
      </c>
      <c r="L127" s="635">
        <v>15</v>
      </c>
      <c r="M127" s="635">
        <v>15</v>
      </c>
      <c r="N127" s="634">
        <f t="shared" si="18"/>
        <v>226</v>
      </c>
      <c r="O127" s="628"/>
      <c r="P127" s="666"/>
      <c r="Q127" s="666"/>
    </row>
    <row r="128" spans="1:20" s="663" customFormat="1">
      <c r="A128" s="742" t="s">
        <v>413</v>
      </c>
      <c r="B128" s="634">
        <v>16</v>
      </c>
      <c r="C128" s="634">
        <v>15</v>
      </c>
      <c r="D128" s="634">
        <v>23</v>
      </c>
      <c r="E128" s="634">
        <v>22</v>
      </c>
      <c r="F128" s="634">
        <v>15</v>
      </c>
      <c r="G128" s="634">
        <v>14</v>
      </c>
      <c r="H128" s="634">
        <v>20</v>
      </c>
      <c r="I128" s="634">
        <v>19</v>
      </c>
      <c r="J128" s="635">
        <v>21</v>
      </c>
      <c r="K128" s="635">
        <v>23</v>
      </c>
      <c r="L128" s="635">
        <v>17</v>
      </c>
      <c r="M128" s="635">
        <v>12</v>
      </c>
      <c r="N128" s="634">
        <f t="shared" si="18"/>
        <v>217</v>
      </c>
      <c r="O128" s="628"/>
      <c r="P128" s="666"/>
      <c r="Q128" s="666"/>
    </row>
    <row r="129" spans="1:17" s="663" customFormat="1" ht="33.75">
      <c r="A129" s="916" t="s">
        <v>376</v>
      </c>
      <c r="B129" s="634">
        <v>12</v>
      </c>
      <c r="C129" s="634">
        <v>9</v>
      </c>
      <c r="D129" s="634">
        <v>18</v>
      </c>
      <c r="E129" s="634">
        <v>15</v>
      </c>
      <c r="F129" s="634">
        <v>20</v>
      </c>
      <c r="G129" s="634">
        <v>13</v>
      </c>
      <c r="H129" s="634">
        <v>12</v>
      </c>
      <c r="I129" s="634">
        <v>19</v>
      </c>
      <c r="J129" s="635">
        <v>45</v>
      </c>
      <c r="K129" s="635">
        <v>14</v>
      </c>
      <c r="L129" s="635">
        <v>10</v>
      </c>
      <c r="M129" s="635">
        <v>9</v>
      </c>
      <c r="N129" s="634">
        <f t="shared" si="18"/>
        <v>196</v>
      </c>
      <c r="O129" s="628"/>
      <c r="P129" s="666"/>
      <c r="Q129" s="666"/>
    </row>
    <row r="130" spans="1:17" s="663" customFormat="1" ht="23.25">
      <c r="A130" s="742" t="s">
        <v>365</v>
      </c>
      <c r="B130" s="634">
        <v>8</v>
      </c>
      <c r="C130" s="634">
        <v>21</v>
      </c>
      <c r="D130" s="634">
        <v>10</v>
      </c>
      <c r="E130" s="634">
        <v>19</v>
      </c>
      <c r="F130" s="634">
        <v>24</v>
      </c>
      <c r="G130" s="634">
        <v>12</v>
      </c>
      <c r="H130" s="634">
        <v>9</v>
      </c>
      <c r="I130" s="634">
        <v>8</v>
      </c>
      <c r="J130" s="635">
        <v>22</v>
      </c>
      <c r="K130" s="635">
        <v>17</v>
      </c>
      <c r="L130" s="635">
        <v>8</v>
      </c>
      <c r="M130" s="635">
        <v>14</v>
      </c>
      <c r="N130" s="634">
        <f t="shared" si="18"/>
        <v>172</v>
      </c>
      <c r="O130" s="628"/>
      <c r="P130" s="666"/>
      <c r="Q130" s="666"/>
    </row>
    <row r="131" spans="1:17" s="663" customFormat="1" ht="22.5">
      <c r="A131" s="635" t="s">
        <v>405</v>
      </c>
      <c r="B131" s="634">
        <v>5</v>
      </c>
      <c r="C131" s="634">
        <v>12</v>
      </c>
      <c r="D131" s="634">
        <v>15</v>
      </c>
      <c r="E131" s="634">
        <v>12</v>
      </c>
      <c r="F131" s="634">
        <v>7</v>
      </c>
      <c r="G131" s="634">
        <v>18</v>
      </c>
      <c r="H131" s="634">
        <v>22</v>
      </c>
      <c r="I131" s="634">
        <v>17</v>
      </c>
      <c r="J131" s="635">
        <v>14</v>
      </c>
      <c r="K131" s="635">
        <v>26</v>
      </c>
      <c r="L131" s="635">
        <v>11</v>
      </c>
      <c r="M131" s="635">
        <v>9</v>
      </c>
      <c r="N131" s="634">
        <f t="shared" si="18"/>
        <v>168</v>
      </c>
      <c r="O131" s="628"/>
      <c r="P131" s="666"/>
      <c r="Q131" s="666"/>
    </row>
    <row r="132" spans="1:17" s="663" customFormat="1" ht="23.25">
      <c r="A132" s="742" t="s">
        <v>348</v>
      </c>
      <c r="B132" s="634">
        <v>19</v>
      </c>
      <c r="C132" s="634">
        <v>11</v>
      </c>
      <c r="D132" s="634">
        <v>12</v>
      </c>
      <c r="E132" s="634">
        <v>8</v>
      </c>
      <c r="F132" s="634">
        <v>10</v>
      </c>
      <c r="G132" s="634">
        <v>14</v>
      </c>
      <c r="H132" s="634">
        <v>20</v>
      </c>
      <c r="I132" s="634">
        <v>14</v>
      </c>
      <c r="J132" s="635">
        <v>12</v>
      </c>
      <c r="K132" s="635">
        <v>18</v>
      </c>
      <c r="L132" s="635">
        <v>13</v>
      </c>
      <c r="M132" s="635">
        <v>12</v>
      </c>
      <c r="N132" s="634">
        <f t="shared" si="18"/>
        <v>163</v>
      </c>
      <c r="O132" s="628"/>
      <c r="P132" s="666"/>
      <c r="Q132" s="666"/>
    </row>
    <row r="133" spans="1:17" s="663" customFormat="1" ht="23.25">
      <c r="A133" s="742" t="s">
        <v>374</v>
      </c>
      <c r="B133" s="634">
        <v>17</v>
      </c>
      <c r="C133" s="634">
        <v>7</v>
      </c>
      <c r="D133" s="634">
        <v>13</v>
      </c>
      <c r="E133" s="634">
        <v>13</v>
      </c>
      <c r="F133" s="634">
        <v>9</v>
      </c>
      <c r="G133" s="634">
        <v>4</v>
      </c>
      <c r="H133" s="634">
        <v>11</v>
      </c>
      <c r="I133" s="634">
        <v>16</v>
      </c>
      <c r="J133" s="635">
        <v>17</v>
      </c>
      <c r="K133" s="635">
        <v>17</v>
      </c>
      <c r="L133" s="635">
        <v>9</v>
      </c>
      <c r="M133" s="635">
        <v>8</v>
      </c>
      <c r="N133" s="634">
        <f t="shared" si="18"/>
        <v>141</v>
      </c>
      <c r="O133" s="628"/>
      <c r="P133" s="666"/>
      <c r="Q133" s="666"/>
    </row>
    <row r="134" spans="1:17" s="663" customFormat="1" ht="23.25">
      <c r="A134" s="742" t="s">
        <v>388</v>
      </c>
      <c r="B134" s="634">
        <v>11</v>
      </c>
      <c r="C134" s="634">
        <v>10</v>
      </c>
      <c r="D134" s="634">
        <v>12</v>
      </c>
      <c r="E134" s="634">
        <v>10</v>
      </c>
      <c r="F134" s="634">
        <v>7</v>
      </c>
      <c r="G134" s="634">
        <v>19</v>
      </c>
      <c r="H134" s="634">
        <v>8</v>
      </c>
      <c r="I134" s="634">
        <v>7</v>
      </c>
      <c r="J134" s="635">
        <v>17</v>
      </c>
      <c r="K134" s="635">
        <v>15</v>
      </c>
      <c r="L134" s="635">
        <v>7</v>
      </c>
      <c r="M134" s="635">
        <v>7</v>
      </c>
      <c r="N134" s="634">
        <f t="shared" si="18"/>
        <v>130</v>
      </c>
      <c r="O134" s="628"/>
      <c r="P134" s="666"/>
      <c r="Q134" s="666"/>
    </row>
    <row r="135" spans="1:17" s="663" customFormat="1" ht="34.5">
      <c r="A135" s="917" t="s">
        <v>396</v>
      </c>
      <c r="B135" s="634">
        <v>5</v>
      </c>
      <c r="C135" s="634">
        <v>6</v>
      </c>
      <c r="D135" s="634">
        <v>8</v>
      </c>
      <c r="E135" s="634">
        <v>17</v>
      </c>
      <c r="F135" s="634">
        <v>9</v>
      </c>
      <c r="G135" s="634">
        <v>14</v>
      </c>
      <c r="H135" s="634">
        <v>20</v>
      </c>
      <c r="I135" s="634">
        <v>16</v>
      </c>
      <c r="J135" s="635">
        <v>12</v>
      </c>
      <c r="K135" s="635">
        <v>9</v>
      </c>
      <c r="L135" s="635">
        <v>9</v>
      </c>
      <c r="M135" s="635">
        <v>3</v>
      </c>
      <c r="N135" s="634">
        <f t="shared" si="18"/>
        <v>128</v>
      </c>
      <c r="O135" s="628"/>
      <c r="P135" s="666"/>
      <c r="Q135" s="666"/>
    </row>
    <row r="136" spans="1:17" s="663" customFormat="1" ht="23.25">
      <c r="A136" s="742" t="s">
        <v>357</v>
      </c>
      <c r="B136" s="634">
        <v>9</v>
      </c>
      <c r="C136" s="634">
        <v>11</v>
      </c>
      <c r="D136" s="634">
        <v>6</v>
      </c>
      <c r="E136" s="634">
        <v>25</v>
      </c>
      <c r="F136" s="634">
        <v>11</v>
      </c>
      <c r="G136" s="634">
        <v>10</v>
      </c>
      <c r="H136" s="634">
        <v>6</v>
      </c>
      <c r="I136" s="634">
        <v>12</v>
      </c>
      <c r="J136" s="635">
        <v>8</v>
      </c>
      <c r="K136" s="635">
        <v>9</v>
      </c>
      <c r="L136" s="635">
        <v>12</v>
      </c>
      <c r="M136" s="635">
        <v>7</v>
      </c>
      <c r="N136" s="634">
        <f t="shared" si="18"/>
        <v>126</v>
      </c>
      <c r="O136" s="628"/>
      <c r="P136" s="666"/>
      <c r="Q136" s="666"/>
    </row>
    <row r="137" spans="1:17" s="663" customFormat="1" ht="23.25">
      <c r="A137" s="742" t="s">
        <v>372</v>
      </c>
      <c r="B137" s="634">
        <v>6</v>
      </c>
      <c r="C137" s="634">
        <v>9</v>
      </c>
      <c r="D137" s="634">
        <v>20</v>
      </c>
      <c r="E137" s="634">
        <v>10</v>
      </c>
      <c r="F137" s="634">
        <v>9</v>
      </c>
      <c r="G137" s="634">
        <v>7</v>
      </c>
      <c r="H137" s="634">
        <v>10</v>
      </c>
      <c r="I137" s="634">
        <v>15</v>
      </c>
      <c r="J137" s="635">
        <v>18</v>
      </c>
      <c r="K137" s="635">
        <v>4</v>
      </c>
      <c r="L137" s="635">
        <v>3</v>
      </c>
      <c r="M137" s="635">
        <v>9</v>
      </c>
      <c r="N137" s="634">
        <f t="shared" si="18"/>
        <v>120</v>
      </c>
      <c r="O137" s="628"/>
      <c r="P137" s="666"/>
      <c r="Q137" s="666"/>
    </row>
    <row r="138" spans="1:17" s="663" customFormat="1">
      <c r="A138" s="742" t="s">
        <v>394</v>
      </c>
      <c r="B138" s="634">
        <v>5</v>
      </c>
      <c r="C138" s="634">
        <v>7</v>
      </c>
      <c r="D138" s="634">
        <v>10</v>
      </c>
      <c r="E138" s="634">
        <v>2</v>
      </c>
      <c r="F138" s="634">
        <v>5</v>
      </c>
      <c r="G138" s="634">
        <v>10</v>
      </c>
      <c r="H138" s="634">
        <v>12</v>
      </c>
      <c r="I138" s="634">
        <v>10</v>
      </c>
      <c r="J138" s="635">
        <v>14</v>
      </c>
      <c r="K138" s="635">
        <v>10</v>
      </c>
      <c r="L138" s="635">
        <v>5</v>
      </c>
      <c r="M138" s="635">
        <v>6</v>
      </c>
      <c r="N138" s="634">
        <f t="shared" si="18"/>
        <v>96</v>
      </c>
      <c r="O138" s="628"/>
      <c r="P138" s="666"/>
      <c r="Q138" s="666"/>
    </row>
    <row r="139" spans="1:17" s="663" customFormat="1" ht="23.25">
      <c r="A139" s="742" t="s">
        <v>346</v>
      </c>
      <c r="B139" s="634">
        <v>3</v>
      </c>
      <c r="C139" s="634">
        <v>9</v>
      </c>
      <c r="D139" s="634">
        <v>10</v>
      </c>
      <c r="E139" s="634">
        <v>4</v>
      </c>
      <c r="F139" s="634">
        <v>6</v>
      </c>
      <c r="G139" s="634">
        <v>2</v>
      </c>
      <c r="H139" s="634">
        <v>4</v>
      </c>
      <c r="I139" s="634">
        <v>13</v>
      </c>
      <c r="J139" s="635">
        <v>11</v>
      </c>
      <c r="K139" s="635">
        <v>7</v>
      </c>
      <c r="L139" s="635">
        <v>5</v>
      </c>
      <c r="M139" s="635">
        <v>10</v>
      </c>
      <c r="N139" s="634">
        <f t="shared" si="18"/>
        <v>84</v>
      </c>
      <c r="O139" s="628"/>
      <c r="P139" s="666"/>
      <c r="Q139" s="666"/>
    </row>
    <row r="140" spans="1:17" s="663" customFormat="1" ht="34.5">
      <c r="A140" s="742" t="s">
        <v>380</v>
      </c>
      <c r="B140" s="634">
        <v>8</v>
      </c>
      <c r="C140" s="634">
        <v>9</v>
      </c>
      <c r="D140" s="634">
        <v>16</v>
      </c>
      <c r="E140" s="634">
        <v>6</v>
      </c>
      <c r="F140" s="634">
        <v>3</v>
      </c>
      <c r="G140" s="634">
        <v>2</v>
      </c>
      <c r="H140" s="634">
        <v>2</v>
      </c>
      <c r="I140" s="634">
        <v>7</v>
      </c>
      <c r="J140" s="635">
        <v>12</v>
      </c>
      <c r="K140" s="635">
        <v>6</v>
      </c>
      <c r="L140" s="635">
        <v>5</v>
      </c>
      <c r="M140" s="635">
        <v>2</v>
      </c>
      <c r="N140" s="634">
        <f t="shared" si="18"/>
        <v>78</v>
      </c>
      <c r="O140" s="628"/>
      <c r="P140" s="666"/>
      <c r="Q140" s="666"/>
    </row>
    <row r="141" spans="1:17" s="663" customFormat="1">
      <c r="A141" s="742" t="s">
        <v>277</v>
      </c>
      <c r="B141" s="634">
        <v>1</v>
      </c>
      <c r="C141" s="634">
        <v>10</v>
      </c>
      <c r="D141" s="634">
        <v>9</v>
      </c>
      <c r="E141" s="634">
        <v>5</v>
      </c>
      <c r="F141" s="634">
        <v>6</v>
      </c>
      <c r="G141" s="634">
        <v>6</v>
      </c>
      <c r="H141" s="634">
        <v>3</v>
      </c>
      <c r="I141" s="634">
        <v>11</v>
      </c>
      <c r="J141" s="635">
        <v>7</v>
      </c>
      <c r="K141" s="635">
        <v>5</v>
      </c>
      <c r="L141" s="635">
        <v>2</v>
      </c>
      <c r="M141" s="635">
        <v>8</v>
      </c>
      <c r="N141" s="634">
        <f t="shared" si="18"/>
        <v>73</v>
      </c>
      <c r="O141" s="628"/>
      <c r="P141" s="666"/>
      <c r="Q141" s="666"/>
    </row>
    <row r="142" spans="1:17" s="663" customFormat="1" ht="23.25">
      <c r="A142" s="742" t="s">
        <v>383</v>
      </c>
      <c r="B142" s="634">
        <v>2</v>
      </c>
      <c r="C142" s="634">
        <v>10</v>
      </c>
      <c r="D142" s="634">
        <v>6</v>
      </c>
      <c r="E142" s="634">
        <v>8</v>
      </c>
      <c r="F142" s="634">
        <v>5</v>
      </c>
      <c r="G142" s="634">
        <v>5</v>
      </c>
      <c r="H142" s="634">
        <v>3</v>
      </c>
      <c r="I142" s="634">
        <v>9</v>
      </c>
      <c r="J142" s="635">
        <v>5</v>
      </c>
      <c r="K142" s="635">
        <v>7</v>
      </c>
      <c r="L142" s="635">
        <v>5</v>
      </c>
      <c r="M142" s="635">
        <v>7</v>
      </c>
      <c r="N142" s="634">
        <f t="shared" si="18"/>
        <v>72</v>
      </c>
      <c r="O142" s="628"/>
      <c r="P142" s="666"/>
      <c r="Q142" s="666"/>
    </row>
    <row r="143" spans="1:17" s="663" customFormat="1">
      <c r="A143" s="742" t="s">
        <v>250</v>
      </c>
      <c r="B143" s="634">
        <v>2</v>
      </c>
      <c r="C143" s="634">
        <v>2</v>
      </c>
      <c r="D143" s="634">
        <v>4</v>
      </c>
      <c r="E143" s="634">
        <v>3</v>
      </c>
      <c r="F143" s="634">
        <v>10</v>
      </c>
      <c r="G143" s="634">
        <v>6</v>
      </c>
      <c r="H143" s="634">
        <v>4</v>
      </c>
      <c r="I143" s="634">
        <v>8</v>
      </c>
      <c r="J143" s="635">
        <v>4</v>
      </c>
      <c r="K143" s="635">
        <v>8</v>
      </c>
      <c r="L143" s="635">
        <v>6</v>
      </c>
      <c r="M143" s="635">
        <v>5</v>
      </c>
      <c r="N143" s="634">
        <f t="shared" si="18"/>
        <v>62</v>
      </c>
      <c r="O143" s="628"/>
      <c r="P143" s="666"/>
      <c r="Q143" s="666"/>
    </row>
    <row r="144" spans="1:17" s="663" customFormat="1">
      <c r="A144" s="742" t="s">
        <v>270</v>
      </c>
      <c r="B144" s="634">
        <v>5</v>
      </c>
      <c r="C144" s="634">
        <v>4</v>
      </c>
      <c r="D144" s="634">
        <v>5</v>
      </c>
      <c r="E144" s="634">
        <v>6</v>
      </c>
      <c r="F144" s="634">
        <v>3</v>
      </c>
      <c r="G144" s="634">
        <v>8</v>
      </c>
      <c r="H144" s="634">
        <v>1</v>
      </c>
      <c r="I144" s="634">
        <v>3</v>
      </c>
      <c r="J144" s="635">
        <v>6</v>
      </c>
      <c r="K144" s="635">
        <v>5</v>
      </c>
      <c r="L144" s="635">
        <v>7</v>
      </c>
      <c r="M144" s="635">
        <v>5</v>
      </c>
      <c r="N144" s="634">
        <f t="shared" si="18"/>
        <v>58</v>
      </c>
      <c r="O144" s="628"/>
      <c r="P144" s="666"/>
      <c r="Q144" s="666"/>
    </row>
    <row r="145" spans="1:17" s="663" customFormat="1">
      <c r="A145" s="742" t="s">
        <v>279</v>
      </c>
      <c r="B145" s="634">
        <v>1</v>
      </c>
      <c r="C145" s="634">
        <v>1</v>
      </c>
      <c r="D145" s="634">
        <v>3</v>
      </c>
      <c r="E145" s="634">
        <v>8</v>
      </c>
      <c r="F145" s="634">
        <v>13</v>
      </c>
      <c r="G145" s="634">
        <v>4</v>
      </c>
      <c r="H145" s="634">
        <v>6</v>
      </c>
      <c r="I145" s="634">
        <v>4</v>
      </c>
      <c r="J145" s="635">
        <v>4</v>
      </c>
      <c r="K145" s="635">
        <v>6</v>
      </c>
      <c r="L145" s="635">
        <v>0</v>
      </c>
      <c r="M145" s="635">
        <v>5</v>
      </c>
      <c r="N145" s="634">
        <f t="shared" si="18"/>
        <v>55</v>
      </c>
      <c r="O145" s="628"/>
      <c r="P145" s="666"/>
      <c r="Q145" s="666"/>
    </row>
    <row r="146" spans="1:17" s="663" customFormat="1">
      <c r="A146" s="742" t="s">
        <v>216</v>
      </c>
      <c r="B146" s="634">
        <v>2</v>
      </c>
      <c r="C146" s="634">
        <v>8</v>
      </c>
      <c r="D146" s="634">
        <v>5</v>
      </c>
      <c r="E146" s="634">
        <v>4</v>
      </c>
      <c r="F146" s="634">
        <v>4</v>
      </c>
      <c r="G146" s="634">
        <v>1</v>
      </c>
      <c r="H146" s="634">
        <v>7</v>
      </c>
      <c r="I146" s="634">
        <v>4</v>
      </c>
      <c r="J146" s="635">
        <v>6</v>
      </c>
      <c r="K146" s="635">
        <v>3</v>
      </c>
      <c r="L146" s="635">
        <v>4</v>
      </c>
      <c r="M146" s="635">
        <v>6</v>
      </c>
      <c r="N146" s="634">
        <f t="shared" si="18"/>
        <v>54</v>
      </c>
      <c r="O146" s="628"/>
      <c r="P146" s="666"/>
      <c r="Q146" s="666"/>
    </row>
    <row r="147" spans="1:17" s="663" customFormat="1" ht="23.25">
      <c r="A147" s="742" t="s">
        <v>367</v>
      </c>
      <c r="B147" s="634">
        <v>6</v>
      </c>
      <c r="C147" s="634">
        <v>4</v>
      </c>
      <c r="D147" s="634">
        <v>5</v>
      </c>
      <c r="E147" s="634">
        <v>5</v>
      </c>
      <c r="F147" s="634">
        <v>4</v>
      </c>
      <c r="G147" s="634">
        <v>7</v>
      </c>
      <c r="H147" s="634">
        <v>5</v>
      </c>
      <c r="I147" s="634">
        <v>3</v>
      </c>
      <c r="J147" s="635">
        <v>4</v>
      </c>
      <c r="K147" s="635">
        <v>5</v>
      </c>
      <c r="L147" s="635">
        <v>2</v>
      </c>
      <c r="M147" s="635">
        <v>4</v>
      </c>
      <c r="N147" s="634">
        <f t="shared" si="18"/>
        <v>54</v>
      </c>
      <c r="O147" s="628"/>
      <c r="P147" s="666"/>
      <c r="Q147" s="666"/>
    </row>
    <row r="148" spans="1:17" s="663" customFormat="1">
      <c r="A148" s="742" t="s">
        <v>274</v>
      </c>
      <c r="B148" s="634">
        <v>4</v>
      </c>
      <c r="C148" s="634">
        <v>3</v>
      </c>
      <c r="D148" s="634">
        <v>3</v>
      </c>
      <c r="E148" s="634">
        <v>3</v>
      </c>
      <c r="F148" s="634">
        <v>1</v>
      </c>
      <c r="G148" s="634">
        <v>3</v>
      </c>
      <c r="H148" s="634">
        <v>6</v>
      </c>
      <c r="I148" s="634">
        <v>3</v>
      </c>
      <c r="J148" s="635">
        <v>13</v>
      </c>
      <c r="K148" s="635">
        <v>6</v>
      </c>
      <c r="L148" s="635">
        <v>3</v>
      </c>
      <c r="M148" s="635">
        <v>6</v>
      </c>
      <c r="N148" s="634">
        <f t="shared" si="18"/>
        <v>54</v>
      </c>
      <c r="O148" s="628"/>
      <c r="P148" s="666"/>
      <c r="Q148" s="666"/>
    </row>
    <row r="149" spans="1:17" s="663" customFormat="1">
      <c r="A149" s="742" t="s">
        <v>259</v>
      </c>
      <c r="B149" s="634">
        <v>1</v>
      </c>
      <c r="C149" s="634">
        <v>6</v>
      </c>
      <c r="D149" s="634">
        <v>3</v>
      </c>
      <c r="E149" s="634">
        <v>5</v>
      </c>
      <c r="F149" s="634">
        <v>1</v>
      </c>
      <c r="G149" s="634">
        <v>2</v>
      </c>
      <c r="H149" s="634">
        <v>2</v>
      </c>
      <c r="I149" s="634">
        <v>2</v>
      </c>
      <c r="J149" s="635">
        <v>3</v>
      </c>
      <c r="K149" s="635">
        <v>7</v>
      </c>
      <c r="L149" s="635">
        <v>3</v>
      </c>
      <c r="M149" s="635">
        <v>4</v>
      </c>
      <c r="N149" s="634">
        <f t="shared" si="18"/>
        <v>39</v>
      </c>
      <c r="O149" s="628"/>
      <c r="P149" s="666"/>
      <c r="Q149" s="666"/>
    </row>
    <row r="150" spans="1:17" s="663" customFormat="1" ht="34.5">
      <c r="A150" s="742" t="s">
        <v>379</v>
      </c>
      <c r="B150" s="634">
        <v>2</v>
      </c>
      <c r="C150" s="634">
        <v>3</v>
      </c>
      <c r="D150" s="634">
        <v>3</v>
      </c>
      <c r="E150" s="634">
        <v>7</v>
      </c>
      <c r="F150" s="634">
        <v>0</v>
      </c>
      <c r="G150" s="634">
        <v>4</v>
      </c>
      <c r="H150" s="634">
        <v>4</v>
      </c>
      <c r="I150" s="634">
        <v>3</v>
      </c>
      <c r="J150" s="635">
        <v>2</v>
      </c>
      <c r="K150" s="635">
        <v>1</v>
      </c>
      <c r="L150" s="635">
        <v>5</v>
      </c>
      <c r="M150" s="635">
        <v>4</v>
      </c>
      <c r="N150" s="634">
        <f t="shared" si="18"/>
        <v>38</v>
      </c>
      <c r="O150" s="628"/>
      <c r="P150" s="666"/>
      <c r="Q150" s="666"/>
    </row>
    <row r="151" spans="1:17" s="663" customFormat="1">
      <c r="A151" s="742" t="s">
        <v>371</v>
      </c>
      <c r="B151" s="634">
        <v>2</v>
      </c>
      <c r="C151" s="634">
        <v>1</v>
      </c>
      <c r="D151" s="634">
        <v>5</v>
      </c>
      <c r="E151" s="634">
        <v>5</v>
      </c>
      <c r="F151" s="634">
        <v>5</v>
      </c>
      <c r="G151" s="634">
        <v>4</v>
      </c>
      <c r="H151" s="634">
        <v>3</v>
      </c>
      <c r="I151" s="634">
        <v>3</v>
      </c>
      <c r="J151" s="635">
        <v>1</v>
      </c>
      <c r="K151" s="635">
        <v>3</v>
      </c>
      <c r="L151" s="635">
        <v>3</v>
      </c>
      <c r="M151" s="635">
        <v>2</v>
      </c>
      <c r="N151" s="634">
        <f t="shared" ref="N151:N182" si="19">SUM(B151:M151)</f>
        <v>37</v>
      </c>
      <c r="O151" s="628"/>
      <c r="P151" s="666"/>
      <c r="Q151" s="666"/>
    </row>
    <row r="152" spans="1:17" s="663" customFormat="1" ht="23.25">
      <c r="A152" s="742" t="s">
        <v>272</v>
      </c>
      <c r="B152" s="634">
        <v>2</v>
      </c>
      <c r="C152" s="634">
        <v>2</v>
      </c>
      <c r="D152" s="634">
        <v>3</v>
      </c>
      <c r="E152" s="634">
        <v>4</v>
      </c>
      <c r="F152" s="634">
        <v>3</v>
      </c>
      <c r="G152" s="634">
        <v>5</v>
      </c>
      <c r="H152" s="634">
        <v>4</v>
      </c>
      <c r="I152" s="634">
        <v>3</v>
      </c>
      <c r="J152" s="635">
        <v>2</v>
      </c>
      <c r="K152" s="635">
        <v>4</v>
      </c>
      <c r="L152" s="635">
        <v>1</v>
      </c>
      <c r="M152" s="635">
        <v>4</v>
      </c>
      <c r="N152" s="634">
        <f t="shared" si="19"/>
        <v>37</v>
      </c>
      <c r="O152" s="628"/>
      <c r="P152" s="666"/>
      <c r="Q152" s="666"/>
    </row>
    <row r="153" spans="1:17" s="663" customFormat="1" ht="23.25">
      <c r="A153" s="742" t="s">
        <v>355</v>
      </c>
      <c r="B153" s="634">
        <v>3</v>
      </c>
      <c r="C153" s="634">
        <v>0</v>
      </c>
      <c r="D153" s="634">
        <v>2</v>
      </c>
      <c r="E153" s="634">
        <v>3</v>
      </c>
      <c r="F153" s="634">
        <v>2</v>
      </c>
      <c r="G153" s="634">
        <v>1</v>
      </c>
      <c r="H153" s="634">
        <v>4</v>
      </c>
      <c r="I153" s="634">
        <v>4</v>
      </c>
      <c r="J153" s="635">
        <v>5</v>
      </c>
      <c r="K153" s="635">
        <v>4</v>
      </c>
      <c r="L153" s="635">
        <v>3</v>
      </c>
      <c r="M153" s="635">
        <v>5</v>
      </c>
      <c r="N153" s="634">
        <f t="shared" si="19"/>
        <v>36</v>
      </c>
      <c r="O153" s="628"/>
      <c r="P153" s="666"/>
      <c r="Q153" s="666"/>
    </row>
    <row r="154" spans="1:17" s="663" customFormat="1">
      <c r="A154" s="742" t="s">
        <v>264</v>
      </c>
      <c r="B154" s="634">
        <v>1</v>
      </c>
      <c r="C154" s="634">
        <v>3</v>
      </c>
      <c r="D154" s="634">
        <v>5</v>
      </c>
      <c r="E154" s="634">
        <v>3</v>
      </c>
      <c r="F154" s="634">
        <v>3</v>
      </c>
      <c r="G154" s="634">
        <v>3</v>
      </c>
      <c r="H154" s="634">
        <v>2</v>
      </c>
      <c r="I154" s="634">
        <v>1</v>
      </c>
      <c r="J154" s="635">
        <v>1</v>
      </c>
      <c r="K154" s="635">
        <v>6</v>
      </c>
      <c r="L154" s="635">
        <v>4</v>
      </c>
      <c r="M154" s="635">
        <v>4</v>
      </c>
      <c r="N154" s="634">
        <f t="shared" si="19"/>
        <v>36</v>
      </c>
      <c r="O154" s="628"/>
      <c r="P154" s="666"/>
      <c r="Q154" s="666"/>
    </row>
    <row r="155" spans="1:17" s="663" customFormat="1">
      <c r="A155" s="742" t="s">
        <v>273</v>
      </c>
      <c r="B155" s="634">
        <v>1</v>
      </c>
      <c r="C155" s="634">
        <v>2</v>
      </c>
      <c r="D155" s="634">
        <v>2</v>
      </c>
      <c r="E155" s="634">
        <v>4</v>
      </c>
      <c r="F155" s="634">
        <v>4</v>
      </c>
      <c r="G155" s="634">
        <v>4</v>
      </c>
      <c r="H155" s="634">
        <v>4</v>
      </c>
      <c r="I155" s="634">
        <v>6</v>
      </c>
      <c r="J155" s="635">
        <v>2</v>
      </c>
      <c r="K155" s="635">
        <v>2</v>
      </c>
      <c r="L155" s="635">
        <v>1</v>
      </c>
      <c r="M155" s="635">
        <v>4</v>
      </c>
      <c r="N155" s="634">
        <f t="shared" si="19"/>
        <v>36</v>
      </c>
      <c r="O155" s="628"/>
      <c r="P155" s="666"/>
      <c r="Q155" s="666"/>
    </row>
    <row r="156" spans="1:17" s="663" customFormat="1" ht="33.75">
      <c r="A156" s="916" t="s">
        <v>359</v>
      </c>
      <c r="B156" s="634">
        <v>3</v>
      </c>
      <c r="C156" s="634">
        <v>3</v>
      </c>
      <c r="D156" s="634">
        <v>1</v>
      </c>
      <c r="E156" s="634">
        <v>1</v>
      </c>
      <c r="F156" s="634">
        <v>1</v>
      </c>
      <c r="G156" s="634">
        <v>2</v>
      </c>
      <c r="H156" s="634">
        <v>4</v>
      </c>
      <c r="I156" s="634">
        <v>3</v>
      </c>
      <c r="J156" s="635">
        <v>2</v>
      </c>
      <c r="K156" s="635">
        <v>6</v>
      </c>
      <c r="L156" s="635">
        <v>1</v>
      </c>
      <c r="M156" s="635">
        <v>8</v>
      </c>
      <c r="N156" s="634">
        <f t="shared" si="19"/>
        <v>35</v>
      </c>
      <c r="O156" s="628"/>
      <c r="P156" s="666"/>
      <c r="Q156" s="666"/>
    </row>
    <row r="157" spans="1:17" s="663" customFormat="1" ht="23.25">
      <c r="A157" s="742" t="s">
        <v>363</v>
      </c>
      <c r="B157" s="634">
        <v>1</v>
      </c>
      <c r="C157" s="634">
        <v>2</v>
      </c>
      <c r="D157" s="634">
        <v>5</v>
      </c>
      <c r="E157" s="634">
        <v>5</v>
      </c>
      <c r="F157" s="634">
        <v>3</v>
      </c>
      <c r="G157" s="634">
        <v>4</v>
      </c>
      <c r="H157" s="634">
        <v>5</v>
      </c>
      <c r="I157" s="634">
        <v>1</v>
      </c>
      <c r="J157" s="635">
        <v>1</v>
      </c>
      <c r="K157" s="635">
        <v>1</v>
      </c>
      <c r="L157" s="635">
        <v>2</v>
      </c>
      <c r="M157" s="635">
        <v>5</v>
      </c>
      <c r="N157" s="634">
        <f t="shared" si="19"/>
        <v>35</v>
      </c>
      <c r="O157" s="628"/>
      <c r="P157" s="666"/>
      <c r="Q157" s="666"/>
    </row>
    <row r="158" spans="1:17" s="663" customFormat="1">
      <c r="A158" s="742" t="s">
        <v>266</v>
      </c>
      <c r="B158" s="634">
        <v>1</v>
      </c>
      <c r="C158" s="634">
        <v>2</v>
      </c>
      <c r="D158" s="634">
        <v>2</v>
      </c>
      <c r="E158" s="634">
        <v>4</v>
      </c>
      <c r="F158" s="634">
        <v>4</v>
      </c>
      <c r="G158" s="634">
        <v>3</v>
      </c>
      <c r="H158" s="634">
        <v>1</v>
      </c>
      <c r="I158" s="634">
        <v>3</v>
      </c>
      <c r="J158" s="635">
        <v>3</v>
      </c>
      <c r="K158" s="635">
        <v>5</v>
      </c>
      <c r="L158" s="635">
        <v>4</v>
      </c>
      <c r="M158" s="635">
        <v>3</v>
      </c>
      <c r="N158" s="634">
        <f t="shared" si="19"/>
        <v>35</v>
      </c>
      <c r="O158" s="628"/>
      <c r="P158" s="666"/>
      <c r="Q158" s="666"/>
    </row>
    <row r="159" spans="1:17" s="663" customFormat="1">
      <c r="A159" s="742" t="s">
        <v>268</v>
      </c>
      <c r="B159" s="634">
        <v>1</v>
      </c>
      <c r="C159" s="634">
        <v>5</v>
      </c>
      <c r="D159" s="634">
        <v>3</v>
      </c>
      <c r="E159" s="634">
        <v>3</v>
      </c>
      <c r="F159" s="634">
        <v>3</v>
      </c>
      <c r="G159" s="634">
        <v>4</v>
      </c>
      <c r="H159" s="634">
        <v>4</v>
      </c>
      <c r="I159" s="634">
        <v>3</v>
      </c>
      <c r="J159" s="635">
        <v>2</v>
      </c>
      <c r="K159" s="635">
        <v>3</v>
      </c>
      <c r="L159" s="635">
        <v>0</v>
      </c>
      <c r="M159" s="635">
        <v>4</v>
      </c>
      <c r="N159" s="634">
        <f t="shared" si="19"/>
        <v>35</v>
      </c>
      <c r="O159" s="628"/>
      <c r="P159" s="666"/>
      <c r="Q159" s="666"/>
    </row>
    <row r="160" spans="1:17" s="663" customFormat="1">
      <c r="A160" s="742" t="s">
        <v>271</v>
      </c>
      <c r="B160" s="634">
        <v>1</v>
      </c>
      <c r="C160" s="634">
        <v>2</v>
      </c>
      <c r="D160" s="634">
        <v>3</v>
      </c>
      <c r="E160" s="634">
        <v>4</v>
      </c>
      <c r="F160" s="634">
        <v>3</v>
      </c>
      <c r="G160" s="634">
        <v>2</v>
      </c>
      <c r="H160" s="634">
        <v>3</v>
      </c>
      <c r="I160" s="634">
        <v>1</v>
      </c>
      <c r="J160" s="635">
        <v>6</v>
      </c>
      <c r="K160" s="635">
        <v>4</v>
      </c>
      <c r="L160" s="635">
        <v>2</v>
      </c>
      <c r="M160" s="635">
        <v>4</v>
      </c>
      <c r="N160" s="634">
        <f t="shared" si="19"/>
        <v>35</v>
      </c>
      <c r="O160" s="628"/>
      <c r="P160" s="666"/>
      <c r="Q160" s="666"/>
    </row>
    <row r="161" spans="1:17" s="663" customFormat="1" ht="23.25">
      <c r="A161" s="742" t="s">
        <v>401</v>
      </c>
      <c r="B161" s="634">
        <v>0</v>
      </c>
      <c r="C161" s="634">
        <v>1</v>
      </c>
      <c r="D161" s="634">
        <v>3</v>
      </c>
      <c r="E161" s="634">
        <v>7</v>
      </c>
      <c r="F161" s="634">
        <v>0</v>
      </c>
      <c r="G161" s="634">
        <v>6</v>
      </c>
      <c r="H161" s="634">
        <v>3</v>
      </c>
      <c r="I161" s="634">
        <v>3</v>
      </c>
      <c r="J161" s="635">
        <v>4</v>
      </c>
      <c r="K161" s="635">
        <v>1</v>
      </c>
      <c r="L161" s="635">
        <v>1</v>
      </c>
      <c r="M161" s="635">
        <v>3</v>
      </c>
      <c r="N161" s="634">
        <f t="shared" si="19"/>
        <v>32</v>
      </c>
      <c r="O161" s="628"/>
      <c r="P161" s="666"/>
      <c r="Q161" s="666"/>
    </row>
    <row r="162" spans="1:17" s="663" customFormat="1">
      <c r="A162" s="742" t="s">
        <v>261</v>
      </c>
      <c r="B162" s="634">
        <v>1</v>
      </c>
      <c r="C162" s="634">
        <v>1</v>
      </c>
      <c r="D162" s="634">
        <v>3</v>
      </c>
      <c r="E162" s="634">
        <v>3</v>
      </c>
      <c r="F162" s="634">
        <v>2</v>
      </c>
      <c r="G162" s="634">
        <v>4</v>
      </c>
      <c r="H162" s="634">
        <v>3</v>
      </c>
      <c r="I162" s="634">
        <v>1</v>
      </c>
      <c r="J162" s="635">
        <v>3</v>
      </c>
      <c r="K162" s="635">
        <v>2</v>
      </c>
      <c r="L162" s="635">
        <v>2</v>
      </c>
      <c r="M162" s="635">
        <v>7</v>
      </c>
      <c r="N162" s="634">
        <f t="shared" si="19"/>
        <v>32</v>
      </c>
      <c r="O162" s="628"/>
      <c r="P162" s="666"/>
      <c r="Q162" s="666"/>
    </row>
    <row r="163" spans="1:17" s="663" customFormat="1">
      <c r="A163" s="742" t="s">
        <v>254</v>
      </c>
      <c r="B163" s="634">
        <v>0</v>
      </c>
      <c r="C163" s="634">
        <v>2</v>
      </c>
      <c r="D163" s="634">
        <v>2</v>
      </c>
      <c r="E163" s="634">
        <v>3</v>
      </c>
      <c r="F163" s="634">
        <v>2</v>
      </c>
      <c r="G163" s="634">
        <v>5</v>
      </c>
      <c r="H163" s="634">
        <v>2</v>
      </c>
      <c r="I163" s="634">
        <v>6</v>
      </c>
      <c r="J163" s="635">
        <v>3</v>
      </c>
      <c r="K163" s="635">
        <v>1</v>
      </c>
      <c r="L163" s="635">
        <v>1</v>
      </c>
      <c r="M163" s="635">
        <v>4</v>
      </c>
      <c r="N163" s="634">
        <f t="shared" si="19"/>
        <v>31</v>
      </c>
      <c r="O163" s="628"/>
      <c r="P163" s="666"/>
      <c r="Q163" s="666"/>
    </row>
    <row r="164" spans="1:17" s="663" customFormat="1" ht="23.25">
      <c r="A164" s="742" t="s">
        <v>256</v>
      </c>
      <c r="B164" s="634">
        <v>0</v>
      </c>
      <c r="C164" s="634">
        <v>1</v>
      </c>
      <c r="D164" s="634">
        <v>12</v>
      </c>
      <c r="E164" s="634">
        <v>4</v>
      </c>
      <c r="F164" s="634">
        <v>1</v>
      </c>
      <c r="G164" s="634">
        <v>2</v>
      </c>
      <c r="H164" s="634">
        <v>1</v>
      </c>
      <c r="I164" s="634">
        <v>1</v>
      </c>
      <c r="J164" s="635">
        <v>2</v>
      </c>
      <c r="K164" s="635">
        <v>1</v>
      </c>
      <c r="L164" s="635">
        <v>0</v>
      </c>
      <c r="M164" s="635">
        <v>4</v>
      </c>
      <c r="N164" s="634">
        <f t="shared" si="19"/>
        <v>29</v>
      </c>
      <c r="O164" s="628"/>
      <c r="P164" s="666"/>
      <c r="Q164" s="666"/>
    </row>
    <row r="165" spans="1:17" s="663" customFormat="1" ht="23.25">
      <c r="A165" s="742" t="s">
        <v>385</v>
      </c>
      <c r="B165" s="634">
        <v>2</v>
      </c>
      <c r="C165" s="634">
        <v>2</v>
      </c>
      <c r="D165" s="634">
        <v>6</v>
      </c>
      <c r="E165" s="634">
        <v>1</v>
      </c>
      <c r="F165" s="634">
        <v>2</v>
      </c>
      <c r="G165" s="634">
        <v>1</v>
      </c>
      <c r="H165" s="634">
        <v>3</v>
      </c>
      <c r="I165" s="634">
        <v>1</v>
      </c>
      <c r="J165" s="635">
        <v>3</v>
      </c>
      <c r="K165" s="635">
        <v>3</v>
      </c>
      <c r="L165" s="635">
        <v>0</v>
      </c>
      <c r="M165" s="635">
        <v>4</v>
      </c>
      <c r="N165" s="634">
        <f t="shared" si="19"/>
        <v>28</v>
      </c>
      <c r="O165" s="628"/>
      <c r="P165" s="666"/>
      <c r="Q165" s="666"/>
    </row>
    <row r="166" spans="1:17" s="663" customFormat="1" ht="23.25">
      <c r="A166" s="917" t="s">
        <v>397</v>
      </c>
      <c r="B166" s="634">
        <v>0</v>
      </c>
      <c r="C166" s="634">
        <v>6</v>
      </c>
      <c r="D166" s="634">
        <v>2</v>
      </c>
      <c r="E166" s="634">
        <v>1</v>
      </c>
      <c r="F166" s="634">
        <v>1</v>
      </c>
      <c r="G166" s="634">
        <v>1</v>
      </c>
      <c r="H166" s="634">
        <v>3</v>
      </c>
      <c r="I166" s="634">
        <v>7</v>
      </c>
      <c r="J166" s="635">
        <v>3</v>
      </c>
      <c r="K166" s="635">
        <v>1</v>
      </c>
      <c r="L166" s="635">
        <v>0</v>
      </c>
      <c r="M166" s="635">
        <v>3</v>
      </c>
      <c r="N166" s="634">
        <f t="shared" si="19"/>
        <v>28</v>
      </c>
      <c r="O166" s="628"/>
      <c r="P166" s="666"/>
      <c r="Q166" s="666"/>
    </row>
    <row r="167" spans="1:17" s="663" customFormat="1" ht="23.25">
      <c r="A167" s="742" t="s">
        <v>402</v>
      </c>
      <c r="B167" s="634">
        <v>0</v>
      </c>
      <c r="C167" s="634">
        <v>1</v>
      </c>
      <c r="D167" s="634">
        <v>2</v>
      </c>
      <c r="E167" s="634">
        <v>8</v>
      </c>
      <c r="F167" s="634">
        <v>2</v>
      </c>
      <c r="G167" s="634">
        <v>3</v>
      </c>
      <c r="H167" s="634">
        <v>2</v>
      </c>
      <c r="I167" s="634">
        <v>1</v>
      </c>
      <c r="J167" s="635">
        <v>2</v>
      </c>
      <c r="K167" s="635">
        <v>4</v>
      </c>
      <c r="L167" s="635">
        <v>0</v>
      </c>
      <c r="M167" s="635">
        <v>3</v>
      </c>
      <c r="N167" s="634">
        <f t="shared" si="19"/>
        <v>28</v>
      </c>
      <c r="O167" s="628"/>
      <c r="P167" s="666"/>
      <c r="Q167" s="666"/>
    </row>
    <row r="168" spans="1:17" s="663" customFormat="1">
      <c r="A168" s="742" t="s">
        <v>251</v>
      </c>
      <c r="B168" s="634">
        <v>0</v>
      </c>
      <c r="C168" s="634">
        <v>4</v>
      </c>
      <c r="D168" s="634">
        <v>4</v>
      </c>
      <c r="E168" s="634">
        <v>4</v>
      </c>
      <c r="F168" s="634">
        <v>2</v>
      </c>
      <c r="G168" s="634">
        <v>2</v>
      </c>
      <c r="H168" s="634">
        <v>2</v>
      </c>
      <c r="I168" s="634">
        <v>2</v>
      </c>
      <c r="J168" s="635">
        <v>2</v>
      </c>
      <c r="K168" s="635">
        <v>1</v>
      </c>
      <c r="L168" s="635">
        <v>0</v>
      </c>
      <c r="M168" s="635">
        <v>4</v>
      </c>
      <c r="N168" s="634">
        <f t="shared" si="19"/>
        <v>27</v>
      </c>
      <c r="O168" s="628"/>
      <c r="P168" s="666"/>
      <c r="Q168" s="666"/>
    </row>
    <row r="169" spans="1:17" s="663" customFormat="1" ht="23.25">
      <c r="A169" s="742" t="s">
        <v>263</v>
      </c>
      <c r="B169" s="634">
        <v>0</v>
      </c>
      <c r="C169" s="634">
        <v>1</v>
      </c>
      <c r="D169" s="634">
        <v>2</v>
      </c>
      <c r="E169" s="634">
        <v>2</v>
      </c>
      <c r="F169" s="634">
        <v>2</v>
      </c>
      <c r="G169" s="634">
        <v>3</v>
      </c>
      <c r="H169" s="634">
        <v>2</v>
      </c>
      <c r="I169" s="634">
        <v>4</v>
      </c>
      <c r="J169" s="635">
        <v>3</v>
      </c>
      <c r="K169" s="635">
        <v>4</v>
      </c>
      <c r="L169" s="635">
        <v>1</v>
      </c>
      <c r="M169" s="635">
        <v>3</v>
      </c>
      <c r="N169" s="634">
        <f t="shared" si="19"/>
        <v>27</v>
      </c>
      <c r="O169" s="628"/>
      <c r="P169" s="666"/>
      <c r="Q169" s="666"/>
    </row>
    <row r="170" spans="1:17" s="663" customFormat="1" ht="23.25">
      <c r="A170" s="742" t="s">
        <v>278</v>
      </c>
      <c r="B170" s="634">
        <v>0</v>
      </c>
      <c r="C170" s="634">
        <v>1</v>
      </c>
      <c r="D170" s="634">
        <v>2</v>
      </c>
      <c r="E170" s="634">
        <v>2</v>
      </c>
      <c r="F170" s="634">
        <v>2</v>
      </c>
      <c r="G170" s="634">
        <v>2</v>
      </c>
      <c r="H170" s="634">
        <v>3</v>
      </c>
      <c r="I170" s="634">
        <v>3</v>
      </c>
      <c r="J170" s="635">
        <v>4</v>
      </c>
      <c r="K170" s="635">
        <v>3</v>
      </c>
      <c r="L170" s="635">
        <v>1</v>
      </c>
      <c r="M170" s="635">
        <v>4</v>
      </c>
      <c r="N170" s="634">
        <f t="shared" si="19"/>
        <v>27</v>
      </c>
      <c r="O170" s="628"/>
      <c r="P170" s="666"/>
      <c r="Q170" s="666"/>
    </row>
    <row r="171" spans="1:17" s="663" customFormat="1">
      <c r="A171" s="918" t="s">
        <v>404</v>
      </c>
      <c r="B171" s="634">
        <v>0</v>
      </c>
      <c r="C171" s="634">
        <v>1</v>
      </c>
      <c r="D171" s="634">
        <v>2</v>
      </c>
      <c r="E171" s="634">
        <v>4</v>
      </c>
      <c r="F171" s="634">
        <v>2</v>
      </c>
      <c r="G171" s="634">
        <v>3</v>
      </c>
      <c r="H171" s="634">
        <v>1</v>
      </c>
      <c r="I171" s="634">
        <v>3</v>
      </c>
      <c r="J171" s="635">
        <v>2</v>
      </c>
      <c r="K171" s="635">
        <v>1</v>
      </c>
      <c r="L171" s="635">
        <v>4</v>
      </c>
      <c r="M171" s="635">
        <v>3</v>
      </c>
      <c r="N171" s="634">
        <f t="shared" si="19"/>
        <v>26</v>
      </c>
      <c r="O171" s="628"/>
      <c r="P171" s="666"/>
      <c r="Q171" s="666"/>
    </row>
    <row r="172" spans="1:17" s="663" customFormat="1" ht="23.25">
      <c r="A172" s="742" t="s">
        <v>275</v>
      </c>
      <c r="B172" s="634">
        <v>0</v>
      </c>
      <c r="C172" s="634">
        <v>2</v>
      </c>
      <c r="D172" s="634">
        <v>3</v>
      </c>
      <c r="E172" s="634">
        <v>2</v>
      </c>
      <c r="F172" s="634">
        <v>1</v>
      </c>
      <c r="G172" s="634">
        <v>4</v>
      </c>
      <c r="H172" s="634">
        <v>1</v>
      </c>
      <c r="I172" s="634">
        <v>1</v>
      </c>
      <c r="J172" s="635">
        <v>3</v>
      </c>
      <c r="K172" s="635">
        <v>2</v>
      </c>
      <c r="L172" s="635">
        <v>2</v>
      </c>
      <c r="M172" s="635">
        <v>5</v>
      </c>
      <c r="N172" s="634">
        <f t="shared" si="19"/>
        <v>26</v>
      </c>
      <c r="O172" s="628"/>
      <c r="P172" s="666"/>
      <c r="Q172" s="666"/>
    </row>
    <row r="173" spans="1:17" s="663" customFormat="1" ht="23.25">
      <c r="A173" s="917" t="s">
        <v>391</v>
      </c>
      <c r="B173" s="634">
        <v>6</v>
      </c>
      <c r="C173" s="634">
        <v>4</v>
      </c>
      <c r="D173" s="634">
        <v>3</v>
      </c>
      <c r="E173" s="634">
        <v>1</v>
      </c>
      <c r="F173" s="634">
        <v>3</v>
      </c>
      <c r="G173" s="634">
        <v>0</v>
      </c>
      <c r="H173" s="634">
        <v>1</v>
      </c>
      <c r="I173" s="634">
        <v>2</v>
      </c>
      <c r="J173" s="635">
        <v>3</v>
      </c>
      <c r="K173" s="635">
        <v>1</v>
      </c>
      <c r="L173" s="635">
        <v>0</v>
      </c>
      <c r="M173" s="635">
        <v>1</v>
      </c>
      <c r="N173" s="634">
        <f t="shared" si="19"/>
        <v>25</v>
      </c>
      <c r="O173" s="628"/>
      <c r="P173" s="666"/>
      <c r="Q173" s="666"/>
    </row>
    <row r="174" spans="1:17" s="663" customFormat="1">
      <c r="A174" s="742" t="s">
        <v>260</v>
      </c>
      <c r="B174" s="634">
        <v>0</v>
      </c>
      <c r="C174" s="634">
        <v>1</v>
      </c>
      <c r="D174" s="634">
        <v>2</v>
      </c>
      <c r="E174" s="634">
        <v>5</v>
      </c>
      <c r="F174" s="634">
        <v>0</v>
      </c>
      <c r="G174" s="634">
        <v>2</v>
      </c>
      <c r="H174" s="634">
        <v>4</v>
      </c>
      <c r="I174" s="634">
        <v>2</v>
      </c>
      <c r="J174" s="635">
        <v>2</v>
      </c>
      <c r="K174" s="635">
        <v>0</v>
      </c>
      <c r="L174" s="635">
        <v>3</v>
      </c>
      <c r="M174" s="635">
        <v>4</v>
      </c>
      <c r="N174" s="634">
        <f t="shared" si="19"/>
        <v>25</v>
      </c>
      <c r="O174" s="628"/>
      <c r="P174" s="666"/>
      <c r="Q174" s="666"/>
    </row>
    <row r="175" spans="1:17" s="663" customFormat="1" ht="22.5">
      <c r="A175" s="635" t="s">
        <v>354</v>
      </c>
      <c r="B175" s="634">
        <v>0</v>
      </c>
      <c r="C175" s="634">
        <v>2</v>
      </c>
      <c r="D175" s="634">
        <v>0</v>
      </c>
      <c r="E175" s="634">
        <v>0</v>
      </c>
      <c r="F175" s="634">
        <v>1</v>
      </c>
      <c r="G175" s="634">
        <v>0</v>
      </c>
      <c r="H175" s="634">
        <v>6</v>
      </c>
      <c r="I175" s="634">
        <v>4</v>
      </c>
      <c r="J175" s="635">
        <v>5</v>
      </c>
      <c r="K175" s="635">
        <v>3</v>
      </c>
      <c r="L175" s="635">
        <v>2</v>
      </c>
      <c r="M175" s="635">
        <v>1</v>
      </c>
      <c r="N175" s="634">
        <f t="shared" si="19"/>
        <v>24</v>
      </c>
      <c r="O175" s="628"/>
      <c r="P175" s="666"/>
      <c r="Q175" s="666"/>
    </row>
    <row r="176" spans="1:17" s="663" customFormat="1">
      <c r="A176" s="742" t="s">
        <v>267</v>
      </c>
      <c r="B176" s="634">
        <v>2</v>
      </c>
      <c r="C176" s="634">
        <v>1</v>
      </c>
      <c r="D176" s="634">
        <v>2</v>
      </c>
      <c r="E176" s="634">
        <v>4</v>
      </c>
      <c r="F176" s="634">
        <v>2</v>
      </c>
      <c r="G176" s="634">
        <v>2</v>
      </c>
      <c r="H176" s="634">
        <v>3</v>
      </c>
      <c r="I176" s="634">
        <v>1</v>
      </c>
      <c r="J176" s="635">
        <v>2</v>
      </c>
      <c r="K176" s="635">
        <v>2</v>
      </c>
      <c r="L176" s="635">
        <v>0</v>
      </c>
      <c r="M176" s="635">
        <v>3</v>
      </c>
      <c r="N176" s="634">
        <f t="shared" si="19"/>
        <v>24</v>
      </c>
      <c r="O176" s="628"/>
      <c r="P176" s="666"/>
      <c r="Q176" s="666"/>
    </row>
    <row r="177" spans="1:17" s="663" customFormat="1" ht="23.25">
      <c r="A177" s="742" t="s">
        <v>252</v>
      </c>
      <c r="B177" s="634">
        <v>0</v>
      </c>
      <c r="C177" s="634">
        <v>1</v>
      </c>
      <c r="D177" s="634">
        <v>2</v>
      </c>
      <c r="E177" s="634">
        <v>3</v>
      </c>
      <c r="F177" s="634">
        <v>0</v>
      </c>
      <c r="G177" s="634">
        <v>4</v>
      </c>
      <c r="H177" s="634">
        <v>1</v>
      </c>
      <c r="I177" s="634">
        <v>4</v>
      </c>
      <c r="J177" s="635">
        <v>2</v>
      </c>
      <c r="K177" s="635">
        <v>2</v>
      </c>
      <c r="L177" s="635">
        <v>1</v>
      </c>
      <c r="M177" s="635">
        <v>3</v>
      </c>
      <c r="N177" s="634">
        <f t="shared" si="19"/>
        <v>23</v>
      </c>
      <c r="O177" s="628"/>
      <c r="P177" s="666"/>
      <c r="Q177" s="666"/>
    </row>
    <row r="178" spans="1:17" s="663" customFormat="1">
      <c r="A178" s="634" t="s">
        <v>280</v>
      </c>
      <c r="B178" s="634">
        <v>1</v>
      </c>
      <c r="C178" s="634">
        <v>2</v>
      </c>
      <c r="D178" s="634">
        <v>2</v>
      </c>
      <c r="E178" s="634">
        <v>2</v>
      </c>
      <c r="F178" s="634">
        <v>3</v>
      </c>
      <c r="G178" s="634">
        <v>3</v>
      </c>
      <c r="H178" s="634">
        <v>2</v>
      </c>
      <c r="I178" s="634">
        <v>1</v>
      </c>
      <c r="J178" s="635">
        <v>1</v>
      </c>
      <c r="K178" s="635">
        <v>2</v>
      </c>
      <c r="L178" s="635">
        <v>0</v>
      </c>
      <c r="M178" s="635">
        <v>4</v>
      </c>
      <c r="N178" s="634">
        <f t="shared" si="19"/>
        <v>23</v>
      </c>
      <c r="O178" s="628"/>
      <c r="P178" s="666"/>
      <c r="Q178" s="666"/>
    </row>
    <row r="179" spans="1:17" s="663" customFormat="1" ht="23.25">
      <c r="A179" s="742" t="s">
        <v>403</v>
      </c>
      <c r="B179" s="634">
        <v>1</v>
      </c>
      <c r="C179" s="634">
        <v>2</v>
      </c>
      <c r="D179" s="634">
        <v>2</v>
      </c>
      <c r="E179" s="634">
        <v>3</v>
      </c>
      <c r="F179" s="634">
        <v>0</v>
      </c>
      <c r="G179" s="634">
        <v>3</v>
      </c>
      <c r="H179" s="634">
        <v>2</v>
      </c>
      <c r="I179" s="634">
        <v>4</v>
      </c>
      <c r="J179" s="635">
        <v>1</v>
      </c>
      <c r="K179" s="635">
        <v>1</v>
      </c>
      <c r="L179" s="635">
        <v>0</v>
      </c>
      <c r="M179" s="635">
        <v>3</v>
      </c>
      <c r="N179" s="634">
        <f t="shared" si="19"/>
        <v>22</v>
      </c>
      <c r="O179" s="628"/>
      <c r="P179" s="666"/>
      <c r="Q179" s="666"/>
    </row>
    <row r="180" spans="1:17" s="663" customFormat="1">
      <c r="A180" s="742" t="s">
        <v>400</v>
      </c>
      <c r="B180" s="634">
        <v>2</v>
      </c>
      <c r="C180" s="634">
        <v>1</v>
      </c>
      <c r="D180" s="634">
        <v>1</v>
      </c>
      <c r="E180" s="634">
        <v>2</v>
      </c>
      <c r="F180" s="634">
        <v>1</v>
      </c>
      <c r="G180" s="634">
        <v>1</v>
      </c>
      <c r="H180" s="634">
        <v>2</v>
      </c>
      <c r="I180" s="634">
        <v>2</v>
      </c>
      <c r="J180" s="635">
        <v>3</v>
      </c>
      <c r="K180" s="635">
        <v>2</v>
      </c>
      <c r="L180" s="635">
        <v>1</v>
      </c>
      <c r="M180" s="635">
        <v>2</v>
      </c>
      <c r="N180" s="634">
        <f t="shared" si="19"/>
        <v>20</v>
      </c>
      <c r="O180" s="628"/>
      <c r="P180" s="666"/>
      <c r="Q180" s="666"/>
    </row>
    <row r="181" spans="1:17" s="663" customFormat="1">
      <c r="A181" s="742" t="s">
        <v>269</v>
      </c>
      <c r="B181" s="634">
        <v>0</v>
      </c>
      <c r="C181" s="634">
        <v>1</v>
      </c>
      <c r="D181" s="634">
        <v>2</v>
      </c>
      <c r="E181" s="634">
        <v>3</v>
      </c>
      <c r="F181" s="634">
        <v>0</v>
      </c>
      <c r="G181" s="634">
        <v>2</v>
      </c>
      <c r="H181" s="634">
        <v>1</v>
      </c>
      <c r="I181" s="634">
        <v>1</v>
      </c>
      <c r="J181" s="635">
        <v>2</v>
      </c>
      <c r="K181" s="635">
        <v>3</v>
      </c>
      <c r="L181" s="635">
        <v>0</v>
      </c>
      <c r="M181" s="635">
        <v>5</v>
      </c>
      <c r="N181" s="634">
        <f t="shared" si="19"/>
        <v>20</v>
      </c>
      <c r="O181" s="628"/>
      <c r="P181" s="666"/>
      <c r="Q181" s="666"/>
    </row>
    <row r="182" spans="1:17" s="663" customFormat="1" ht="23.25">
      <c r="A182" s="742" t="s">
        <v>255</v>
      </c>
      <c r="B182" s="634">
        <v>0</v>
      </c>
      <c r="C182" s="634">
        <v>2</v>
      </c>
      <c r="D182" s="634">
        <v>2</v>
      </c>
      <c r="E182" s="634">
        <v>2</v>
      </c>
      <c r="F182" s="634">
        <v>2</v>
      </c>
      <c r="G182" s="634">
        <v>2</v>
      </c>
      <c r="H182" s="634">
        <v>1</v>
      </c>
      <c r="I182" s="634">
        <v>1</v>
      </c>
      <c r="J182" s="635">
        <v>1</v>
      </c>
      <c r="K182" s="635">
        <v>3</v>
      </c>
      <c r="L182" s="635">
        <v>0</v>
      </c>
      <c r="M182" s="635">
        <v>3</v>
      </c>
      <c r="N182" s="634">
        <f t="shared" si="19"/>
        <v>19</v>
      </c>
      <c r="O182" s="628"/>
      <c r="P182" s="666"/>
      <c r="Q182" s="666"/>
    </row>
    <row r="183" spans="1:17" s="663" customFormat="1">
      <c r="A183" s="742" t="s">
        <v>258</v>
      </c>
      <c r="B183" s="634">
        <v>1</v>
      </c>
      <c r="C183" s="634">
        <v>2</v>
      </c>
      <c r="D183" s="634">
        <v>2</v>
      </c>
      <c r="E183" s="634">
        <v>3</v>
      </c>
      <c r="F183" s="634">
        <v>0</v>
      </c>
      <c r="G183" s="634">
        <v>3</v>
      </c>
      <c r="H183" s="634">
        <v>1</v>
      </c>
      <c r="I183" s="634">
        <v>1</v>
      </c>
      <c r="J183" s="635">
        <v>1</v>
      </c>
      <c r="K183" s="635">
        <v>2</v>
      </c>
      <c r="L183" s="635">
        <v>0</v>
      </c>
      <c r="M183" s="635">
        <v>3</v>
      </c>
      <c r="N183" s="634">
        <f t="shared" ref="N183:N196" si="20">SUM(B183:M183)</f>
        <v>19</v>
      </c>
      <c r="O183" s="628"/>
      <c r="P183" s="666"/>
      <c r="Q183" s="666"/>
    </row>
    <row r="184" spans="1:17" s="663" customFormat="1">
      <c r="A184" s="742" t="s">
        <v>262</v>
      </c>
      <c r="B184" s="634">
        <v>0</v>
      </c>
      <c r="C184" s="634">
        <v>1</v>
      </c>
      <c r="D184" s="634">
        <v>2</v>
      </c>
      <c r="E184" s="634">
        <v>2</v>
      </c>
      <c r="F184" s="634">
        <v>0</v>
      </c>
      <c r="G184" s="634">
        <v>3</v>
      </c>
      <c r="H184" s="634">
        <v>2</v>
      </c>
      <c r="I184" s="634">
        <v>1</v>
      </c>
      <c r="J184" s="635">
        <v>1</v>
      </c>
      <c r="K184" s="635">
        <v>1</v>
      </c>
      <c r="L184" s="635">
        <v>2</v>
      </c>
      <c r="M184" s="635">
        <v>4</v>
      </c>
      <c r="N184" s="634">
        <f t="shared" si="20"/>
        <v>19</v>
      </c>
      <c r="O184" s="628"/>
      <c r="P184" s="666"/>
      <c r="Q184" s="666"/>
    </row>
    <row r="185" spans="1:17" s="663" customFormat="1">
      <c r="A185" s="742" t="s">
        <v>276</v>
      </c>
      <c r="B185" s="634">
        <v>0</v>
      </c>
      <c r="C185" s="634">
        <v>1</v>
      </c>
      <c r="D185" s="634">
        <v>2</v>
      </c>
      <c r="E185" s="634">
        <v>3</v>
      </c>
      <c r="F185" s="634">
        <v>1</v>
      </c>
      <c r="G185" s="634">
        <v>3</v>
      </c>
      <c r="H185" s="634">
        <v>1</v>
      </c>
      <c r="I185" s="634">
        <v>2</v>
      </c>
      <c r="J185" s="635">
        <v>2</v>
      </c>
      <c r="K185" s="635">
        <v>1</v>
      </c>
      <c r="L185" s="635">
        <v>0</v>
      </c>
      <c r="M185" s="635">
        <v>3</v>
      </c>
      <c r="N185" s="634">
        <f t="shared" si="20"/>
        <v>19</v>
      </c>
      <c r="O185" s="628"/>
      <c r="P185" s="666"/>
      <c r="Q185" s="666"/>
    </row>
    <row r="186" spans="1:17" s="663" customFormat="1" ht="23.25">
      <c r="A186" s="742" t="s">
        <v>352</v>
      </c>
      <c r="B186" s="634">
        <v>2</v>
      </c>
      <c r="C186" s="634">
        <v>1</v>
      </c>
      <c r="D186" s="634">
        <v>2</v>
      </c>
      <c r="E186" s="634">
        <v>2</v>
      </c>
      <c r="F186" s="634">
        <v>1</v>
      </c>
      <c r="G186" s="634">
        <v>0</v>
      </c>
      <c r="H186" s="634">
        <v>3</v>
      </c>
      <c r="I186" s="634">
        <v>1</v>
      </c>
      <c r="J186" s="635">
        <v>0</v>
      </c>
      <c r="K186" s="635">
        <v>0</v>
      </c>
      <c r="L186" s="635">
        <v>1</v>
      </c>
      <c r="M186" s="635">
        <v>1</v>
      </c>
      <c r="N186" s="634">
        <f t="shared" si="20"/>
        <v>14</v>
      </c>
      <c r="O186" s="628"/>
      <c r="P186" s="666"/>
      <c r="Q186" s="666"/>
    </row>
    <row r="187" spans="1:17" s="663" customFormat="1" ht="23.25">
      <c r="A187" s="742" t="s">
        <v>384</v>
      </c>
      <c r="B187" s="634">
        <v>4</v>
      </c>
      <c r="C187" s="634">
        <v>2</v>
      </c>
      <c r="D187" s="634">
        <v>2</v>
      </c>
      <c r="E187" s="634">
        <v>1</v>
      </c>
      <c r="F187" s="634">
        <v>0</v>
      </c>
      <c r="G187" s="634">
        <v>0</v>
      </c>
      <c r="H187" s="634">
        <v>2</v>
      </c>
      <c r="I187" s="634">
        <v>1</v>
      </c>
      <c r="J187" s="635">
        <v>0</v>
      </c>
      <c r="K187" s="635">
        <v>0</v>
      </c>
      <c r="L187" s="635">
        <v>1</v>
      </c>
      <c r="M187" s="635">
        <v>1</v>
      </c>
      <c r="N187" s="634">
        <f t="shared" si="20"/>
        <v>14</v>
      </c>
      <c r="O187" s="628"/>
      <c r="P187" s="666"/>
      <c r="Q187" s="666"/>
    </row>
    <row r="188" spans="1:17" s="663" customFormat="1">
      <c r="A188" s="919" t="s">
        <v>395</v>
      </c>
      <c r="B188" s="634">
        <v>0</v>
      </c>
      <c r="C188" s="634">
        <v>0</v>
      </c>
      <c r="D188" s="634">
        <v>2</v>
      </c>
      <c r="E188" s="634">
        <v>0</v>
      </c>
      <c r="F188" s="634">
        <v>1</v>
      </c>
      <c r="G188" s="634">
        <v>0</v>
      </c>
      <c r="H188" s="634">
        <v>0</v>
      </c>
      <c r="I188" s="634">
        <v>5</v>
      </c>
      <c r="J188" s="635">
        <v>3</v>
      </c>
      <c r="K188" s="635">
        <v>0</v>
      </c>
      <c r="L188" s="635">
        <v>0</v>
      </c>
      <c r="M188" s="635">
        <v>1</v>
      </c>
      <c r="N188" s="634">
        <f t="shared" si="20"/>
        <v>12</v>
      </c>
      <c r="O188" s="628"/>
      <c r="P188" s="666"/>
      <c r="Q188" s="666"/>
    </row>
    <row r="189" spans="1:17" s="663" customFormat="1" ht="23.25">
      <c r="A189" s="917" t="s">
        <v>342</v>
      </c>
      <c r="B189" s="634">
        <v>0</v>
      </c>
      <c r="C189" s="634">
        <v>1</v>
      </c>
      <c r="D189" s="634">
        <v>3</v>
      </c>
      <c r="E189" s="634">
        <v>1</v>
      </c>
      <c r="F189" s="634">
        <v>1</v>
      </c>
      <c r="G189" s="634">
        <v>0</v>
      </c>
      <c r="H189" s="634">
        <v>0</v>
      </c>
      <c r="I189" s="634">
        <v>0</v>
      </c>
      <c r="J189" s="635">
        <v>3</v>
      </c>
      <c r="K189" s="634">
        <v>0</v>
      </c>
      <c r="L189" s="635">
        <v>2</v>
      </c>
      <c r="M189" s="634">
        <v>0</v>
      </c>
      <c r="N189" s="634">
        <f t="shared" si="20"/>
        <v>11</v>
      </c>
      <c r="O189" s="628"/>
      <c r="P189" s="666"/>
      <c r="Q189" s="666"/>
    </row>
    <row r="190" spans="1:17" s="663" customFormat="1" ht="23.25">
      <c r="A190" s="742" t="s">
        <v>368</v>
      </c>
      <c r="B190" s="634">
        <v>1</v>
      </c>
      <c r="C190" s="634">
        <v>0</v>
      </c>
      <c r="D190" s="634">
        <v>2</v>
      </c>
      <c r="E190" s="634">
        <v>1</v>
      </c>
      <c r="F190" s="634">
        <v>0</v>
      </c>
      <c r="G190" s="634">
        <v>0</v>
      </c>
      <c r="H190" s="634">
        <v>3</v>
      </c>
      <c r="I190" s="634">
        <v>0</v>
      </c>
      <c r="J190" s="635">
        <v>2</v>
      </c>
      <c r="K190" s="635">
        <v>0</v>
      </c>
      <c r="L190" s="635">
        <v>0</v>
      </c>
      <c r="M190" s="635">
        <v>2</v>
      </c>
      <c r="N190" s="634">
        <f t="shared" si="20"/>
        <v>11</v>
      </c>
      <c r="O190" s="628"/>
      <c r="P190" s="666"/>
      <c r="Q190" s="666"/>
    </row>
    <row r="191" spans="1:17" s="663" customFormat="1" ht="22.5">
      <c r="A191" s="635" t="s">
        <v>386</v>
      </c>
      <c r="B191" s="634">
        <v>1</v>
      </c>
      <c r="C191" s="634">
        <v>1</v>
      </c>
      <c r="D191" s="634">
        <v>2</v>
      </c>
      <c r="E191" s="634">
        <v>1</v>
      </c>
      <c r="F191" s="634">
        <v>2</v>
      </c>
      <c r="G191" s="634">
        <v>1</v>
      </c>
      <c r="H191" s="634">
        <v>0</v>
      </c>
      <c r="I191" s="634">
        <v>0</v>
      </c>
      <c r="J191" s="635">
        <v>1</v>
      </c>
      <c r="K191" s="635">
        <v>1</v>
      </c>
      <c r="L191" s="635">
        <v>0</v>
      </c>
      <c r="M191" s="635">
        <v>1</v>
      </c>
      <c r="N191" s="634">
        <f t="shared" si="20"/>
        <v>11</v>
      </c>
      <c r="O191" s="628"/>
      <c r="P191" s="666"/>
      <c r="Q191" s="666"/>
    </row>
    <row r="192" spans="1:17" s="663" customFormat="1" ht="23.25">
      <c r="A192" s="742" t="s">
        <v>343</v>
      </c>
      <c r="B192" s="634">
        <v>0</v>
      </c>
      <c r="C192" s="634">
        <v>0</v>
      </c>
      <c r="D192" s="634">
        <v>0</v>
      </c>
      <c r="E192" s="634">
        <v>0</v>
      </c>
      <c r="F192" s="634">
        <v>0</v>
      </c>
      <c r="G192" s="634">
        <v>0</v>
      </c>
      <c r="H192" s="634">
        <v>0</v>
      </c>
      <c r="I192" s="634">
        <v>2</v>
      </c>
      <c r="J192" s="635">
        <v>1</v>
      </c>
      <c r="K192" s="634">
        <v>0</v>
      </c>
      <c r="L192" s="635">
        <v>5</v>
      </c>
      <c r="M192" s="634">
        <v>0</v>
      </c>
      <c r="N192" s="634">
        <f t="shared" si="20"/>
        <v>8</v>
      </c>
      <c r="O192" s="628"/>
      <c r="P192" s="666"/>
      <c r="Q192" s="666"/>
    </row>
    <row r="193" spans="1:17" s="663" customFormat="1" ht="23.25">
      <c r="A193" s="742" t="s">
        <v>393</v>
      </c>
      <c r="B193" s="634">
        <v>0</v>
      </c>
      <c r="C193" s="634">
        <v>0</v>
      </c>
      <c r="D193" s="634">
        <v>0</v>
      </c>
      <c r="E193" s="634">
        <v>0</v>
      </c>
      <c r="F193" s="634">
        <v>2</v>
      </c>
      <c r="G193" s="634">
        <v>1</v>
      </c>
      <c r="H193" s="634">
        <v>1</v>
      </c>
      <c r="I193" s="634">
        <v>0</v>
      </c>
      <c r="J193" s="635">
        <v>4</v>
      </c>
      <c r="K193" s="635">
        <v>0</v>
      </c>
      <c r="L193" s="635">
        <v>0</v>
      </c>
      <c r="M193" s="635">
        <v>0</v>
      </c>
      <c r="N193" s="634">
        <f t="shared" si="20"/>
        <v>8</v>
      </c>
      <c r="O193" s="628"/>
      <c r="P193" s="666"/>
      <c r="Q193" s="666"/>
    </row>
    <row r="194" spans="1:17" s="663" customFormat="1" ht="34.5">
      <c r="A194" s="917" t="s">
        <v>398</v>
      </c>
      <c r="B194" s="634">
        <v>0</v>
      </c>
      <c r="C194" s="634">
        <v>0</v>
      </c>
      <c r="D194" s="634">
        <v>1</v>
      </c>
      <c r="E194" s="634">
        <v>0</v>
      </c>
      <c r="F194" s="634">
        <v>1</v>
      </c>
      <c r="G194" s="634">
        <v>0</v>
      </c>
      <c r="H194" s="634">
        <v>1</v>
      </c>
      <c r="I194" s="634">
        <v>1</v>
      </c>
      <c r="J194" s="635">
        <v>1</v>
      </c>
      <c r="K194" s="635">
        <v>1</v>
      </c>
      <c r="L194" s="635">
        <v>1</v>
      </c>
      <c r="M194" s="635">
        <v>0</v>
      </c>
      <c r="N194" s="634">
        <f t="shared" si="20"/>
        <v>7</v>
      </c>
      <c r="O194" s="628"/>
      <c r="P194" s="666"/>
      <c r="Q194" s="666"/>
    </row>
    <row r="195" spans="1:17" s="663" customFormat="1" ht="23.25">
      <c r="A195" s="742" t="s">
        <v>350</v>
      </c>
      <c r="B195" s="634">
        <v>1</v>
      </c>
      <c r="C195" s="634">
        <v>0</v>
      </c>
      <c r="D195" s="634">
        <v>0</v>
      </c>
      <c r="E195" s="634">
        <v>0</v>
      </c>
      <c r="F195" s="634">
        <v>0</v>
      </c>
      <c r="G195" s="634">
        <v>0</v>
      </c>
      <c r="H195" s="634">
        <v>0</v>
      </c>
      <c r="I195" s="634">
        <v>0</v>
      </c>
      <c r="J195" s="635">
        <v>0</v>
      </c>
      <c r="K195" s="635">
        <v>1</v>
      </c>
      <c r="L195" s="635">
        <v>1</v>
      </c>
      <c r="M195" s="635">
        <v>1</v>
      </c>
      <c r="N195" s="634">
        <f t="shared" si="20"/>
        <v>4</v>
      </c>
      <c r="O195" s="628"/>
      <c r="P195" s="666"/>
      <c r="Q195" s="666"/>
    </row>
    <row r="196" spans="1:17" s="663" customFormat="1" ht="22.5">
      <c r="A196" s="635" t="s">
        <v>399</v>
      </c>
      <c r="B196" s="634">
        <v>0</v>
      </c>
      <c r="C196" s="634">
        <v>0</v>
      </c>
      <c r="D196" s="634">
        <v>0</v>
      </c>
      <c r="E196" s="634">
        <v>0</v>
      </c>
      <c r="F196" s="634">
        <v>0</v>
      </c>
      <c r="G196" s="634">
        <v>0</v>
      </c>
      <c r="H196" s="634">
        <v>0</v>
      </c>
      <c r="I196" s="634">
        <v>0</v>
      </c>
      <c r="J196" s="635">
        <v>0</v>
      </c>
      <c r="K196" s="634">
        <v>0</v>
      </c>
      <c r="L196" s="635">
        <v>0</v>
      </c>
      <c r="M196" s="635">
        <v>0</v>
      </c>
      <c r="N196" s="634">
        <f t="shared" si="20"/>
        <v>0</v>
      </c>
      <c r="O196" s="628"/>
      <c r="P196" s="666"/>
      <c r="Q196" s="666"/>
    </row>
    <row r="197" spans="1:17" s="663" customFormat="1">
      <c r="C197" s="666"/>
      <c r="D197" s="666"/>
      <c r="F197" s="665"/>
      <c r="G197" s="665"/>
      <c r="H197" s="665"/>
      <c r="I197" s="667"/>
      <c r="J197" s="665"/>
      <c r="K197" s="665"/>
      <c r="L197" s="665"/>
      <c r="M197" s="668"/>
      <c r="N197" s="664"/>
      <c r="O197" s="666"/>
      <c r="P197" s="666"/>
      <c r="Q197" s="666"/>
    </row>
    <row r="198" spans="1:17" s="663" customFormat="1">
      <c r="C198" s="666"/>
      <c r="D198" s="666"/>
      <c r="F198" s="665"/>
      <c r="G198" s="665"/>
      <c r="H198" s="665"/>
      <c r="I198" s="667"/>
      <c r="J198" s="665"/>
      <c r="K198" s="665"/>
      <c r="L198" s="665"/>
      <c r="M198" s="668"/>
      <c r="N198" s="664"/>
      <c r="O198" s="666"/>
      <c r="P198" s="666"/>
      <c r="Q198" s="666"/>
    </row>
    <row r="199" spans="1:17" s="663" customFormat="1">
      <c r="C199" s="666"/>
      <c r="D199" s="666"/>
      <c r="F199" s="665"/>
      <c r="G199" s="665"/>
      <c r="H199" s="665"/>
      <c r="I199" s="667"/>
      <c r="J199" s="665"/>
      <c r="K199" s="665"/>
      <c r="L199" s="665"/>
      <c r="M199" s="668"/>
      <c r="N199" s="664"/>
      <c r="O199" s="666"/>
      <c r="P199" s="666"/>
      <c r="Q199" s="666"/>
    </row>
    <row r="200" spans="1:17" s="663" customFormat="1">
      <c r="C200" s="666"/>
      <c r="D200" s="666"/>
      <c r="F200" s="665"/>
      <c r="G200" s="665"/>
      <c r="H200" s="665"/>
      <c r="I200" s="667"/>
      <c r="J200" s="665"/>
      <c r="K200" s="665"/>
      <c r="L200" s="665"/>
      <c r="M200" s="668"/>
      <c r="N200" s="664"/>
      <c r="O200" s="666"/>
      <c r="P200" s="666"/>
      <c r="Q200" s="666"/>
    </row>
    <row r="201" spans="1:17" s="663" customFormat="1">
      <c r="C201" s="666"/>
      <c r="D201" s="666"/>
      <c r="F201" s="665"/>
      <c r="G201" s="665"/>
      <c r="H201" s="665"/>
      <c r="I201" s="667"/>
      <c r="J201" s="665"/>
      <c r="K201" s="665"/>
      <c r="L201" s="665"/>
      <c r="M201" s="668"/>
      <c r="N201" s="664"/>
      <c r="O201" s="666"/>
      <c r="P201" s="666"/>
      <c r="Q201" s="666"/>
    </row>
    <row r="202" spans="1:17" s="663" customFormat="1">
      <c r="C202" s="666"/>
      <c r="D202" s="666"/>
      <c r="F202" s="665"/>
      <c r="G202" s="665"/>
      <c r="H202" s="665"/>
      <c r="I202" s="667"/>
      <c r="J202" s="665"/>
      <c r="K202" s="665"/>
      <c r="L202" s="665"/>
      <c r="M202" s="668"/>
      <c r="N202" s="664"/>
      <c r="O202" s="666"/>
      <c r="P202" s="666"/>
      <c r="Q202" s="666"/>
    </row>
    <row r="203" spans="1:17" s="663" customFormat="1">
      <c r="C203" s="666"/>
      <c r="D203" s="666"/>
      <c r="F203" s="665"/>
      <c r="G203" s="665"/>
      <c r="H203" s="665"/>
      <c r="I203" s="667"/>
      <c r="J203" s="665"/>
      <c r="K203" s="665"/>
      <c r="L203" s="665"/>
      <c r="M203" s="668"/>
      <c r="N203" s="664"/>
      <c r="O203" s="666"/>
      <c r="P203" s="666"/>
      <c r="Q203" s="666"/>
    </row>
    <row r="204" spans="1:17" s="663" customFormat="1">
      <c r="C204" s="666"/>
      <c r="D204" s="666"/>
      <c r="F204" s="665"/>
      <c r="G204" s="665"/>
      <c r="H204" s="665"/>
      <c r="I204" s="667"/>
      <c r="J204" s="665"/>
      <c r="K204" s="665"/>
      <c r="L204" s="665"/>
      <c r="M204" s="668"/>
      <c r="N204" s="664"/>
      <c r="O204" s="666"/>
      <c r="P204" s="666"/>
      <c r="Q204" s="666"/>
    </row>
    <row r="205" spans="1:17" s="663" customFormat="1">
      <c r="C205" s="666"/>
      <c r="D205" s="666"/>
      <c r="F205" s="665"/>
      <c r="G205" s="665"/>
      <c r="H205" s="665"/>
      <c r="I205" s="667"/>
      <c r="J205" s="665"/>
      <c r="K205" s="665"/>
      <c r="L205" s="665"/>
      <c r="M205" s="668"/>
      <c r="N205" s="664"/>
      <c r="O205" s="666"/>
      <c r="P205" s="666"/>
      <c r="Q205" s="666"/>
    </row>
    <row r="206" spans="1:17" s="663" customFormat="1">
      <c r="C206" s="666"/>
      <c r="D206" s="666"/>
      <c r="F206" s="665"/>
      <c r="G206" s="665"/>
      <c r="H206" s="665"/>
      <c r="I206" s="667"/>
      <c r="J206" s="665"/>
      <c r="K206" s="665"/>
      <c r="L206" s="665"/>
      <c r="M206" s="668"/>
      <c r="N206" s="664"/>
      <c r="O206" s="666"/>
      <c r="P206" s="666"/>
      <c r="Q206" s="666"/>
    </row>
    <row r="207" spans="1:17" s="663" customFormat="1">
      <c r="C207" s="666"/>
      <c r="D207" s="666"/>
      <c r="F207" s="665"/>
      <c r="G207" s="665"/>
      <c r="H207" s="665"/>
      <c r="I207" s="667"/>
      <c r="J207" s="665"/>
      <c r="K207" s="665"/>
      <c r="L207" s="665"/>
      <c r="M207" s="668"/>
      <c r="N207" s="664"/>
      <c r="O207" s="666"/>
      <c r="P207" s="666"/>
      <c r="Q207" s="666"/>
    </row>
    <row r="208" spans="1:17" s="663" customFormat="1">
      <c r="C208" s="666"/>
      <c r="D208" s="666"/>
      <c r="F208" s="665"/>
      <c r="G208" s="665"/>
      <c r="H208" s="665"/>
      <c r="I208" s="667"/>
      <c r="J208" s="665"/>
      <c r="K208" s="665"/>
      <c r="L208" s="665"/>
      <c r="M208" s="668"/>
      <c r="N208" s="664"/>
      <c r="O208" s="666"/>
      <c r="P208" s="666"/>
      <c r="Q208" s="666"/>
    </row>
    <row r="209" spans="1:21" s="663" customFormat="1">
      <c r="C209" s="666"/>
      <c r="D209" s="666"/>
      <c r="F209" s="665"/>
      <c r="G209" s="665"/>
      <c r="H209" s="665"/>
      <c r="I209" s="667"/>
      <c r="J209" s="665"/>
      <c r="K209" s="665"/>
      <c r="L209" s="665"/>
      <c r="M209" s="668"/>
      <c r="N209" s="664"/>
      <c r="O209" s="666"/>
      <c r="P209" s="666"/>
      <c r="Q209" s="666"/>
    </row>
    <row r="210" spans="1:21" s="663" customFormat="1">
      <c r="C210" s="666"/>
      <c r="D210" s="666"/>
      <c r="F210" s="665"/>
      <c r="G210" s="665"/>
      <c r="H210" s="665"/>
      <c r="I210" s="667"/>
      <c r="J210" s="665"/>
      <c r="K210" s="665"/>
      <c r="L210" s="665"/>
      <c r="M210" s="668"/>
      <c r="N210" s="664"/>
      <c r="O210" s="666"/>
      <c r="P210" s="666"/>
      <c r="Q210" s="666"/>
    </row>
    <row r="211" spans="1:21" s="649" customFormat="1">
      <c r="A211" s="669"/>
      <c r="B211" s="669"/>
      <c r="C211" s="670"/>
      <c r="D211" s="670"/>
      <c r="E211" s="669"/>
      <c r="F211" s="671"/>
      <c r="G211" s="671"/>
      <c r="H211" s="671"/>
      <c r="I211" s="672"/>
      <c r="J211" s="671"/>
      <c r="K211" s="671"/>
      <c r="L211" s="671"/>
      <c r="M211" s="673"/>
      <c r="N211" s="674"/>
      <c r="O211" s="670"/>
      <c r="P211" s="670"/>
      <c r="Q211" s="670"/>
      <c r="R211" s="669"/>
      <c r="S211" s="669"/>
      <c r="T211" s="669"/>
      <c r="U211" s="669"/>
    </row>
    <row r="212" spans="1:21" s="649" customFormat="1">
      <c r="A212" s="669"/>
      <c r="B212" s="669"/>
      <c r="C212" s="670"/>
      <c r="D212" s="670"/>
      <c r="E212" s="669"/>
      <c r="F212" s="671"/>
      <c r="G212" s="671"/>
      <c r="H212" s="671"/>
      <c r="I212" s="672"/>
      <c r="J212" s="671"/>
      <c r="K212" s="671"/>
      <c r="L212" s="671"/>
      <c r="M212" s="673"/>
      <c r="N212" s="674"/>
      <c r="O212" s="670"/>
      <c r="P212" s="670"/>
      <c r="Q212" s="670"/>
      <c r="R212" s="669"/>
      <c r="S212" s="669"/>
      <c r="T212" s="669"/>
      <c r="U212" s="669"/>
    </row>
    <row r="213" spans="1:21" s="649" customFormat="1">
      <c r="A213" s="669"/>
      <c r="B213" s="669"/>
      <c r="C213" s="670"/>
      <c r="D213" s="670"/>
      <c r="E213" s="669"/>
      <c r="F213" s="671"/>
      <c r="G213" s="671"/>
      <c r="H213" s="671"/>
      <c r="I213" s="672"/>
      <c r="J213" s="671"/>
      <c r="K213" s="671"/>
      <c r="L213" s="671"/>
      <c r="M213" s="673"/>
      <c r="N213" s="674"/>
      <c r="O213" s="670"/>
      <c r="P213" s="670"/>
      <c r="Q213" s="670"/>
      <c r="R213" s="669"/>
      <c r="S213" s="669"/>
      <c r="T213" s="669"/>
      <c r="U213" s="669"/>
    </row>
    <row r="214" spans="1:21" s="649" customFormat="1">
      <c r="A214" s="669"/>
      <c r="B214" s="669"/>
      <c r="C214" s="670"/>
      <c r="D214" s="670"/>
      <c r="E214" s="669"/>
      <c r="F214" s="671"/>
      <c r="G214" s="671"/>
      <c r="H214" s="671"/>
      <c r="I214" s="672"/>
      <c r="J214" s="671"/>
      <c r="K214" s="671"/>
      <c r="L214" s="671"/>
      <c r="M214" s="673"/>
      <c r="N214" s="674"/>
      <c r="O214" s="670"/>
      <c r="P214" s="670"/>
      <c r="Q214" s="670"/>
      <c r="R214" s="669"/>
      <c r="S214" s="669"/>
      <c r="T214" s="669"/>
      <c r="U214" s="669"/>
    </row>
    <row r="215" spans="1:21" s="649" customFormat="1">
      <c r="A215" s="669"/>
      <c r="B215" s="669"/>
      <c r="C215" s="670"/>
      <c r="D215" s="670"/>
      <c r="E215" s="669"/>
      <c r="F215" s="671"/>
      <c r="G215" s="671"/>
      <c r="H215" s="671"/>
      <c r="I215" s="672"/>
      <c r="J215" s="671"/>
      <c r="K215" s="671"/>
      <c r="L215" s="671"/>
      <c r="M215" s="673"/>
      <c r="N215" s="674"/>
      <c r="O215" s="670"/>
      <c r="P215" s="670"/>
      <c r="Q215" s="670"/>
      <c r="R215" s="669"/>
      <c r="S215" s="669"/>
      <c r="T215" s="669"/>
      <c r="U215" s="669"/>
    </row>
    <row r="216" spans="1:21" s="649" customFormat="1">
      <c r="A216" s="669"/>
      <c r="B216" s="669"/>
      <c r="C216" s="670"/>
      <c r="D216" s="670"/>
      <c r="E216" s="669"/>
      <c r="F216" s="671"/>
      <c r="G216" s="671"/>
      <c r="H216" s="671"/>
      <c r="I216" s="672"/>
      <c r="J216" s="671"/>
      <c r="K216" s="671"/>
      <c r="L216" s="671"/>
      <c r="M216" s="673"/>
      <c r="N216" s="674"/>
      <c r="O216" s="670"/>
      <c r="P216" s="670"/>
      <c r="Q216" s="670"/>
      <c r="R216" s="669"/>
      <c r="S216" s="669"/>
      <c r="T216" s="669"/>
      <c r="U216" s="669"/>
    </row>
    <row r="217" spans="1:21" s="649" customFormat="1">
      <c r="A217" s="669"/>
      <c r="B217" s="669"/>
      <c r="C217" s="670"/>
      <c r="D217" s="670"/>
      <c r="E217" s="669"/>
      <c r="F217" s="671"/>
      <c r="G217" s="671"/>
      <c r="H217" s="671"/>
      <c r="I217" s="672"/>
      <c r="J217" s="671"/>
      <c r="K217" s="671"/>
      <c r="L217" s="671"/>
      <c r="M217" s="673"/>
      <c r="N217" s="674"/>
      <c r="O217" s="670"/>
      <c r="P217" s="670"/>
      <c r="Q217" s="670"/>
      <c r="R217" s="669"/>
      <c r="S217" s="669"/>
      <c r="T217" s="669"/>
      <c r="U217" s="669"/>
    </row>
    <row r="218" spans="1:21" s="649" customFormat="1">
      <c r="A218" s="669"/>
      <c r="B218" s="669"/>
      <c r="C218" s="670"/>
      <c r="D218" s="670"/>
      <c r="E218" s="669"/>
      <c r="F218" s="671"/>
      <c r="G218" s="671"/>
      <c r="H218" s="671"/>
      <c r="I218" s="672"/>
      <c r="J218" s="671"/>
      <c r="K218" s="671"/>
      <c r="L218" s="671"/>
      <c r="M218" s="673"/>
      <c r="N218" s="674"/>
      <c r="O218" s="670"/>
      <c r="P218" s="670"/>
      <c r="Q218" s="670"/>
      <c r="R218" s="669"/>
      <c r="S218" s="669"/>
      <c r="T218" s="669"/>
      <c r="U218" s="669"/>
    </row>
    <row r="219" spans="1:21" s="649" customFormat="1">
      <c r="A219" s="669"/>
      <c r="B219" s="669"/>
      <c r="C219" s="670"/>
      <c r="D219" s="670"/>
      <c r="E219" s="669"/>
      <c r="F219" s="671"/>
      <c r="G219" s="671"/>
      <c r="H219" s="671"/>
      <c r="I219" s="672"/>
      <c r="J219" s="671"/>
      <c r="K219" s="671"/>
      <c r="L219" s="671"/>
      <c r="M219" s="673"/>
      <c r="N219" s="674"/>
      <c r="O219" s="670"/>
      <c r="P219" s="670"/>
      <c r="Q219" s="670"/>
      <c r="R219" s="669"/>
      <c r="S219" s="669"/>
      <c r="T219" s="669"/>
      <c r="U219" s="669"/>
    </row>
    <row r="220" spans="1:21" s="649" customFormat="1">
      <c r="A220" s="669"/>
      <c r="B220" s="669"/>
      <c r="C220" s="670"/>
      <c r="D220" s="670"/>
      <c r="E220" s="669"/>
      <c r="F220" s="671"/>
      <c r="G220" s="671"/>
      <c r="H220" s="671"/>
      <c r="I220" s="672"/>
      <c r="J220" s="671"/>
      <c r="K220" s="671"/>
      <c r="L220" s="671"/>
      <c r="M220" s="673"/>
      <c r="N220" s="674"/>
      <c r="O220" s="670"/>
      <c r="P220" s="670"/>
      <c r="Q220" s="670"/>
      <c r="R220" s="669"/>
      <c r="S220" s="669"/>
      <c r="T220" s="669"/>
      <c r="U220" s="669"/>
    </row>
    <row r="221" spans="1:21" s="649" customFormat="1">
      <c r="C221" s="657"/>
      <c r="D221" s="657"/>
      <c r="F221" s="658"/>
      <c r="G221" s="658"/>
      <c r="H221" s="658"/>
      <c r="I221" s="659"/>
      <c r="J221" s="658"/>
      <c r="K221" s="658"/>
      <c r="L221" s="658"/>
      <c r="M221" s="660"/>
      <c r="N221" s="661"/>
      <c r="O221" s="657"/>
      <c r="P221" s="657"/>
      <c r="Q221" s="657"/>
    </row>
    <row r="222" spans="1:21" s="649" customFormat="1">
      <c r="C222" s="657"/>
      <c r="D222" s="657"/>
      <c r="F222" s="658"/>
      <c r="G222" s="658"/>
      <c r="H222" s="658"/>
      <c r="I222" s="659"/>
      <c r="J222" s="658"/>
      <c r="K222" s="658"/>
      <c r="L222" s="658"/>
      <c r="M222" s="660"/>
      <c r="N222" s="661"/>
      <c r="O222" s="657"/>
      <c r="P222" s="657"/>
      <c r="Q222" s="657"/>
    </row>
    <row r="223" spans="1:21" s="649" customFormat="1">
      <c r="C223" s="657"/>
      <c r="D223" s="657"/>
      <c r="F223" s="658"/>
      <c r="G223" s="658"/>
      <c r="H223" s="658"/>
      <c r="I223" s="659"/>
      <c r="J223" s="658"/>
      <c r="K223" s="658"/>
      <c r="L223" s="658"/>
      <c r="M223" s="660"/>
      <c r="N223" s="661"/>
      <c r="O223" s="657"/>
      <c r="P223" s="657"/>
      <c r="Q223" s="657"/>
    </row>
    <row r="224" spans="1:21" s="649" customFormat="1">
      <c r="C224" s="657"/>
      <c r="D224" s="657"/>
      <c r="F224" s="658"/>
      <c r="G224" s="658"/>
      <c r="H224" s="658"/>
      <c r="I224" s="659"/>
      <c r="J224" s="658"/>
      <c r="K224" s="658"/>
      <c r="L224" s="658"/>
      <c r="M224" s="660"/>
      <c r="N224" s="661"/>
      <c r="O224" s="657"/>
      <c r="P224" s="657"/>
      <c r="Q224" s="657"/>
    </row>
    <row r="225" spans="3:17" s="649" customFormat="1">
      <c r="C225" s="657"/>
      <c r="D225" s="657"/>
      <c r="F225" s="658"/>
      <c r="G225" s="658"/>
      <c r="H225" s="658"/>
      <c r="I225" s="659"/>
      <c r="J225" s="658"/>
      <c r="K225" s="658"/>
      <c r="L225" s="658"/>
      <c r="M225" s="660"/>
      <c r="N225" s="661"/>
      <c r="O225" s="657"/>
      <c r="P225" s="657"/>
      <c r="Q225" s="657"/>
    </row>
    <row r="226" spans="3:17" s="649" customFormat="1">
      <c r="C226" s="657"/>
      <c r="D226" s="657"/>
      <c r="F226" s="658"/>
      <c r="G226" s="658"/>
      <c r="H226" s="658"/>
      <c r="I226" s="659"/>
      <c r="J226" s="658"/>
      <c r="K226" s="658"/>
      <c r="L226" s="658"/>
      <c r="M226" s="660"/>
      <c r="N226" s="661"/>
      <c r="O226" s="657"/>
      <c r="P226" s="657"/>
      <c r="Q226" s="657"/>
    </row>
    <row r="227" spans="3:17" s="649" customFormat="1">
      <c r="C227" s="657"/>
      <c r="D227" s="657"/>
      <c r="F227" s="658"/>
      <c r="G227" s="658"/>
      <c r="H227" s="658"/>
      <c r="I227" s="659"/>
      <c r="J227" s="658"/>
      <c r="K227" s="658"/>
      <c r="L227" s="658"/>
      <c r="M227" s="660"/>
      <c r="N227" s="661"/>
      <c r="O227" s="657"/>
      <c r="P227" s="657"/>
      <c r="Q227" s="657"/>
    </row>
    <row r="228" spans="3:17" s="649" customFormat="1">
      <c r="C228" s="657"/>
      <c r="D228" s="657"/>
      <c r="F228" s="658"/>
      <c r="G228" s="658"/>
      <c r="H228" s="658"/>
      <c r="I228" s="659"/>
      <c r="J228" s="658"/>
      <c r="K228" s="658"/>
      <c r="L228" s="658"/>
      <c r="M228" s="660"/>
      <c r="N228" s="661"/>
      <c r="O228" s="657"/>
      <c r="P228" s="657"/>
      <c r="Q228" s="657"/>
    </row>
    <row r="229" spans="3:17" s="649" customFormat="1">
      <c r="C229" s="657"/>
      <c r="D229" s="657"/>
      <c r="F229" s="658"/>
      <c r="G229" s="658"/>
      <c r="H229" s="658"/>
      <c r="I229" s="659"/>
      <c r="J229" s="658"/>
      <c r="K229" s="658"/>
      <c r="L229" s="658"/>
      <c r="M229" s="660"/>
      <c r="N229" s="661"/>
      <c r="O229" s="657"/>
      <c r="P229" s="657"/>
      <c r="Q229" s="657"/>
    </row>
    <row r="230" spans="3:17" s="649" customFormat="1">
      <c r="C230" s="657"/>
      <c r="D230" s="657"/>
      <c r="F230" s="658"/>
      <c r="G230" s="658"/>
      <c r="H230" s="658"/>
      <c r="I230" s="659"/>
      <c r="J230" s="658"/>
      <c r="K230" s="658"/>
      <c r="L230" s="658"/>
      <c r="M230" s="660"/>
      <c r="N230" s="661"/>
      <c r="O230" s="657"/>
      <c r="P230" s="657"/>
      <c r="Q230" s="657"/>
    </row>
    <row r="231" spans="3:17" s="649" customFormat="1">
      <c r="C231" s="657"/>
      <c r="D231" s="657"/>
      <c r="F231" s="658"/>
      <c r="G231" s="658"/>
      <c r="H231" s="658"/>
      <c r="I231" s="659"/>
      <c r="J231" s="658"/>
      <c r="K231" s="658"/>
      <c r="L231" s="658"/>
      <c r="M231" s="660"/>
      <c r="N231" s="661"/>
      <c r="O231" s="657"/>
      <c r="P231" s="657"/>
      <c r="Q231" s="657"/>
    </row>
    <row r="232" spans="3:17" s="649" customFormat="1">
      <c r="C232" s="657"/>
      <c r="D232" s="657"/>
      <c r="F232" s="658"/>
      <c r="G232" s="658"/>
      <c r="H232" s="658"/>
      <c r="I232" s="659"/>
      <c r="J232" s="658"/>
      <c r="K232" s="658"/>
      <c r="L232" s="658"/>
      <c r="M232" s="660"/>
      <c r="N232" s="661"/>
      <c r="O232" s="657"/>
      <c r="P232" s="657"/>
      <c r="Q232" s="657"/>
    </row>
  </sheetData>
  <sortState ref="A119:N196">
    <sortCondition descending="1" ref="N119"/>
  </sortState>
  <mergeCells count="7">
    <mergeCell ref="S45:AE45"/>
    <mergeCell ref="A4:C4"/>
    <mergeCell ref="S21:AG21"/>
    <mergeCell ref="S23:AE23"/>
    <mergeCell ref="S26:AE26"/>
    <mergeCell ref="S31:AE31"/>
    <mergeCell ref="S37:AE37"/>
  </mergeCells>
  <conditionalFormatting sqref="A115:A116">
    <cfRule type="expression" dxfId="8" priority="27" stopIfTrue="1">
      <formula>AND(COUNTIF($A$115:$A$116, A115)&gt;1,NOT(ISBLANK(A115)))</formula>
    </cfRule>
  </conditionalFormatting>
  <conditionalFormatting sqref="A23:A33 A35:A94">
    <cfRule type="expression" dxfId="7" priority="25" stopIfTrue="1">
      <formula>AND(COUNTIF($A$23:$A$33, A23)+COUNTIF($A$35:$A$94, A23)&gt;1,NOT(ISBLANK(A23)))</formula>
    </cfRule>
  </conditionalFormatting>
  <conditionalFormatting sqref="A23:A99">
    <cfRule type="expression" dxfId="6" priority="26" stopIfTrue="1">
      <formula>AND(COUNTIF($A$23:$A$99, A23)&gt;1,NOT(ISBLANK(A23)))</formula>
    </cfRule>
  </conditionalFormatting>
  <conditionalFormatting sqref="A118">
    <cfRule type="expression" dxfId="5" priority="17" stopIfTrue="1">
      <formula>AND(COUNTIF($A$23:$A$33, A118)+COUNTIF($A$35:$A$94, A118)&gt;1,NOT(ISBLANK(A118)))</formula>
    </cfRule>
  </conditionalFormatting>
  <conditionalFormatting sqref="A118">
    <cfRule type="expression" dxfId="4" priority="18" stopIfTrue="1">
      <formula>AND(COUNTIF($A$23:$A$99, A118)&gt;1,NOT(ISBLANK(A118)))</formula>
    </cfRule>
  </conditionalFormatting>
  <conditionalFormatting sqref="A120:A130 A132:A191">
    <cfRule type="expression" dxfId="3" priority="3" stopIfTrue="1">
      <formula>AND(COUNTIF($A$23:$A$33, A120)+COUNTIF($A$35:$A$94, A120)&gt;1,NOT(ISBLANK(A120)))</formula>
    </cfRule>
  </conditionalFormatting>
  <conditionalFormatting sqref="A120:A196">
    <cfRule type="expression" dxfId="2" priority="4" stopIfTrue="1">
      <formula>AND(COUNTIF($A$23:$A$99, A120)&gt;1,NOT(ISBLANK(A120)))</formula>
    </cfRule>
  </conditionalFormatting>
  <conditionalFormatting sqref="A106:A114">
    <cfRule type="expression" dxfId="1" priority="1" stopIfTrue="1">
      <formula>AND(COUNTIF($A$23:$A$33, A106)+COUNTIF($A$35:$A$94, A106)&gt;1,NOT(ISBLANK(A106)))</formula>
    </cfRule>
  </conditionalFormatting>
  <conditionalFormatting sqref="A106:A114">
    <cfRule type="expression" dxfId="0" priority="2" stopIfTrue="1">
      <formula>AND(COUNTIF($A$23:$A$99, A106)&gt;1,NOT(ISBLANK(A106)))</formula>
    </cfRule>
  </conditionalFormatting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100:M100 T39:Y39 B100:F100" formulaRange="1"/>
    <ignoredError sqref="O100 AF47:AG47 AF39:AG39 AF33:AG33 AF27" formula="1"/>
    <ignoredError sqref="AD39:AE39" formula="1" formulaRange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K1" sqref="K1"/>
    </sheetView>
  </sheetViews>
  <sheetFormatPr defaultRowHeight="15"/>
  <cols>
    <col min="1" max="16384" width="9.140625" style="585"/>
  </cols>
  <sheetData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5362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85725</xdr:rowOff>
              </from>
              <to>
                <xdr:col>10</xdr:col>
                <xdr:colOff>180975</xdr:colOff>
                <xdr:row>38</xdr:row>
                <xdr:rowOff>114300</xdr:rowOff>
              </to>
            </anchor>
          </objectPr>
        </oleObject>
      </mc:Choice>
      <mc:Fallback>
        <oleObject progId="Word.Document.12" shapeId="15362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/>
  </sheetViews>
  <sheetFormatPr defaultRowHeight="15"/>
  <cols>
    <col min="1" max="1" width="9.140625" style="649" customWidth="1"/>
    <col min="2" max="2" width="12.28515625" style="649" customWidth="1"/>
    <col min="3" max="3" width="10.7109375" style="649" customWidth="1"/>
    <col min="4" max="4" width="11.7109375" style="649" customWidth="1"/>
    <col min="5" max="16384" width="9.140625" style="649"/>
  </cols>
  <sheetData>
    <row r="1" spans="1:3" ht="15.75" thickBot="1">
      <c r="A1" s="901" t="s">
        <v>2</v>
      </c>
      <c r="B1" s="901" t="s">
        <v>3</v>
      </c>
      <c r="C1" s="901" t="s">
        <v>4</v>
      </c>
    </row>
    <row r="2" spans="1:3" ht="15.75" thickBot="1">
      <c r="A2" s="902">
        <v>44927</v>
      </c>
      <c r="B2" s="903">
        <v>28</v>
      </c>
      <c r="C2" s="904">
        <v>0</v>
      </c>
    </row>
    <row r="3" spans="1:3" ht="15.75" thickBot="1">
      <c r="A3" s="902">
        <v>44958</v>
      </c>
      <c r="B3" s="903">
        <v>38</v>
      </c>
      <c r="C3" s="905">
        <v>0.35709999999999997</v>
      </c>
    </row>
    <row r="4" spans="1:3" ht="15.75" thickBot="1">
      <c r="A4" s="902">
        <v>44986</v>
      </c>
      <c r="B4" s="903">
        <v>17</v>
      </c>
      <c r="C4" s="904">
        <f t="shared" ref="C4:C13" si="0">((B4-B3)/B3)*100</f>
        <v>-55.26315789473685</v>
      </c>
    </row>
    <row r="5" spans="1:3" ht="15.75" thickBot="1">
      <c r="A5" s="902">
        <v>45017</v>
      </c>
      <c r="B5" s="903">
        <v>16</v>
      </c>
      <c r="C5" s="904">
        <f t="shared" si="0"/>
        <v>-5.8823529411764701</v>
      </c>
    </row>
    <row r="6" spans="1:3" ht="15.75" thickBot="1">
      <c r="A6" s="902">
        <v>45047</v>
      </c>
      <c r="B6" s="903">
        <v>17</v>
      </c>
      <c r="C6" s="904">
        <f t="shared" si="0"/>
        <v>6.25</v>
      </c>
    </row>
    <row r="7" spans="1:3" ht="15.75" thickBot="1">
      <c r="A7" s="902">
        <v>45078</v>
      </c>
      <c r="B7" s="906">
        <v>24</v>
      </c>
      <c r="C7" s="904">
        <f t="shared" si="0"/>
        <v>41.17647058823529</v>
      </c>
    </row>
    <row r="8" spans="1:3" ht="15.75" thickBot="1">
      <c r="A8" s="902">
        <v>45108</v>
      </c>
      <c r="B8" s="906">
        <v>25</v>
      </c>
      <c r="C8" s="904">
        <f t="shared" si="0"/>
        <v>4.1666666666666661</v>
      </c>
    </row>
    <row r="9" spans="1:3" ht="15.75" thickBot="1">
      <c r="A9" s="902">
        <v>45139</v>
      </c>
      <c r="B9" s="906">
        <v>23</v>
      </c>
      <c r="C9" s="904">
        <f t="shared" si="0"/>
        <v>-8</v>
      </c>
    </row>
    <row r="10" spans="1:3" ht="15.75" thickBot="1">
      <c r="A10" s="902">
        <v>45170</v>
      </c>
      <c r="B10" s="906">
        <v>19</v>
      </c>
      <c r="C10" s="904">
        <f t="shared" si="0"/>
        <v>-17.391304347826086</v>
      </c>
    </row>
    <row r="11" spans="1:3" ht="15.75" thickBot="1">
      <c r="A11" s="902">
        <v>45200</v>
      </c>
      <c r="B11" s="906">
        <v>14</v>
      </c>
      <c r="C11" s="904">
        <f t="shared" si="0"/>
        <v>-26.315789473684209</v>
      </c>
    </row>
    <row r="12" spans="1:3" ht="15.75" thickBot="1">
      <c r="A12" s="902">
        <v>45231</v>
      </c>
      <c r="B12" s="906">
        <v>14</v>
      </c>
      <c r="C12" s="904">
        <f t="shared" si="0"/>
        <v>0</v>
      </c>
    </row>
    <row r="13" spans="1:3" ht="15.75" thickBot="1">
      <c r="A13" s="902">
        <v>45261</v>
      </c>
      <c r="B13" s="906">
        <v>27</v>
      </c>
      <c r="C13" s="904">
        <f t="shared" si="0"/>
        <v>92.857142857142861</v>
      </c>
    </row>
    <row r="14" spans="1:3" ht="15.75" thickBot="1">
      <c r="A14" s="907" t="s">
        <v>5</v>
      </c>
      <c r="B14" s="907">
        <f>SUM(B2:B13)</f>
        <v>262</v>
      </c>
      <c r="C14" s="908"/>
    </row>
    <row r="17" spans="1:5">
      <c r="A17" s="650" t="s">
        <v>424</v>
      </c>
      <c r="B17" s="651">
        <v>28</v>
      </c>
      <c r="C17" s="580"/>
      <c r="D17" s="580" t="s">
        <v>431</v>
      </c>
      <c r="E17" s="580">
        <v>9</v>
      </c>
    </row>
    <row r="18" spans="1:5">
      <c r="A18" s="650" t="s">
        <v>425</v>
      </c>
      <c r="B18" s="651">
        <v>38</v>
      </c>
      <c r="C18" s="580"/>
      <c r="D18" s="580" t="s">
        <v>443</v>
      </c>
      <c r="E18" s="580">
        <v>8</v>
      </c>
    </row>
    <row r="19" spans="1:5">
      <c r="A19" s="650" t="s">
        <v>426</v>
      </c>
      <c r="B19" s="651">
        <v>17</v>
      </c>
      <c r="C19" s="580"/>
      <c r="D19" s="580" t="s">
        <v>430</v>
      </c>
      <c r="E19" s="580">
        <v>245</v>
      </c>
    </row>
    <row r="20" spans="1:5">
      <c r="A20" s="650" t="s">
        <v>427</v>
      </c>
      <c r="B20" s="651">
        <v>16</v>
      </c>
      <c r="C20" s="580"/>
      <c r="D20" s="580" t="s">
        <v>432</v>
      </c>
      <c r="E20" s="580">
        <f>SUM(E17:E19)</f>
        <v>262</v>
      </c>
    </row>
    <row r="21" spans="1:5">
      <c r="A21" s="650" t="s">
        <v>428</v>
      </c>
      <c r="B21" s="651">
        <v>17</v>
      </c>
      <c r="C21" s="580"/>
      <c r="D21" s="580"/>
      <c r="E21" s="580"/>
    </row>
    <row r="22" spans="1:5">
      <c r="A22" s="650" t="s">
        <v>429</v>
      </c>
      <c r="B22" s="652">
        <v>24</v>
      </c>
      <c r="C22" s="580"/>
      <c r="D22" s="580"/>
      <c r="E22" s="580"/>
    </row>
    <row r="23" spans="1:5">
      <c r="A23" s="653" t="s">
        <v>433</v>
      </c>
      <c r="B23" s="654">
        <v>25</v>
      </c>
      <c r="C23" s="580"/>
      <c r="D23" s="580"/>
      <c r="E23" s="580"/>
    </row>
    <row r="24" spans="1:5">
      <c r="A24" s="653" t="s">
        <v>444</v>
      </c>
      <c r="B24" s="654">
        <v>23</v>
      </c>
      <c r="C24" s="580"/>
      <c r="D24" s="580"/>
      <c r="E24" s="580"/>
    </row>
    <row r="25" spans="1:5">
      <c r="A25" s="653" t="s">
        <v>458</v>
      </c>
      <c r="B25" s="731">
        <v>19</v>
      </c>
      <c r="C25" s="580"/>
      <c r="D25" s="580"/>
      <c r="E25" s="580"/>
    </row>
    <row r="26" spans="1:5">
      <c r="A26" s="653" t="s">
        <v>477</v>
      </c>
      <c r="B26" s="654">
        <v>14</v>
      </c>
      <c r="C26" s="580"/>
      <c r="D26" s="580"/>
      <c r="E26" s="580"/>
    </row>
    <row r="27" spans="1:5">
      <c r="A27" s="653" t="s">
        <v>488</v>
      </c>
      <c r="B27" s="654">
        <v>14</v>
      </c>
      <c r="C27" s="580"/>
      <c r="D27" s="580"/>
      <c r="E27" s="580"/>
    </row>
    <row r="28" spans="1:5">
      <c r="A28" s="600" t="s">
        <v>499</v>
      </c>
      <c r="B28" s="909">
        <v>27</v>
      </c>
      <c r="C28" s="580"/>
      <c r="D28" s="580"/>
      <c r="E28" s="580"/>
    </row>
    <row r="29" spans="1:5">
      <c r="A29" s="655" t="s">
        <v>23</v>
      </c>
      <c r="B29" s="655">
        <f>SUM(B17:B28)</f>
        <v>262</v>
      </c>
      <c r="C29" s="580"/>
      <c r="D29" s="580"/>
      <c r="E29" s="58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C1" workbookViewId="0"/>
  </sheetViews>
  <sheetFormatPr defaultRowHeight="15"/>
  <cols>
    <col min="1" max="1" width="55.7109375" hidden="1" customWidth="1"/>
    <col min="2" max="2" width="19.85546875" hidden="1" customWidth="1"/>
    <col min="3" max="3" width="9.140625" customWidth="1"/>
  </cols>
  <sheetData>
    <row r="1" spans="1:2">
      <c r="A1" s="110" t="s">
        <v>0</v>
      </c>
    </row>
    <row r="2" spans="1:2">
      <c r="A2" s="1" t="s">
        <v>1</v>
      </c>
    </row>
    <row r="3" spans="1:2">
      <c r="A3" s="108"/>
    </row>
    <row r="4" spans="1:2">
      <c r="A4" s="541" t="s">
        <v>414</v>
      </c>
      <c r="B4" s="542" t="s">
        <v>415</v>
      </c>
    </row>
    <row r="5" spans="1:2" ht="15.75" thickBot="1">
      <c r="A5" s="543" t="s">
        <v>416</v>
      </c>
      <c r="B5" s="544">
        <v>135</v>
      </c>
    </row>
    <row r="6" spans="1:2" ht="45">
      <c r="A6" s="543" t="s">
        <v>417</v>
      </c>
      <c r="B6" s="544">
        <v>58</v>
      </c>
    </row>
    <row r="7" spans="1:2" ht="45">
      <c r="A7" s="545" t="s">
        <v>418</v>
      </c>
      <c r="B7" s="544">
        <v>281</v>
      </c>
    </row>
    <row r="8" spans="1:2" ht="15.75" thickBot="1">
      <c r="A8" s="543" t="s">
        <v>419</v>
      </c>
      <c r="B8" s="544">
        <v>106</v>
      </c>
    </row>
    <row r="9" spans="1:2" ht="15.75" thickBot="1">
      <c r="A9" s="543" t="s">
        <v>420</v>
      </c>
      <c r="B9" s="544">
        <v>4</v>
      </c>
    </row>
    <row r="10" spans="1:2" ht="15.75" thickBot="1">
      <c r="A10" s="543" t="s">
        <v>421</v>
      </c>
      <c r="B10" s="544">
        <v>257</v>
      </c>
    </row>
    <row r="11" spans="1:2" ht="15.75" thickBot="1">
      <c r="A11" s="543" t="s">
        <v>422</v>
      </c>
      <c r="B11" s="544">
        <v>72</v>
      </c>
    </row>
    <row r="12" spans="1:2" ht="30">
      <c r="A12" s="546" t="s">
        <v>423</v>
      </c>
      <c r="B12" s="544">
        <v>42</v>
      </c>
    </row>
    <row r="13" spans="1:2">
      <c r="A13" s="547" t="s">
        <v>15</v>
      </c>
      <c r="B13" s="548">
        <f>SUM(B5:B12)</f>
        <v>955</v>
      </c>
    </row>
    <row r="16" spans="1:2">
      <c r="A16" s="108"/>
    </row>
    <row r="17" spans="1:1">
      <c r="A17" s="108"/>
    </row>
    <row r="18" spans="1:1">
      <c r="A18" s="108"/>
    </row>
    <row r="19" spans="1:1">
      <c r="A19" s="108"/>
    </row>
  </sheetData>
  <pageMargins left="0.511811024" right="0.511811024" top="0.78740157500000008" bottom="0.78740157500000008" header="0.31496062000000008" footer="0.3149606200000000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zoomScaleNormal="100" workbookViewId="0">
      <selection activeCell="N10" activeCellId="3" sqref="N5 N7 N8 N10"/>
    </sheetView>
  </sheetViews>
  <sheetFormatPr defaultRowHeight="15"/>
  <cols>
    <col min="1" max="1" width="66.5703125" customWidth="1"/>
    <col min="2" max="2" width="7.5703125" bestFit="1" customWidth="1"/>
    <col min="3" max="3" width="7.7109375" bestFit="1" customWidth="1"/>
    <col min="4" max="4" width="7.140625" bestFit="1" customWidth="1"/>
    <col min="5" max="5" width="7.140625" customWidth="1"/>
    <col min="6" max="6" width="7.85546875" style="2" bestFit="1" customWidth="1"/>
    <col min="7" max="10" width="7.85546875" customWidth="1"/>
    <col min="11" max="11" width="8" customWidth="1"/>
    <col min="12" max="13" width="7.85546875" customWidth="1"/>
    <col min="14" max="14" width="7.7109375" customWidth="1"/>
    <col min="15" max="15" width="7.140625" bestFit="1" customWidth="1"/>
    <col min="16" max="16" width="8" bestFit="1" customWidth="1"/>
    <col min="17" max="17" width="10.85546875" customWidth="1"/>
    <col min="18" max="20" width="9.140625" customWidth="1"/>
    <col min="21" max="21" width="22" bestFit="1" customWidth="1"/>
    <col min="22" max="22" width="11" bestFit="1" customWidth="1"/>
    <col min="23" max="23" width="6.85546875" bestFit="1" customWidth="1"/>
    <col min="24" max="24" width="9.140625" customWidth="1"/>
  </cols>
  <sheetData>
    <row r="1" spans="1:32">
      <c r="A1" s="1" t="s">
        <v>0</v>
      </c>
      <c r="B1" s="1"/>
      <c r="C1" s="1"/>
      <c r="R1" s="580"/>
      <c r="S1" s="580"/>
      <c r="T1" s="580"/>
      <c r="U1" s="580"/>
      <c r="V1" s="580"/>
      <c r="W1" s="580"/>
    </row>
    <row r="2" spans="1:32">
      <c r="A2" s="1" t="s">
        <v>1</v>
      </c>
      <c r="B2" s="1"/>
      <c r="C2" s="1"/>
      <c r="R2" s="580"/>
      <c r="S2" s="580"/>
      <c r="T2" s="580"/>
      <c r="U2" s="580"/>
      <c r="V2" s="580"/>
      <c r="W2" s="580"/>
    </row>
    <row r="3" spans="1:32" ht="15.75" thickBot="1">
      <c r="R3" s="580"/>
      <c r="S3" s="580"/>
      <c r="T3" s="580"/>
      <c r="U3" s="580"/>
      <c r="V3" s="580"/>
      <c r="W3" s="580"/>
    </row>
    <row r="4" spans="1:32" ht="50.25" customHeight="1" thickBot="1">
      <c r="A4" s="858" t="s">
        <v>16</v>
      </c>
      <c r="B4" s="860">
        <v>45261</v>
      </c>
      <c r="C4" s="96">
        <v>45231</v>
      </c>
      <c r="D4" s="61">
        <v>45200</v>
      </c>
      <c r="E4" s="24">
        <v>45170</v>
      </c>
      <c r="F4" s="24">
        <v>45139</v>
      </c>
      <c r="G4" s="24">
        <v>45108</v>
      </c>
      <c r="H4" s="24">
        <v>45078</v>
      </c>
      <c r="I4" s="25">
        <v>45047</v>
      </c>
      <c r="J4" s="23">
        <v>45017</v>
      </c>
      <c r="K4" s="23">
        <v>44986</v>
      </c>
      <c r="L4" s="23">
        <v>44958</v>
      </c>
      <c r="M4" s="61">
        <v>44927</v>
      </c>
      <c r="N4" s="24" t="s">
        <v>5</v>
      </c>
      <c r="O4" s="62" t="s">
        <v>6</v>
      </c>
      <c r="P4" s="62" t="s">
        <v>8</v>
      </c>
      <c r="Q4" s="63" t="s">
        <v>495</v>
      </c>
      <c r="R4" s="580"/>
      <c r="S4" s="580"/>
      <c r="T4" s="580"/>
      <c r="U4" s="580"/>
      <c r="V4" s="580"/>
      <c r="W4" s="580"/>
    </row>
    <row r="5" spans="1:32" ht="15.75" thickBot="1">
      <c r="A5" s="64" t="s">
        <v>17</v>
      </c>
      <c r="B5" s="859">
        <v>12</v>
      </c>
      <c r="C5" s="32">
        <v>10</v>
      </c>
      <c r="D5" s="32">
        <v>8</v>
      </c>
      <c r="E5" s="32">
        <v>12</v>
      </c>
      <c r="F5" s="32">
        <v>20</v>
      </c>
      <c r="G5" s="65">
        <v>10</v>
      </c>
      <c r="H5" s="65">
        <v>13</v>
      </c>
      <c r="I5" s="593">
        <v>8</v>
      </c>
      <c r="J5" s="188">
        <v>19</v>
      </c>
      <c r="K5" s="72">
        <v>9</v>
      </c>
      <c r="L5" s="188">
        <v>12</v>
      </c>
      <c r="M5" s="66">
        <v>5</v>
      </c>
      <c r="N5" s="67">
        <f t="shared" ref="N5:N10" si="0">SUM(B5:M5)</f>
        <v>138</v>
      </c>
      <c r="O5" s="68">
        <f t="shared" ref="O5:O11" si="1">AVERAGE(B5:M5)</f>
        <v>11.5</v>
      </c>
      <c r="P5" s="69">
        <f t="shared" ref="P5:P11" si="2">N5/N$11*100</f>
        <v>0.2302917028235765</v>
      </c>
      <c r="Q5" s="70">
        <f>(B5*100)/$B$11</f>
        <v>0.27560863573725308</v>
      </c>
      <c r="R5" s="580"/>
      <c r="S5" s="580"/>
      <c r="T5" s="580"/>
      <c r="U5" s="580"/>
      <c r="V5" s="580"/>
      <c r="W5" s="580"/>
    </row>
    <row r="6" spans="1:32" ht="15.75" thickBot="1">
      <c r="A6" s="71" t="s">
        <v>18</v>
      </c>
      <c r="B6" s="857">
        <v>1400</v>
      </c>
      <c r="C6" s="44">
        <v>1552</v>
      </c>
      <c r="D6" s="44">
        <v>1944</v>
      </c>
      <c r="E6" s="44">
        <v>1612</v>
      </c>
      <c r="F6" s="44">
        <v>1818</v>
      </c>
      <c r="G6" s="72">
        <v>1633</v>
      </c>
      <c r="H6" s="72">
        <v>1974</v>
      </c>
      <c r="I6" s="594">
        <v>1982</v>
      </c>
      <c r="J6" s="190">
        <v>1875</v>
      </c>
      <c r="K6" s="72">
        <v>1921</v>
      </c>
      <c r="L6" s="190">
        <v>1612</v>
      </c>
      <c r="M6" s="73">
        <v>1490</v>
      </c>
      <c r="N6" s="67">
        <f t="shared" si="0"/>
        <v>20813</v>
      </c>
      <c r="O6" s="68">
        <f t="shared" si="1"/>
        <v>1734.4166666666667</v>
      </c>
      <c r="P6" s="69">
        <f t="shared" si="2"/>
        <v>34.732327614978978</v>
      </c>
      <c r="Q6" s="70">
        <f t="shared" ref="Q6:Q11" si="3">(B6*100)/$B$11</f>
        <v>32.154340836012864</v>
      </c>
      <c r="R6" s="580"/>
      <c r="S6" s="580"/>
      <c r="T6" s="580"/>
      <c r="U6" s="580"/>
      <c r="V6" s="580"/>
      <c r="W6" s="580"/>
    </row>
    <row r="7" spans="1:32" ht="15.75" thickBot="1">
      <c r="A7" s="71" t="s">
        <v>19</v>
      </c>
      <c r="B7" s="857">
        <v>1012</v>
      </c>
      <c r="C7" s="44">
        <v>1192</v>
      </c>
      <c r="D7" s="44">
        <v>1131</v>
      </c>
      <c r="E7" s="44">
        <v>797</v>
      </c>
      <c r="F7" s="44">
        <v>812</v>
      </c>
      <c r="G7" s="72">
        <v>845</v>
      </c>
      <c r="H7" s="72">
        <v>815</v>
      </c>
      <c r="I7" s="594">
        <v>956</v>
      </c>
      <c r="J7" s="190">
        <v>778</v>
      </c>
      <c r="K7" s="72">
        <v>895</v>
      </c>
      <c r="L7" s="190">
        <v>799</v>
      </c>
      <c r="M7" s="73">
        <v>787</v>
      </c>
      <c r="N7" s="67">
        <f t="shared" si="0"/>
        <v>10819</v>
      </c>
      <c r="O7" s="68">
        <f t="shared" si="1"/>
        <v>901.58333333333337</v>
      </c>
      <c r="P7" s="69">
        <f t="shared" si="2"/>
        <v>18.054535745277349</v>
      </c>
      <c r="Q7" s="70">
        <f t="shared" si="3"/>
        <v>23.24299494717501</v>
      </c>
      <c r="R7" s="580"/>
      <c r="S7" s="580"/>
      <c r="T7" s="580"/>
      <c r="U7" s="580"/>
      <c r="V7" s="580"/>
      <c r="W7" s="580"/>
    </row>
    <row r="8" spans="1:32" ht="15.75" thickBot="1">
      <c r="A8" s="71" t="s">
        <v>20</v>
      </c>
      <c r="B8" s="857">
        <v>145</v>
      </c>
      <c r="C8" s="44">
        <v>71</v>
      </c>
      <c r="D8" s="44">
        <v>94</v>
      </c>
      <c r="E8" s="44">
        <v>46</v>
      </c>
      <c r="F8" s="44">
        <v>93</v>
      </c>
      <c r="G8" s="72">
        <v>134</v>
      </c>
      <c r="H8" s="72">
        <v>22</v>
      </c>
      <c r="I8" s="594">
        <v>32</v>
      </c>
      <c r="J8" s="190">
        <v>57</v>
      </c>
      <c r="K8" s="72">
        <v>28</v>
      </c>
      <c r="L8" s="190">
        <v>13</v>
      </c>
      <c r="M8" s="73">
        <v>11</v>
      </c>
      <c r="N8" s="67">
        <f t="shared" si="0"/>
        <v>746</v>
      </c>
      <c r="O8" s="68">
        <f t="shared" si="1"/>
        <v>62.166666666666664</v>
      </c>
      <c r="P8" s="69">
        <f t="shared" si="2"/>
        <v>1.2449102196115078</v>
      </c>
      <c r="Q8" s="70">
        <f t="shared" si="3"/>
        <v>3.3302710151584751</v>
      </c>
      <c r="R8" s="679"/>
      <c r="S8" s="580"/>
      <c r="T8" s="580"/>
      <c r="U8" s="580"/>
      <c r="V8" s="580"/>
      <c r="W8" s="580"/>
    </row>
    <row r="9" spans="1:32" ht="15.75" thickBot="1">
      <c r="A9" s="71" t="s">
        <v>21</v>
      </c>
      <c r="B9" s="857">
        <v>1625</v>
      </c>
      <c r="C9" s="44">
        <v>2266</v>
      </c>
      <c r="D9" s="44">
        <v>2112</v>
      </c>
      <c r="E9" s="44">
        <v>2225</v>
      </c>
      <c r="F9" s="44">
        <v>2210</v>
      </c>
      <c r="G9" s="72">
        <v>2137</v>
      </c>
      <c r="H9" s="72">
        <v>2023</v>
      </c>
      <c r="I9" s="594">
        <v>2437</v>
      </c>
      <c r="J9" s="190">
        <v>2001</v>
      </c>
      <c r="K9" s="72">
        <v>2696</v>
      </c>
      <c r="L9" s="190">
        <v>2195</v>
      </c>
      <c r="M9" s="73">
        <v>1997</v>
      </c>
      <c r="N9" s="67">
        <f t="shared" si="0"/>
        <v>25924</v>
      </c>
      <c r="O9" s="68">
        <f t="shared" si="1"/>
        <v>2160.3333333333335</v>
      </c>
      <c r="P9" s="69">
        <f t="shared" si="2"/>
        <v>43.261464521727518</v>
      </c>
      <c r="Q9" s="70">
        <f t="shared" si="3"/>
        <v>37.322002756086356</v>
      </c>
      <c r="R9" s="679"/>
      <c r="S9" s="580"/>
      <c r="T9" s="580"/>
      <c r="U9" s="580"/>
      <c r="V9" s="580"/>
      <c r="W9" s="580"/>
    </row>
    <row r="10" spans="1:32" ht="15.75" thickBot="1">
      <c r="A10" s="75" t="s">
        <v>22</v>
      </c>
      <c r="B10" s="857">
        <v>160</v>
      </c>
      <c r="C10" s="179">
        <v>156</v>
      </c>
      <c r="D10" s="179">
        <v>146</v>
      </c>
      <c r="E10" s="179">
        <v>127</v>
      </c>
      <c r="F10" s="179">
        <v>131</v>
      </c>
      <c r="G10" s="76">
        <v>138</v>
      </c>
      <c r="H10" s="76">
        <v>74</v>
      </c>
      <c r="I10" s="595">
        <v>112</v>
      </c>
      <c r="J10" s="190">
        <v>86</v>
      </c>
      <c r="K10" s="72">
        <v>132</v>
      </c>
      <c r="L10" s="191">
        <v>116</v>
      </c>
      <c r="M10" s="77">
        <v>106</v>
      </c>
      <c r="N10" s="67">
        <f t="shared" si="0"/>
        <v>1484</v>
      </c>
      <c r="O10" s="68">
        <f t="shared" si="1"/>
        <v>123.66666666666667</v>
      </c>
      <c r="P10" s="69">
        <f t="shared" si="2"/>
        <v>2.4764701955810695</v>
      </c>
      <c r="Q10" s="810">
        <f t="shared" si="3"/>
        <v>3.6747818098300415</v>
      </c>
      <c r="R10" s="679"/>
      <c r="S10" s="680"/>
      <c r="T10" s="580"/>
      <c r="U10" s="580"/>
      <c r="V10" s="580"/>
      <c r="W10" s="580"/>
    </row>
    <row r="11" spans="1:32" ht="16.5" thickBot="1">
      <c r="A11" s="78" t="s">
        <v>23</v>
      </c>
      <c r="B11" s="79">
        <f t="shared" ref="B11:N11" si="4">SUM(B5:B10)</f>
        <v>4354</v>
      </c>
      <c r="C11" s="79">
        <f t="shared" si="4"/>
        <v>5247</v>
      </c>
      <c r="D11" s="79">
        <f t="shared" si="4"/>
        <v>5435</v>
      </c>
      <c r="E11" s="79">
        <f t="shared" si="4"/>
        <v>4819</v>
      </c>
      <c r="F11" s="79">
        <f t="shared" si="4"/>
        <v>5084</v>
      </c>
      <c r="G11" s="79">
        <f t="shared" si="4"/>
        <v>4897</v>
      </c>
      <c r="H11" s="79">
        <f t="shared" si="4"/>
        <v>4921</v>
      </c>
      <c r="I11" s="79">
        <f t="shared" si="4"/>
        <v>5527</v>
      </c>
      <c r="J11" s="79">
        <f t="shared" si="4"/>
        <v>4816</v>
      </c>
      <c r="K11" s="79">
        <f t="shared" si="4"/>
        <v>5681</v>
      </c>
      <c r="L11" s="79">
        <f t="shared" si="4"/>
        <v>4747</v>
      </c>
      <c r="M11" s="80">
        <f t="shared" si="4"/>
        <v>4396</v>
      </c>
      <c r="N11" s="79">
        <f t="shared" si="4"/>
        <v>59924</v>
      </c>
      <c r="O11" s="81">
        <f t="shared" si="1"/>
        <v>4993.666666666667</v>
      </c>
      <c r="P11" s="549">
        <f t="shared" si="2"/>
        <v>100</v>
      </c>
      <c r="Q11" s="811">
        <f t="shared" si="3"/>
        <v>100</v>
      </c>
      <c r="R11" s="679"/>
      <c r="S11" s="681"/>
      <c r="T11" s="580"/>
      <c r="U11" s="580"/>
      <c r="V11" s="580"/>
      <c r="W11" s="580"/>
      <c r="AD11" s="83"/>
      <c r="AE11" s="2"/>
      <c r="AF11" s="83"/>
    </row>
    <row r="12" spans="1:32">
      <c r="M12" s="84"/>
      <c r="N12" s="82"/>
      <c r="U12" s="83"/>
      <c r="V12" s="2"/>
      <c r="W12" s="83"/>
    </row>
    <row r="13" spans="1:32">
      <c r="A13" s="924"/>
      <c r="B13" s="924"/>
      <c r="C13" s="924"/>
      <c r="D13" s="924"/>
      <c r="E13" s="74"/>
      <c r="I13" s="82"/>
      <c r="J13" s="82"/>
      <c r="U13" s="83"/>
      <c r="V13" s="2"/>
      <c r="W13" s="83"/>
    </row>
    <row r="14" spans="1:32">
      <c r="A14" s="924"/>
      <c r="B14" s="924"/>
      <c r="C14" s="924"/>
      <c r="D14" s="924"/>
      <c r="I14" s="82"/>
      <c r="U14" s="83"/>
      <c r="V14" s="2"/>
      <c r="W14" s="83"/>
    </row>
    <row r="15" spans="1:32">
      <c r="A15" s="924"/>
      <c r="B15" s="924"/>
      <c r="C15" s="924"/>
      <c r="D15" s="924"/>
      <c r="U15" s="85"/>
      <c r="V15" s="2"/>
      <c r="W15" s="86"/>
    </row>
    <row r="20" spans="1:5">
      <c r="A20" s="1"/>
      <c r="B20" s="1"/>
      <c r="C20" s="1"/>
      <c r="D20" s="6"/>
    </row>
    <row r="21" spans="1:5">
      <c r="A21" s="83"/>
      <c r="B21" s="83"/>
      <c r="C21" s="83"/>
      <c r="D21" s="87"/>
    </row>
    <row r="22" spans="1:5">
      <c r="A22" s="83"/>
      <c r="B22" s="83"/>
      <c r="C22" s="83"/>
      <c r="D22" s="87"/>
    </row>
    <row r="23" spans="1:5">
      <c r="A23" s="83"/>
      <c r="B23" s="83"/>
      <c r="C23" s="83"/>
      <c r="D23" s="87"/>
    </row>
    <row r="24" spans="1:5">
      <c r="A24" s="83"/>
      <c r="B24" s="83"/>
      <c r="C24" s="83"/>
      <c r="D24" s="87"/>
    </row>
    <row r="25" spans="1:5">
      <c r="A25" s="85"/>
      <c r="B25" s="85"/>
      <c r="C25" s="85"/>
      <c r="D25" s="87"/>
    </row>
    <row r="26" spans="1:5">
      <c r="E26" s="82"/>
    </row>
  </sheetData>
  <mergeCells count="1">
    <mergeCell ref="A13:D1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1:M11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9"/>
  <sheetViews>
    <sheetView topLeftCell="A139" zoomScaleNormal="100" workbookViewId="0">
      <selection activeCell="B162" sqref="B162"/>
    </sheetView>
  </sheetViews>
  <sheetFormatPr defaultRowHeight="15"/>
  <cols>
    <col min="1" max="1" width="68" customWidth="1"/>
    <col min="2" max="2" width="7.5703125" style="89" bestFit="1" customWidth="1"/>
    <col min="3" max="3" width="7.7109375" style="89" bestFit="1" customWidth="1"/>
    <col min="4" max="4" width="7.140625" style="89" bestFit="1" customWidth="1"/>
    <col min="5" max="5" width="7" style="89" bestFit="1" customWidth="1"/>
    <col min="6" max="6" width="7.7109375" style="89" bestFit="1" customWidth="1"/>
    <col min="7" max="7" width="6.42578125" style="89" bestFit="1" customWidth="1"/>
    <col min="8" max="8" width="7.140625" style="89" bestFit="1" customWidth="1"/>
    <col min="9" max="9" width="7.42578125" style="89" bestFit="1" customWidth="1"/>
    <col min="10" max="10" width="7.28515625" style="89" bestFit="1" customWidth="1"/>
    <col min="11" max="11" width="7.7109375" style="89" bestFit="1" customWidth="1"/>
    <col min="12" max="12" width="7.28515625" style="89" bestFit="1" customWidth="1"/>
    <col min="13" max="14" width="7" style="89" bestFit="1" customWidth="1"/>
    <col min="15" max="15" width="8.85546875" style="89" customWidth="1"/>
    <col min="16" max="16" width="8.7109375" style="90" bestFit="1" customWidth="1"/>
    <col min="17" max="17" width="9.140625" customWidth="1"/>
  </cols>
  <sheetData>
    <row r="1" spans="1:16">
      <c r="A1" s="1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1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 ht="15.75" thickBot="1"/>
    <row r="4" spans="1:16" ht="15.75" thickBot="1">
      <c r="A4" s="802" t="s">
        <v>24</v>
      </c>
      <c r="B4" s="92">
        <v>45261</v>
      </c>
      <c r="C4" s="93">
        <v>45231</v>
      </c>
      <c r="D4" s="94">
        <v>45200</v>
      </c>
      <c r="E4" s="93">
        <v>45170</v>
      </c>
      <c r="F4" s="93">
        <v>45139</v>
      </c>
      <c r="G4" s="93">
        <v>45108</v>
      </c>
      <c r="H4" s="93">
        <v>45078</v>
      </c>
      <c r="I4" s="95">
        <v>45047</v>
      </c>
      <c r="J4" s="93">
        <v>45017</v>
      </c>
      <c r="K4" s="92">
        <v>44986</v>
      </c>
      <c r="L4" s="23">
        <v>44958</v>
      </c>
      <c r="M4" s="96">
        <v>44927</v>
      </c>
      <c r="N4" s="23" t="s">
        <v>5</v>
      </c>
      <c r="O4" s="97" t="s">
        <v>6</v>
      </c>
      <c r="P4" s="552" t="s">
        <v>25</v>
      </c>
    </row>
    <row r="5" spans="1:16" s="792" customFormat="1">
      <c r="A5" s="803" t="s">
        <v>26</v>
      </c>
      <c r="B5" s="833">
        <v>0</v>
      </c>
      <c r="C5" s="834">
        <v>0</v>
      </c>
      <c r="D5" s="835">
        <v>0</v>
      </c>
      <c r="E5" s="835">
        <v>0</v>
      </c>
      <c r="F5" s="835">
        <v>0</v>
      </c>
      <c r="G5" s="835">
        <v>3</v>
      </c>
      <c r="H5" s="835">
        <v>3</v>
      </c>
      <c r="I5" s="835">
        <v>0</v>
      </c>
      <c r="J5" s="835">
        <v>0</v>
      </c>
      <c r="K5" s="678">
        <v>0</v>
      </c>
      <c r="L5" s="834">
        <v>0</v>
      </c>
      <c r="M5" s="678">
        <v>1</v>
      </c>
      <c r="N5" s="836">
        <f t="shared" ref="N5:N39" si="0">SUM(B5:M5)</f>
        <v>7</v>
      </c>
      <c r="O5" s="837">
        <f t="shared" ref="O5:O39" si="1">AVERAGE(B5:M5)</f>
        <v>0.58333333333333337</v>
      </c>
      <c r="P5" s="838">
        <f t="shared" ref="P5:P36" si="2">(N5/$N$220)*100</f>
        <v>1.2115967113803548E-2</v>
      </c>
    </row>
    <row r="6" spans="1:16" s="792" customFormat="1">
      <c r="A6" s="804" t="s">
        <v>27</v>
      </c>
      <c r="B6" s="791">
        <v>0</v>
      </c>
      <c r="C6" s="678">
        <v>0</v>
      </c>
      <c r="D6" s="734">
        <v>0</v>
      </c>
      <c r="E6" s="734">
        <v>0</v>
      </c>
      <c r="F6" s="734">
        <v>1</v>
      </c>
      <c r="G6" s="734">
        <v>0</v>
      </c>
      <c r="H6" s="835">
        <v>1</v>
      </c>
      <c r="I6" s="835">
        <v>0</v>
      </c>
      <c r="J6" s="835">
        <v>0</v>
      </c>
      <c r="K6" s="678">
        <v>1</v>
      </c>
      <c r="L6" s="678">
        <v>0</v>
      </c>
      <c r="M6" s="678">
        <v>0</v>
      </c>
      <c r="N6" s="735">
        <f t="shared" si="0"/>
        <v>3</v>
      </c>
      <c r="O6" s="736">
        <f t="shared" si="1"/>
        <v>0.25</v>
      </c>
      <c r="P6" s="737">
        <f t="shared" si="2"/>
        <v>5.1925573344872343E-3</v>
      </c>
    </row>
    <row r="7" spans="1:16" s="792" customFormat="1">
      <c r="A7" s="804" t="s">
        <v>28</v>
      </c>
      <c r="B7" s="791">
        <v>1</v>
      </c>
      <c r="C7" s="678">
        <v>3</v>
      </c>
      <c r="D7" s="734">
        <v>6</v>
      </c>
      <c r="E7" s="734">
        <v>8</v>
      </c>
      <c r="F7" s="734">
        <v>2</v>
      </c>
      <c r="G7" s="734">
        <v>1</v>
      </c>
      <c r="H7" s="734">
        <v>0</v>
      </c>
      <c r="I7" s="734">
        <v>2</v>
      </c>
      <c r="J7" s="734">
        <v>4</v>
      </c>
      <c r="K7" s="678">
        <v>3</v>
      </c>
      <c r="L7" s="678">
        <v>2</v>
      </c>
      <c r="M7" s="678">
        <v>4</v>
      </c>
      <c r="N7" s="735">
        <f t="shared" si="0"/>
        <v>36</v>
      </c>
      <c r="O7" s="736">
        <f t="shared" si="1"/>
        <v>3</v>
      </c>
      <c r="P7" s="737">
        <f t="shared" si="2"/>
        <v>6.2310688013846816E-2</v>
      </c>
    </row>
    <row r="8" spans="1:16" s="792" customFormat="1">
      <c r="A8" s="804" t="s">
        <v>439</v>
      </c>
      <c r="B8" s="791">
        <v>0</v>
      </c>
      <c r="C8" s="678">
        <v>1</v>
      </c>
      <c r="D8" s="734">
        <v>3</v>
      </c>
      <c r="E8" s="734">
        <v>2</v>
      </c>
      <c r="F8" s="734">
        <v>3</v>
      </c>
      <c r="G8" s="734">
        <v>0</v>
      </c>
      <c r="H8" s="734">
        <v>0</v>
      </c>
      <c r="I8" s="734">
        <v>0</v>
      </c>
      <c r="J8" s="734">
        <v>0</v>
      </c>
      <c r="K8" s="678">
        <v>0</v>
      </c>
      <c r="L8" s="678">
        <v>0</v>
      </c>
      <c r="M8" s="678">
        <v>0</v>
      </c>
      <c r="N8" s="735">
        <f t="shared" si="0"/>
        <v>9</v>
      </c>
      <c r="O8" s="736">
        <f t="shared" si="1"/>
        <v>0.75</v>
      </c>
      <c r="P8" s="737">
        <f t="shared" si="2"/>
        <v>1.5577672003461704E-2</v>
      </c>
    </row>
    <row r="9" spans="1:16" s="792" customFormat="1">
      <c r="A9" s="804" t="s">
        <v>29</v>
      </c>
      <c r="B9" s="791">
        <v>0</v>
      </c>
      <c r="C9" s="678">
        <v>0</v>
      </c>
      <c r="D9" s="734">
        <v>0</v>
      </c>
      <c r="E9" s="734">
        <v>0</v>
      </c>
      <c r="F9" s="734">
        <v>0</v>
      </c>
      <c r="G9" s="734">
        <v>0</v>
      </c>
      <c r="H9" s="734">
        <v>0</v>
      </c>
      <c r="I9" s="734">
        <v>0</v>
      </c>
      <c r="J9" s="734">
        <v>0</v>
      </c>
      <c r="K9" s="678">
        <v>0</v>
      </c>
      <c r="L9" s="678">
        <v>1</v>
      </c>
      <c r="M9" s="678">
        <v>2</v>
      </c>
      <c r="N9" s="735">
        <f t="shared" si="0"/>
        <v>3</v>
      </c>
      <c r="O9" s="736">
        <f t="shared" si="1"/>
        <v>0.25</v>
      </c>
      <c r="P9" s="737">
        <f t="shared" si="2"/>
        <v>5.1925573344872343E-3</v>
      </c>
    </row>
    <row r="10" spans="1:16" s="792" customFormat="1">
      <c r="A10" s="805" t="s">
        <v>30</v>
      </c>
      <c r="B10" s="791">
        <v>2</v>
      </c>
      <c r="C10" s="678">
        <v>0</v>
      </c>
      <c r="D10" s="734">
        <v>1</v>
      </c>
      <c r="E10" s="734">
        <v>1</v>
      </c>
      <c r="F10" s="734">
        <v>2</v>
      </c>
      <c r="G10" s="734">
        <v>25</v>
      </c>
      <c r="H10" s="734">
        <v>4</v>
      </c>
      <c r="I10" s="734">
        <v>6</v>
      </c>
      <c r="J10" s="734">
        <v>2</v>
      </c>
      <c r="K10" s="678">
        <v>11</v>
      </c>
      <c r="L10" s="678">
        <v>3</v>
      </c>
      <c r="M10" s="678">
        <v>1</v>
      </c>
      <c r="N10" s="735">
        <f t="shared" si="0"/>
        <v>58</v>
      </c>
      <c r="O10" s="736">
        <f t="shared" si="1"/>
        <v>4.833333333333333</v>
      </c>
      <c r="P10" s="737">
        <f t="shared" si="2"/>
        <v>0.10038944180008655</v>
      </c>
    </row>
    <row r="11" spans="1:16" s="792" customFormat="1">
      <c r="A11" s="804" t="s">
        <v>31</v>
      </c>
      <c r="B11" s="791">
        <v>0</v>
      </c>
      <c r="C11" s="678">
        <v>0</v>
      </c>
      <c r="D11" s="734">
        <v>0</v>
      </c>
      <c r="E11" s="734">
        <v>1</v>
      </c>
      <c r="F11" s="734">
        <v>0</v>
      </c>
      <c r="G11" s="734">
        <v>0</v>
      </c>
      <c r="H11" s="734">
        <v>0</v>
      </c>
      <c r="I11" s="734">
        <v>0</v>
      </c>
      <c r="J11" s="734">
        <v>0</v>
      </c>
      <c r="K11" s="678">
        <v>0</v>
      </c>
      <c r="L11" s="678">
        <v>0</v>
      </c>
      <c r="M11" s="678">
        <v>0</v>
      </c>
      <c r="N11" s="735">
        <f t="shared" si="0"/>
        <v>1</v>
      </c>
      <c r="O11" s="736">
        <f t="shared" si="1"/>
        <v>8.3333333333333329E-2</v>
      </c>
      <c r="P11" s="737">
        <f t="shared" si="2"/>
        <v>1.7308524448290783E-3</v>
      </c>
    </row>
    <row r="12" spans="1:16" s="792" customFormat="1">
      <c r="A12" s="804" t="s">
        <v>474</v>
      </c>
      <c r="B12" s="791">
        <v>0</v>
      </c>
      <c r="C12" s="678">
        <v>2</v>
      </c>
      <c r="D12" s="734">
        <v>1</v>
      </c>
      <c r="E12" s="734">
        <v>0</v>
      </c>
      <c r="F12" s="734">
        <v>0</v>
      </c>
      <c r="G12" s="734">
        <v>0</v>
      </c>
      <c r="H12" s="734">
        <v>0</v>
      </c>
      <c r="I12" s="734">
        <v>0</v>
      </c>
      <c r="J12" s="734">
        <v>0</v>
      </c>
      <c r="K12" s="678">
        <v>0</v>
      </c>
      <c r="L12" s="678">
        <v>0</v>
      </c>
      <c r="M12" s="678">
        <v>0</v>
      </c>
      <c r="N12" s="735">
        <f t="shared" si="0"/>
        <v>3</v>
      </c>
      <c r="O12" s="736">
        <f t="shared" si="1"/>
        <v>0.25</v>
      </c>
      <c r="P12" s="737">
        <f t="shared" si="2"/>
        <v>5.1925573344872343E-3</v>
      </c>
    </row>
    <row r="13" spans="1:16" s="792" customFormat="1">
      <c r="A13" s="804" t="s">
        <v>32</v>
      </c>
      <c r="B13" s="791">
        <v>0</v>
      </c>
      <c r="C13" s="678">
        <v>0</v>
      </c>
      <c r="D13" s="734">
        <v>0</v>
      </c>
      <c r="E13" s="734">
        <v>0</v>
      </c>
      <c r="F13" s="734">
        <v>0</v>
      </c>
      <c r="G13" s="734">
        <v>0</v>
      </c>
      <c r="H13" s="734">
        <v>0</v>
      </c>
      <c r="I13" s="734">
        <v>0</v>
      </c>
      <c r="J13" s="734">
        <v>0</v>
      </c>
      <c r="K13" s="678">
        <v>2</v>
      </c>
      <c r="L13" s="678">
        <v>0</v>
      </c>
      <c r="M13" s="678">
        <v>0</v>
      </c>
      <c r="N13" s="735">
        <f t="shared" si="0"/>
        <v>2</v>
      </c>
      <c r="O13" s="736">
        <f t="shared" si="1"/>
        <v>0.16666666666666666</v>
      </c>
      <c r="P13" s="737">
        <f t="shared" si="2"/>
        <v>3.4617048896581565E-3</v>
      </c>
    </row>
    <row r="14" spans="1:16" s="792" customFormat="1">
      <c r="A14" s="804" t="s">
        <v>33</v>
      </c>
      <c r="B14" s="791">
        <v>0</v>
      </c>
      <c r="C14" s="678">
        <v>0</v>
      </c>
      <c r="D14" s="734">
        <v>0</v>
      </c>
      <c r="E14" s="734">
        <v>1</v>
      </c>
      <c r="F14" s="734">
        <v>1</v>
      </c>
      <c r="G14" s="734">
        <v>0</v>
      </c>
      <c r="H14" s="734">
        <v>2</v>
      </c>
      <c r="I14" s="734">
        <v>1</v>
      </c>
      <c r="J14" s="734">
        <v>0</v>
      </c>
      <c r="K14" s="678">
        <v>3</v>
      </c>
      <c r="L14" s="678">
        <v>0</v>
      </c>
      <c r="M14" s="678">
        <v>1</v>
      </c>
      <c r="N14" s="735">
        <f t="shared" si="0"/>
        <v>9</v>
      </c>
      <c r="O14" s="736">
        <f t="shared" si="1"/>
        <v>0.75</v>
      </c>
      <c r="P14" s="737">
        <f t="shared" si="2"/>
        <v>1.5577672003461704E-2</v>
      </c>
    </row>
    <row r="15" spans="1:16" s="738" customFormat="1">
      <c r="A15" s="805" t="s">
        <v>34</v>
      </c>
      <c r="B15" s="732">
        <v>6</v>
      </c>
      <c r="C15" s="678">
        <v>16</v>
      </c>
      <c r="D15" s="733">
        <v>19</v>
      </c>
      <c r="E15" s="733">
        <v>14</v>
      </c>
      <c r="F15" s="733">
        <v>17</v>
      </c>
      <c r="G15" s="734">
        <v>16</v>
      </c>
      <c r="H15" s="734">
        <v>9</v>
      </c>
      <c r="I15" s="734">
        <v>15</v>
      </c>
      <c r="J15" s="733">
        <v>8</v>
      </c>
      <c r="K15" s="678">
        <v>10</v>
      </c>
      <c r="L15" s="678">
        <v>8</v>
      </c>
      <c r="M15" s="678">
        <v>9</v>
      </c>
      <c r="N15" s="735">
        <f t="shared" si="0"/>
        <v>147</v>
      </c>
      <c r="O15" s="736">
        <f t="shared" si="1"/>
        <v>12.25</v>
      </c>
      <c r="P15" s="737">
        <f t="shared" si="2"/>
        <v>0.25443530938987452</v>
      </c>
    </row>
    <row r="16" spans="1:16" s="738" customFormat="1">
      <c r="A16" s="806" t="s">
        <v>35</v>
      </c>
      <c r="B16" s="732">
        <v>18</v>
      </c>
      <c r="C16" s="678">
        <v>20</v>
      </c>
      <c r="D16" s="733">
        <v>25</v>
      </c>
      <c r="E16" s="733">
        <v>15</v>
      </c>
      <c r="F16" s="733">
        <v>14</v>
      </c>
      <c r="G16" s="734">
        <v>7</v>
      </c>
      <c r="H16" s="734">
        <v>16</v>
      </c>
      <c r="I16" s="734">
        <v>32</v>
      </c>
      <c r="J16" s="733">
        <v>17</v>
      </c>
      <c r="K16" s="678">
        <v>25</v>
      </c>
      <c r="L16" s="678">
        <v>19</v>
      </c>
      <c r="M16" s="678">
        <v>15</v>
      </c>
      <c r="N16" s="735">
        <f t="shared" si="0"/>
        <v>223</v>
      </c>
      <c r="O16" s="736">
        <f t="shared" si="1"/>
        <v>18.583333333333332</v>
      </c>
      <c r="P16" s="737">
        <f t="shared" si="2"/>
        <v>0.38598009519688448</v>
      </c>
    </row>
    <row r="17" spans="1:16" s="738" customFormat="1">
      <c r="A17" s="806" t="s">
        <v>36</v>
      </c>
      <c r="B17" s="732">
        <v>0</v>
      </c>
      <c r="C17" s="678">
        <v>0</v>
      </c>
      <c r="D17" s="733">
        <v>1</v>
      </c>
      <c r="E17" s="733">
        <v>0</v>
      </c>
      <c r="F17" s="733">
        <v>0</v>
      </c>
      <c r="G17" s="734">
        <v>0</v>
      </c>
      <c r="H17" s="734">
        <v>0</v>
      </c>
      <c r="I17" s="734">
        <v>0</v>
      </c>
      <c r="J17" s="733">
        <v>0</v>
      </c>
      <c r="K17" s="678">
        <v>0</v>
      </c>
      <c r="L17" s="678">
        <v>0</v>
      </c>
      <c r="M17" s="678">
        <v>0</v>
      </c>
      <c r="N17" s="735">
        <f t="shared" si="0"/>
        <v>1</v>
      </c>
      <c r="O17" s="736">
        <f t="shared" si="1"/>
        <v>8.3333333333333329E-2</v>
      </c>
      <c r="P17" s="737">
        <f t="shared" si="2"/>
        <v>1.7308524448290783E-3</v>
      </c>
    </row>
    <row r="18" spans="1:16" s="738" customFormat="1">
      <c r="A18" s="806" t="s">
        <v>37</v>
      </c>
      <c r="B18" s="732">
        <v>14</v>
      </c>
      <c r="C18" s="678">
        <v>3</v>
      </c>
      <c r="D18" s="733">
        <v>1</v>
      </c>
      <c r="E18" s="733">
        <v>1</v>
      </c>
      <c r="F18" s="733">
        <v>2</v>
      </c>
      <c r="G18" s="734">
        <v>8</v>
      </c>
      <c r="H18" s="734">
        <v>3</v>
      </c>
      <c r="I18" s="734">
        <v>3</v>
      </c>
      <c r="J18" s="733">
        <v>3</v>
      </c>
      <c r="K18" s="678">
        <v>1</v>
      </c>
      <c r="L18" s="678">
        <v>6</v>
      </c>
      <c r="M18" s="678">
        <v>4</v>
      </c>
      <c r="N18" s="735">
        <f t="shared" si="0"/>
        <v>49</v>
      </c>
      <c r="O18" s="736">
        <f t="shared" si="1"/>
        <v>4.083333333333333</v>
      </c>
      <c r="P18" s="737">
        <f t="shared" si="2"/>
        <v>8.4811769796624845E-2</v>
      </c>
    </row>
    <row r="19" spans="1:16" s="738" customFormat="1">
      <c r="A19" s="806" t="s">
        <v>38</v>
      </c>
      <c r="B19" s="732">
        <v>10</v>
      </c>
      <c r="C19" s="678">
        <v>7</v>
      </c>
      <c r="D19" s="733">
        <v>4</v>
      </c>
      <c r="E19" s="733">
        <v>2</v>
      </c>
      <c r="F19" s="733">
        <v>2</v>
      </c>
      <c r="G19" s="734">
        <v>5</v>
      </c>
      <c r="H19" s="734">
        <v>4</v>
      </c>
      <c r="I19" s="734">
        <v>4</v>
      </c>
      <c r="J19" s="733">
        <v>2</v>
      </c>
      <c r="K19" s="678">
        <v>1</v>
      </c>
      <c r="L19" s="678">
        <v>5</v>
      </c>
      <c r="M19" s="678">
        <v>3</v>
      </c>
      <c r="N19" s="735">
        <f t="shared" si="0"/>
        <v>49</v>
      </c>
      <c r="O19" s="736">
        <f t="shared" si="1"/>
        <v>4.083333333333333</v>
      </c>
      <c r="P19" s="737">
        <f t="shared" si="2"/>
        <v>8.4811769796624845E-2</v>
      </c>
    </row>
    <row r="20" spans="1:16" s="738" customFormat="1">
      <c r="A20" s="806" t="s">
        <v>39</v>
      </c>
      <c r="B20" s="732">
        <v>0</v>
      </c>
      <c r="C20" s="678">
        <v>0</v>
      </c>
      <c r="D20" s="733">
        <v>0</v>
      </c>
      <c r="E20" s="733">
        <v>0</v>
      </c>
      <c r="F20" s="733">
        <v>0</v>
      </c>
      <c r="G20" s="734">
        <v>0</v>
      </c>
      <c r="H20" s="734">
        <v>1</v>
      </c>
      <c r="I20" s="734">
        <v>1</v>
      </c>
      <c r="J20" s="733">
        <v>1</v>
      </c>
      <c r="K20" s="678">
        <v>1</v>
      </c>
      <c r="L20" s="678">
        <v>2</v>
      </c>
      <c r="M20" s="678">
        <v>0</v>
      </c>
      <c r="N20" s="735">
        <f t="shared" si="0"/>
        <v>6</v>
      </c>
      <c r="O20" s="736">
        <f t="shared" si="1"/>
        <v>0.5</v>
      </c>
      <c r="P20" s="737">
        <f t="shared" si="2"/>
        <v>1.0385114668974469E-2</v>
      </c>
    </row>
    <row r="21" spans="1:16" s="738" customFormat="1">
      <c r="A21" s="806" t="s">
        <v>40</v>
      </c>
      <c r="B21" s="732">
        <v>0</v>
      </c>
      <c r="C21" s="678">
        <v>0</v>
      </c>
      <c r="D21" s="733">
        <v>0</v>
      </c>
      <c r="E21" s="733">
        <v>0</v>
      </c>
      <c r="F21" s="733">
        <v>0</v>
      </c>
      <c r="G21" s="734">
        <v>0</v>
      </c>
      <c r="H21" s="734">
        <v>0</v>
      </c>
      <c r="I21" s="734">
        <v>0</v>
      </c>
      <c r="J21" s="733">
        <v>0</v>
      </c>
      <c r="K21" s="678">
        <v>0</v>
      </c>
      <c r="L21" s="678">
        <v>0</v>
      </c>
      <c r="M21" s="678">
        <v>0</v>
      </c>
      <c r="N21" s="735">
        <f t="shared" si="0"/>
        <v>0</v>
      </c>
      <c r="O21" s="736">
        <f t="shared" si="1"/>
        <v>0</v>
      </c>
      <c r="P21" s="737">
        <f t="shared" si="2"/>
        <v>0</v>
      </c>
    </row>
    <row r="22" spans="1:16" s="738" customFormat="1">
      <c r="A22" s="806" t="s">
        <v>41</v>
      </c>
      <c r="B22" s="732">
        <v>0</v>
      </c>
      <c r="C22" s="678">
        <v>0</v>
      </c>
      <c r="D22" s="733">
        <v>0</v>
      </c>
      <c r="E22" s="733">
        <v>0</v>
      </c>
      <c r="F22" s="733">
        <v>0</v>
      </c>
      <c r="G22" s="734">
        <v>0</v>
      </c>
      <c r="H22" s="734">
        <v>0</v>
      </c>
      <c r="I22" s="734">
        <v>0</v>
      </c>
      <c r="J22" s="733">
        <v>0</v>
      </c>
      <c r="K22" s="678">
        <v>0</v>
      </c>
      <c r="L22" s="678">
        <v>0</v>
      </c>
      <c r="M22" s="678">
        <v>0</v>
      </c>
      <c r="N22" s="735">
        <f t="shared" si="0"/>
        <v>0</v>
      </c>
      <c r="O22" s="736">
        <f t="shared" si="1"/>
        <v>0</v>
      </c>
      <c r="P22" s="737">
        <f t="shared" si="2"/>
        <v>0</v>
      </c>
    </row>
    <row r="23" spans="1:16" s="738" customFormat="1">
      <c r="A23" s="806" t="s">
        <v>445</v>
      </c>
      <c r="B23" s="732">
        <v>2</v>
      </c>
      <c r="C23" s="678">
        <v>0</v>
      </c>
      <c r="D23" s="733">
        <v>1</v>
      </c>
      <c r="E23" s="733">
        <v>1</v>
      </c>
      <c r="F23" s="733">
        <v>0</v>
      </c>
      <c r="G23" s="734">
        <v>0</v>
      </c>
      <c r="H23" s="734">
        <v>0</v>
      </c>
      <c r="I23" s="734">
        <v>0</v>
      </c>
      <c r="J23" s="733">
        <v>0</v>
      </c>
      <c r="K23" s="678">
        <v>0</v>
      </c>
      <c r="L23" s="678">
        <v>0</v>
      </c>
      <c r="M23" s="678">
        <v>0</v>
      </c>
      <c r="N23" s="735">
        <f t="shared" si="0"/>
        <v>4</v>
      </c>
      <c r="O23" s="736">
        <f t="shared" si="1"/>
        <v>0.33333333333333331</v>
      </c>
      <c r="P23" s="737">
        <f t="shared" si="2"/>
        <v>6.923409779316313E-3</v>
      </c>
    </row>
    <row r="24" spans="1:16" s="738" customFormat="1">
      <c r="A24" s="806" t="s">
        <v>42</v>
      </c>
      <c r="B24" s="732">
        <v>10</v>
      </c>
      <c r="C24" s="678">
        <v>11</v>
      </c>
      <c r="D24" s="733">
        <v>19</v>
      </c>
      <c r="E24" s="733">
        <v>17</v>
      </c>
      <c r="F24" s="733">
        <v>12</v>
      </c>
      <c r="G24" s="734">
        <v>24</v>
      </c>
      <c r="H24" s="734">
        <v>12</v>
      </c>
      <c r="I24" s="734">
        <v>14</v>
      </c>
      <c r="J24" s="733">
        <v>12</v>
      </c>
      <c r="K24" s="678">
        <v>11</v>
      </c>
      <c r="L24" s="678">
        <v>13</v>
      </c>
      <c r="M24" s="678">
        <v>11</v>
      </c>
      <c r="N24" s="735">
        <f t="shared" si="0"/>
        <v>166</v>
      </c>
      <c r="O24" s="736">
        <f t="shared" si="1"/>
        <v>13.833333333333334</v>
      </c>
      <c r="P24" s="737">
        <f t="shared" si="2"/>
        <v>0.28732150584162702</v>
      </c>
    </row>
    <row r="25" spans="1:16" s="738" customFormat="1">
      <c r="A25" s="806" t="s">
        <v>43</v>
      </c>
      <c r="B25" s="732">
        <v>218</v>
      </c>
      <c r="C25" s="678">
        <v>293</v>
      </c>
      <c r="D25" s="733">
        <v>293</v>
      </c>
      <c r="E25" s="733">
        <v>229</v>
      </c>
      <c r="F25" s="733">
        <v>298</v>
      </c>
      <c r="G25" s="734">
        <v>300</v>
      </c>
      <c r="H25" s="734">
        <v>282</v>
      </c>
      <c r="I25" s="734">
        <v>252</v>
      </c>
      <c r="J25" s="733">
        <v>231</v>
      </c>
      <c r="K25" s="678">
        <v>270</v>
      </c>
      <c r="L25" s="678">
        <v>265</v>
      </c>
      <c r="M25" s="678">
        <v>301</v>
      </c>
      <c r="N25" s="735">
        <f t="shared" si="0"/>
        <v>3232</v>
      </c>
      <c r="O25" s="736">
        <f t="shared" si="1"/>
        <v>269.33333333333331</v>
      </c>
      <c r="P25" s="737">
        <f t="shared" si="2"/>
        <v>5.5941151016875814</v>
      </c>
    </row>
    <row r="26" spans="1:16" s="738" customFormat="1">
      <c r="A26" s="806" t="s">
        <v>44</v>
      </c>
      <c r="B26" s="732">
        <v>3</v>
      </c>
      <c r="C26" s="678">
        <v>4</v>
      </c>
      <c r="D26" s="733">
        <v>4</v>
      </c>
      <c r="E26" s="733">
        <v>2</v>
      </c>
      <c r="F26" s="733">
        <v>0</v>
      </c>
      <c r="G26" s="734">
        <v>1</v>
      </c>
      <c r="H26" s="734">
        <v>0</v>
      </c>
      <c r="I26" s="734">
        <v>1</v>
      </c>
      <c r="J26" s="733">
        <v>0</v>
      </c>
      <c r="K26" s="678">
        <v>0</v>
      </c>
      <c r="L26" s="678">
        <v>0</v>
      </c>
      <c r="M26" s="678">
        <v>0</v>
      </c>
      <c r="N26" s="735">
        <f t="shared" si="0"/>
        <v>15</v>
      </c>
      <c r="O26" s="736">
        <f t="shared" si="1"/>
        <v>1.25</v>
      </c>
      <c r="P26" s="737">
        <f t="shared" si="2"/>
        <v>2.5962786672436174E-2</v>
      </c>
    </row>
    <row r="27" spans="1:16" s="738" customFormat="1">
      <c r="A27" s="806" t="s">
        <v>45</v>
      </c>
      <c r="B27" s="732">
        <v>0</v>
      </c>
      <c r="C27" s="678">
        <v>0</v>
      </c>
      <c r="D27" s="733">
        <v>0</v>
      </c>
      <c r="E27" s="733">
        <v>0</v>
      </c>
      <c r="F27" s="733">
        <v>0</v>
      </c>
      <c r="G27" s="734">
        <v>0</v>
      </c>
      <c r="H27" s="734">
        <v>0</v>
      </c>
      <c r="I27" s="734">
        <v>0</v>
      </c>
      <c r="J27" s="733">
        <v>0</v>
      </c>
      <c r="K27" s="678">
        <v>1</v>
      </c>
      <c r="L27" s="678">
        <v>0</v>
      </c>
      <c r="M27" s="678">
        <v>0</v>
      </c>
      <c r="N27" s="735">
        <f t="shared" si="0"/>
        <v>1</v>
      </c>
      <c r="O27" s="736">
        <f t="shared" si="1"/>
        <v>8.3333333333333329E-2</v>
      </c>
      <c r="P27" s="737">
        <f t="shared" si="2"/>
        <v>1.7308524448290783E-3</v>
      </c>
    </row>
    <row r="28" spans="1:16" s="738" customFormat="1">
      <c r="A28" s="806" t="s">
        <v>46</v>
      </c>
      <c r="B28" s="732">
        <v>9</v>
      </c>
      <c r="C28" s="678">
        <v>16</v>
      </c>
      <c r="D28" s="733">
        <v>11</v>
      </c>
      <c r="E28" s="733">
        <v>10</v>
      </c>
      <c r="F28" s="733">
        <v>9</v>
      </c>
      <c r="G28" s="734">
        <v>8</v>
      </c>
      <c r="H28" s="734">
        <v>12</v>
      </c>
      <c r="I28" s="734">
        <v>7</v>
      </c>
      <c r="J28" s="733">
        <v>6</v>
      </c>
      <c r="K28" s="678">
        <v>8</v>
      </c>
      <c r="L28" s="678">
        <v>2</v>
      </c>
      <c r="M28" s="678">
        <v>2</v>
      </c>
      <c r="N28" s="735">
        <f t="shared" si="0"/>
        <v>100</v>
      </c>
      <c r="O28" s="736">
        <f t="shared" si="1"/>
        <v>8.3333333333333339</v>
      </c>
      <c r="P28" s="737">
        <f t="shared" si="2"/>
        <v>0.17308524448290782</v>
      </c>
    </row>
    <row r="29" spans="1:16" s="738" customFormat="1">
      <c r="A29" s="805" t="s">
        <v>47</v>
      </c>
      <c r="B29" s="732">
        <v>9</v>
      </c>
      <c r="C29" s="678">
        <v>27</v>
      </c>
      <c r="D29" s="733">
        <v>25</v>
      </c>
      <c r="E29" s="733">
        <v>22</v>
      </c>
      <c r="F29" s="733">
        <v>32</v>
      </c>
      <c r="G29" s="734">
        <v>17</v>
      </c>
      <c r="H29" s="734">
        <v>18</v>
      </c>
      <c r="I29" s="734">
        <v>25</v>
      </c>
      <c r="J29" s="733">
        <v>21</v>
      </c>
      <c r="K29" s="678">
        <v>37</v>
      </c>
      <c r="L29" s="678">
        <v>11</v>
      </c>
      <c r="M29" s="678">
        <v>11</v>
      </c>
      <c r="N29" s="735">
        <f t="shared" si="0"/>
        <v>255</v>
      </c>
      <c r="O29" s="736">
        <f t="shared" si="1"/>
        <v>21.25</v>
      </c>
      <c r="P29" s="737">
        <f t="shared" si="2"/>
        <v>0.44136737343141491</v>
      </c>
    </row>
    <row r="30" spans="1:16" s="738" customFormat="1">
      <c r="A30" s="805" t="s">
        <v>446</v>
      </c>
      <c r="B30" s="732">
        <v>2</v>
      </c>
      <c r="C30" s="678">
        <v>1</v>
      </c>
      <c r="D30" s="733">
        <v>1</v>
      </c>
      <c r="E30" s="733">
        <v>1</v>
      </c>
      <c r="F30" s="733">
        <v>0</v>
      </c>
      <c r="G30" s="734">
        <v>0</v>
      </c>
      <c r="H30" s="734">
        <v>0</v>
      </c>
      <c r="I30" s="734">
        <v>0</v>
      </c>
      <c r="J30" s="733">
        <v>0</v>
      </c>
      <c r="K30" s="678">
        <v>0</v>
      </c>
      <c r="L30" s="678">
        <v>0</v>
      </c>
      <c r="M30" s="678">
        <v>0</v>
      </c>
      <c r="N30" s="735">
        <f t="shared" si="0"/>
        <v>5</v>
      </c>
      <c r="O30" s="736">
        <f t="shared" si="1"/>
        <v>0.41666666666666669</v>
      </c>
      <c r="P30" s="737">
        <f t="shared" si="2"/>
        <v>8.6542622241453926E-3</v>
      </c>
    </row>
    <row r="31" spans="1:16" s="738" customFormat="1">
      <c r="A31" s="805" t="s">
        <v>478</v>
      </c>
      <c r="B31" s="732">
        <v>0</v>
      </c>
      <c r="C31" s="678">
        <v>1</v>
      </c>
      <c r="D31" s="733">
        <v>0</v>
      </c>
      <c r="E31" s="733">
        <v>0</v>
      </c>
      <c r="F31" s="733">
        <v>0</v>
      </c>
      <c r="G31" s="734">
        <v>0</v>
      </c>
      <c r="H31" s="734">
        <v>0</v>
      </c>
      <c r="I31" s="734">
        <v>0</v>
      </c>
      <c r="J31" s="733">
        <v>0</v>
      </c>
      <c r="K31" s="678">
        <v>0</v>
      </c>
      <c r="L31" s="678">
        <v>0</v>
      </c>
      <c r="M31" s="678">
        <v>0</v>
      </c>
      <c r="N31" s="735">
        <f t="shared" si="0"/>
        <v>1</v>
      </c>
      <c r="O31" s="736">
        <f t="shared" si="1"/>
        <v>8.3333333333333329E-2</v>
      </c>
      <c r="P31" s="737">
        <f t="shared" si="2"/>
        <v>1.7308524448290783E-3</v>
      </c>
    </row>
    <row r="32" spans="1:16" s="738" customFormat="1">
      <c r="A32" s="805" t="s">
        <v>48</v>
      </c>
      <c r="B32" s="732">
        <v>2</v>
      </c>
      <c r="C32" s="678">
        <v>0</v>
      </c>
      <c r="D32" s="733">
        <v>4</v>
      </c>
      <c r="E32" s="733">
        <v>0</v>
      </c>
      <c r="F32" s="733">
        <v>1</v>
      </c>
      <c r="G32" s="734">
        <v>4</v>
      </c>
      <c r="H32" s="734">
        <v>8</v>
      </c>
      <c r="I32" s="734">
        <v>6</v>
      </c>
      <c r="J32" s="733">
        <v>5</v>
      </c>
      <c r="K32" s="678">
        <v>5</v>
      </c>
      <c r="L32" s="678">
        <v>0</v>
      </c>
      <c r="M32" s="678">
        <v>4</v>
      </c>
      <c r="N32" s="735">
        <f t="shared" si="0"/>
        <v>39</v>
      </c>
      <c r="O32" s="736">
        <f t="shared" si="1"/>
        <v>3.25</v>
      </c>
      <c r="P32" s="737">
        <f t="shared" si="2"/>
        <v>6.7503245348334046E-2</v>
      </c>
    </row>
    <row r="33" spans="1:16" s="738" customFormat="1">
      <c r="A33" s="806" t="s">
        <v>49</v>
      </c>
      <c r="B33" s="732">
        <v>1</v>
      </c>
      <c r="C33" s="678">
        <v>1</v>
      </c>
      <c r="D33" s="733">
        <v>3</v>
      </c>
      <c r="E33" s="733">
        <v>1</v>
      </c>
      <c r="F33" s="733">
        <v>0</v>
      </c>
      <c r="G33" s="734">
        <v>1</v>
      </c>
      <c r="H33" s="734">
        <v>1</v>
      </c>
      <c r="I33" s="734">
        <v>0</v>
      </c>
      <c r="J33" s="733">
        <v>2</v>
      </c>
      <c r="K33" s="678">
        <v>3</v>
      </c>
      <c r="L33" s="678">
        <v>2</v>
      </c>
      <c r="M33" s="678">
        <v>0</v>
      </c>
      <c r="N33" s="735">
        <f t="shared" si="0"/>
        <v>15</v>
      </c>
      <c r="O33" s="736">
        <f t="shared" si="1"/>
        <v>1.25</v>
      </c>
      <c r="P33" s="737">
        <f t="shared" si="2"/>
        <v>2.5962786672436174E-2</v>
      </c>
    </row>
    <row r="34" spans="1:16" s="738" customFormat="1">
      <c r="A34" s="806" t="s">
        <v>50</v>
      </c>
      <c r="B34" s="732">
        <v>0</v>
      </c>
      <c r="C34" s="678">
        <v>0</v>
      </c>
      <c r="D34" s="733">
        <v>0</v>
      </c>
      <c r="E34" s="733">
        <v>0</v>
      </c>
      <c r="F34" s="733">
        <v>0</v>
      </c>
      <c r="G34" s="734">
        <v>0</v>
      </c>
      <c r="H34" s="734">
        <v>0</v>
      </c>
      <c r="I34" s="734">
        <v>0</v>
      </c>
      <c r="J34" s="733">
        <v>0</v>
      </c>
      <c r="K34" s="678">
        <v>3</v>
      </c>
      <c r="L34" s="678">
        <v>0</v>
      </c>
      <c r="M34" s="678">
        <v>4</v>
      </c>
      <c r="N34" s="735">
        <f t="shared" si="0"/>
        <v>7</v>
      </c>
      <c r="O34" s="736">
        <f t="shared" si="1"/>
        <v>0.58333333333333337</v>
      </c>
      <c r="P34" s="737">
        <f t="shared" si="2"/>
        <v>1.2115967113803548E-2</v>
      </c>
    </row>
    <row r="35" spans="1:16" s="738" customFormat="1">
      <c r="A35" s="805" t="s">
        <v>51</v>
      </c>
      <c r="B35" s="732">
        <v>1</v>
      </c>
      <c r="C35" s="678">
        <v>3</v>
      </c>
      <c r="D35" s="733">
        <v>1</v>
      </c>
      <c r="E35" s="733">
        <v>2</v>
      </c>
      <c r="F35" s="733">
        <v>3</v>
      </c>
      <c r="G35" s="734">
        <v>0</v>
      </c>
      <c r="H35" s="734">
        <v>2</v>
      </c>
      <c r="I35" s="734">
        <v>3</v>
      </c>
      <c r="J35" s="733">
        <v>3</v>
      </c>
      <c r="K35" s="678">
        <v>2</v>
      </c>
      <c r="L35" s="678">
        <v>4</v>
      </c>
      <c r="M35" s="678">
        <v>1</v>
      </c>
      <c r="N35" s="735">
        <f t="shared" si="0"/>
        <v>25</v>
      </c>
      <c r="O35" s="736">
        <f t="shared" si="1"/>
        <v>2.0833333333333335</v>
      </c>
      <c r="P35" s="737">
        <f t="shared" si="2"/>
        <v>4.3271311120726956E-2</v>
      </c>
    </row>
    <row r="36" spans="1:16" s="738" customFormat="1">
      <c r="A36" s="806" t="s">
        <v>52</v>
      </c>
      <c r="B36" s="732">
        <v>2</v>
      </c>
      <c r="C36" s="678">
        <v>7</v>
      </c>
      <c r="D36" s="733">
        <v>8</v>
      </c>
      <c r="E36" s="733">
        <v>2</v>
      </c>
      <c r="F36" s="733">
        <v>3</v>
      </c>
      <c r="G36" s="734">
        <v>1</v>
      </c>
      <c r="H36" s="734">
        <v>2</v>
      </c>
      <c r="I36" s="734">
        <v>5</v>
      </c>
      <c r="J36" s="733">
        <v>2</v>
      </c>
      <c r="K36" s="678">
        <v>1</v>
      </c>
      <c r="L36" s="678">
        <v>2</v>
      </c>
      <c r="M36" s="678">
        <v>0</v>
      </c>
      <c r="N36" s="735">
        <f t="shared" si="0"/>
        <v>35</v>
      </c>
      <c r="O36" s="736">
        <f t="shared" si="1"/>
        <v>2.9166666666666665</v>
      </c>
      <c r="P36" s="737">
        <f t="shared" si="2"/>
        <v>6.0579835569017748E-2</v>
      </c>
    </row>
    <row r="37" spans="1:16" s="738" customFormat="1">
      <c r="A37" s="806" t="s">
        <v>53</v>
      </c>
      <c r="B37" s="732">
        <v>46</v>
      </c>
      <c r="C37" s="678">
        <v>40</v>
      </c>
      <c r="D37" s="733">
        <v>62</v>
      </c>
      <c r="E37" s="733">
        <v>46</v>
      </c>
      <c r="F37" s="733">
        <v>69</v>
      </c>
      <c r="G37" s="734">
        <v>61</v>
      </c>
      <c r="H37" s="734">
        <v>51</v>
      </c>
      <c r="I37" s="734">
        <v>62</v>
      </c>
      <c r="J37" s="733">
        <v>58</v>
      </c>
      <c r="K37" s="678">
        <v>88</v>
      </c>
      <c r="L37" s="678">
        <v>77</v>
      </c>
      <c r="M37" s="678">
        <v>56</v>
      </c>
      <c r="N37" s="735">
        <f t="shared" si="0"/>
        <v>716</v>
      </c>
      <c r="O37" s="736">
        <f t="shared" si="1"/>
        <v>59.666666666666664</v>
      </c>
      <c r="P37" s="737">
        <f t="shared" ref="P37:P68" si="3">(N37/$N$220)*100</f>
        <v>1.23929035049762</v>
      </c>
    </row>
    <row r="38" spans="1:16" s="738" customFormat="1">
      <c r="A38" s="806" t="s">
        <v>479</v>
      </c>
      <c r="B38" s="732">
        <v>1</v>
      </c>
      <c r="C38" s="678">
        <v>2</v>
      </c>
      <c r="D38" s="733">
        <v>0</v>
      </c>
      <c r="E38" s="733">
        <v>0</v>
      </c>
      <c r="F38" s="733">
        <v>0</v>
      </c>
      <c r="G38" s="734">
        <v>0</v>
      </c>
      <c r="H38" s="734">
        <v>0</v>
      </c>
      <c r="I38" s="734">
        <v>0</v>
      </c>
      <c r="J38" s="733">
        <v>0</v>
      </c>
      <c r="K38" s="678">
        <v>0</v>
      </c>
      <c r="L38" s="678">
        <v>0</v>
      </c>
      <c r="M38" s="678">
        <v>0</v>
      </c>
      <c r="N38" s="735">
        <f t="shared" si="0"/>
        <v>3</v>
      </c>
      <c r="O38" s="736">
        <f t="shared" si="1"/>
        <v>0.25</v>
      </c>
      <c r="P38" s="737">
        <f t="shared" si="3"/>
        <v>5.1925573344872343E-3</v>
      </c>
    </row>
    <row r="39" spans="1:16" s="738" customFormat="1">
      <c r="A39" s="806" t="s">
        <v>54</v>
      </c>
      <c r="B39" s="732">
        <v>0</v>
      </c>
      <c r="C39" s="678">
        <v>0</v>
      </c>
      <c r="D39" s="733">
        <v>0</v>
      </c>
      <c r="E39" s="733">
        <v>0</v>
      </c>
      <c r="F39" s="733">
        <v>1</v>
      </c>
      <c r="G39" s="734">
        <v>0</v>
      </c>
      <c r="H39" s="734">
        <v>0</v>
      </c>
      <c r="I39" s="734">
        <v>0</v>
      </c>
      <c r="J39" s="733">
        <v>0</v>
      </c>
      <c r="K39" s="678">
        <v>0</v>
      </c>
      <c r="L39" s="678">
        <v>0</v>
      </c>
      <c r="M39" s="678">
        <v>0</v>
      </c>
      <c r="N39" s="735">
        <f t="shared" si="0"/>
        <v>1</v>
      </c>
      <c r="O39" s="736">
        <f t="shared" si="1"/>
        <v>8.3333333333333329E-2</v>
      </c>
      <c r="P39" s="737">
        <f t="shared" si="3"/>
        <v>1.7308524448290783E-3</v>
      </c>
    </row>
    <row r="40" spans="1:16" s="738" customFormat="1" ht="17.25" customHeight="1">
      <c r="A40" s="806" t="s">
        <v>55</v>
      </c>
      <c r="B40" s="732">
        <v>0</v>
      </c>
      <c r="C40" s="678">
        <v>0</v>
      </c>
      <c r="D40" s="733">
        <v>0</v>
      </c>
      <c r="E40" s="733">
        <v>0</v>
      </c>
      <c r="F40" s="733">
        <v>0</v>
      </c>
      <c r="G40" s="734">
        <v>0</v>
      </c>
      <c r="H40" s="734">
        <v>0</v>
      </c>
      <c r="I40" s="734">
        <v>0</v>
      </c>
      <c r="J40" s="733">
        <v>0</v>
      </c>
      <c r="K40" s="678">
        <v>0</v>
      </c>
      <c r="L40" s="678">
        <v>0</v>
      </c>
      <c r="M40" s="678">
        <v>0</v>
      </c>
      <c r="N40" s="735">
        <f t="shared" ref="N40" si="4">SUM(B40:M40)</f>
        <v>0</v>
      </c>
      <c r="O40" s="736">
        <f t="shared" ref="O40" si="5">AVERAGE(B40:M40)</f>
        <v>0</v>
      </c>
      <c r="P40" s="737">
        <f t="shared" si="3"/>
        <v>0</v>
      </c>
    </row>
    <row r="41" spans="1:16" s="738" customFormat="1">
      <c r="A41" s="806" t="s">
        <v>466</v>
      </c>
      <c r="B41" s="732">
        <v>291</v>
      </c>
      <c r="C41" s="678">
        <v>317</v>
      </c>
      <c r="D41" s="733">
        <v>407</v>
      </c>
      <c r="E41" s="733">
        <v>420</v>
      </c>
      <c r="F41" s="733">
        <v>467</v>
      </c>
      <c r="G41" s="734">
        <v>523</v>
      </c>
      <c r="H41" s="734">
        <v>529</v>
      </c>
      <c r="I41" s="734">
        <v>460</v>
      </c>
      <c r="J41" s="733">
        <v>379</v>
      </c>
      <c r="K41" s="678">
        <v>313</v>
      </c>
      <c r="L41" s="678">
        <v>290</v>
      </c>
      <c r="M41" s="678">
        <v>263</v>
      </c>
      <c r="N41" s="735">
        <f t="shared" ref="N41:N74" si="6">SUM(B41:M41)</f>
        <v>4659</v>
      </c>
      <c r="O41" s="736">
        <f t="shared" ref="O41:O74" si="7">AVERAGE(B41:M41)</f>
        <v>388.25</v>
      </c>
      <c r="P41" s="737">
        <f t="shared" si="3"/>
        <v>8.0640415404586765</v>
      </c>
    </row>
    <row r="42" spans="1:16" s="738" customFormat="1">
      <c r="A42" s="806" t="s">
        <v>56</v>
      </c>
      <c r="B42" s="732">
        <v>0</v>
      </c>
      <c r="C42" s="678">
        <v>1</v>
      </c>
      <c r="D42" s="733">
        <v>0</v>
      </c>
      <c r="E42" s="733">
        <v>0</v>
      </c>
      <c r="F42" s="733">
        <v>0</v>
      </c>
      <c r="G42" s="734">
        <v>0</v>
      </c>
      <c r="H42" s="734">
        <v>0</v>
      </c>
      <c r="I42" s="734">
        <v>0</v>
      </c>
      <c r="J42" s="733">
        <v>0</v>
      </c>
      <c r="K42" s="678">
        <v>0</v>
      </c>
      <c r="L42" s="678">
        <v>0</v>
      </c>
      <c r="M42" s="678">
        <v>0</v>
      </c>
      <c r="N42" s="735">
        <f t="shared" si="6"/>
        <v>1</v>
      </c>
      <c r="O42" s="736">
        <f t="shared" si="7"/>
        <v>8.3333333333333329E-2</v>
      </c>
      <c r="P42" s="737">
        <f t="shared" si="3"/>
        <v>1.7308524448290783E-3</v>
      </c>
    </row>
    <row r="43" spans="1:16" s="738" customFormat="1">
      <c r="A43" s="806" t="s">
        <v>57</v>
      </c>
      <c r="B43" s="732">
        <v>242</v>
      </c>
      <c r="C43" s="678">
        <v>489</v>
      </c>
      <c r="D43" s="733">
        <v>708</v>
      </c>
      <c r="E43" s="733">
        <v>447</v>
      </c>
      <c r="F43" s="733">
        <v>489</v>
      </c>
      <c r="G43" s="734">
        <v>369</v>
      </c>
      <c r="H43" s="734">
        <v>727</v>
      </c>
      <c r="I43" s="734">
        <v>801</v>
      </c>
      <c r="J43" s="733">
        <v>981</v>
      </c>
      <c r="K43" s="678">
        <v>844</v>
      </c>
      <c r="L43" s="678">
        <v>484</v>
      </c>
      <c r="M43" s="678">
        <v>501</v>
      </c>
      <c r="N43" s="735">
        <f t="shared" si="6"/>
        <v>7082</v>
      </c>
      <c r="O43" s="736">
        <f t="shared" si="7"/>
        <v>590.16666666666663</v>
      </c>
      <c r="P43" s="737">
        <f t="shared" si="3"/>
        <v>12.257897014279532</v>
      </c>
    </row>
    <row r="44" spans="1:16" s="738" customFormat="1">
      <c r="A44" s="806" t="s">
        <v>58</v>
      </c>
      <c r="B44" s="732">
        <v>4</v>
      </c>
      <c r="C44" s="678">
        <v>2</v>
      </c>
      <c r="D44" s="733">
        <v>11</v>
      </c>
      <c r="E44" s="733">
        <v>4</v>
      </c>
      <c r="F44" s="733">
        <v>7</v>
      </c>
      <c r="G44" s="734">
        <v>16</v>
      </c>
      <c r="H44" s="734">
        <v>14</v>
      </c>
      <c r="I44" s="734">
        <v>15</v>
      </c>
      <c r="J44" s="733">
        <v>9</v>
      </c>
      <c r="K44" s="678">
        <v>9</v>
      </c>
      <c r="L44" s="678">
        <v>3</v>
      </c>
      <c r="M44" s="678">
        <v>1</v>
      </c>
      <c r="N44" s="735">
        <f t="shared" si="6"/>
        <v>95</v>
      </c>
      <c r="O44" s="736">
        <f t="shared" si="7"/>
        <v>7.916666666666667</v>
      </c>
      <c r="P44" s="737">
        <f t="shared" si="3"/>
        <v>0.16443098225876243</v>
      </c>
    </row>
    <row r="45" spans="1:16" s="738" customFormat="1">
      <c r="A45" s="806" t="s">
        <v>59</v>
      </c>
      <c r="B45" s="732">
        <v>136</v>
      </c>
      <c r="C45" s="678">
        <v>117</v>
      </c>
      <c r="D45" s="733">
        <v>125</v>
      </c>
      <c r="E45" s="733">
        <v>132</v>
      </c>
      <c r="F45" s="733">
        <v>146</v>
      </c>
      <c r="G45" s="734">
        <v>168</v>
      </c>
      <c r="H45" s="734">
        <v>153</v>
      </c>
      <c r="I45" s="734">
        <v>136</v>
      </c>
      <c r="J45" s="733">
        <v>116</v>
      </c>
      <c r="K45" s="678">
        <v>157</v>
      </c>
      <c r="L45" s="678">
        <v>139</v>
      </c>
      <c r="M45" s="678">
        <v>91</v>
      </c>
      <c r="N45" s="735">
        <f t="shared" si="6"/>
        <v>1616</v>
      </c>
      <c r="O45" s="736">
        <f t="shared" si="7"/>
        <v>134.66666666666666</v>
      </c>
      <c r="P45" s="737">
        <f t="shared" si="3"/>
        <v>2.7970575508437907</v>
      </c>
    </row>
    <row r="46" spans="1:16" s="738" customFormat="1">
      <c r="A46" s="806" t="s">
        <v>60</v>
      </c>
      <c r="B46" s="732">
        <v>81</v>
      </c>
      <c r="C46" s="678">
        <v>47</v>
      </c>
      <c r="D46" s="733">
        <v>33</v>
      </c>
      <c r="E46" s="733">
        <v>19</v>
      </c>
      <c r="F46" s="733">
        <v>26</v>
      </c>
      <c r="G46" s="734">
        <v>19</v>
      </c>
      <c r="H46" s="734">
        <v>62</v>
      </c>
      <c r="I46" s="734">
        <v>123</v>
      </c>
      <c r="J46" s="733">
        <v>139</v>
      </c>
      <c r="K46" s="678">
        <v>155</v>
      </c>
      <c r="L46" s="678">
        <v>123</v>
      </c>
      <c r="M46" s="678">
        <v>81</v>
      </c>
      <c r="N46" s="735">
        <f t="shared" si="6"/>
        <v>908</v>
      </c>
      <c r="O46" s="736">
        <f t="shared" si="7"/>
        <v>75.666666666666671</v>
      </c>
      <c r="P46" s="737">
        <f t="shared" si="3"/>
        <v>1.5716140199048032</v>
      </c>
    </row>
    <row r="47" spans="1:16" s="738" customFormat="1">
      <c r="A47" s="806" t="s">
        <v>61</v>
      </c>
      <c r="B47" s="732">
        <v>0</v>
      </c>
      <c r="C47" s="678">
        <v>0</v>
      </c>
      <c r="D47" s="733">
        <v>3</v>
      </c>
      <c r="E47" s="733">
        <v>0</v>
      </c>
      <c r="F47" s="733">
        <v>1</v>
      </c>
      <c r="G47" s="734">
        <v>0</v>
      </c>
      <c r="H47" s="734">
        <v>3</v>
      </c>
      <c r="I47" s="734">
        <v>3</v>
      </c>
      <c r="J47" s="733">
        <v>0</v>
      </c>
      <c r="K47" s="678">
        <v>1</v>
      </c>
      <c r="L47" s="678">
        <v>0</v>
      </c>
      <c r="M47" s="678">
        <v>0</v>
      </c>
      <c r="N47" s="735">
        <f t="shared" si="6"/>
        <v>11</v>
      </c>
      <c r="O47" s="736">
        <f t="shared" si="7"/>
        <v>0.91666666666666663</v>
      </c>
      <c r="P47" s="737">
        <f t="shared" si="3"/>
        <v>1.9039376893119863E-2</v>
      </c>
    </row>
    <row r="48" spans="1:16" s="738" customFormat="1">
      <c r="A48" s="806" t="s">
        <v>62</v>
      </c>
      <c r="B48" s="732">
        <v>8</v>
      </c>
      <c r="C48" s="678">
        <v>8</v>
      </c>
      <c r="D48" s="733">
        <v>5</v>
      </c>
      <c r="E48" s="733">
        <v>1</v>
      </c>
      <c r="F48" s="733">
        <v>0</v>
      </c>
      <c r="G48" s="734">
        <v>2</v>
      </c>
      <c r="H48" s="734">
        <v>4</v>
      </c>
      <c r="I48" s="734">
        <v>13</v>
      </c>
      <c r="J48" s="733">
        <v>2</v>
      </c>
      <c r="K48" s="678">
        <v>4</v>
      </c>
      <c r="L48" s="678">
        <v>3</v>
      </c>
      <c r="M48" s="678">
        <v>5</v>
      </c>
      <c r="N48" s="735">
        <f t="shared" si="6"/>
        <v>55</v>
      </c>
      <c r="O48" s="736">
        <f t="shared" si="7"/>
        <v>4.583333333333333</v>
      </c>
      <c r="P48" s="737">
        <f t="shared" si="3"/>
        <v>9.5196884465599318E-2</v>
      </c>
    </row>
    <row r="49" spans="1:16" s="738" customFormat="1">
      <c r="A49" s="805" t="s">
        <v>63</v>
      </c>
      <c r="B49" s="732">
        <v>2</v>
      </c>
      <c r="C49" s="678">
        <v>1</v>
      </c>
      <c r="D49" s="733">
        <v>2</v>
      </c>
      <c r="E49" s="733">
        <v>3</v>
      </c>
      <c r="F49" s="733">
        <v>2</v>
      </c>
      <c r="G49" s="734">
        <v>2</v>
      </c>
      <c r="H49" s="734">
        <v>0</v>
      </c>
      <c r="I49" s="734">
        <v>0</v>
      </c>
      <c r="J49" s="733">
        <v>0</v>
      </c>
      <c r="K49" s="678">
        <v>1</v>
      </c>
      <c r="L49" s="678">
        <v>1</v>
      </c>
      <c r="M49" s="678">
        <v>0</v>
      </c>
      <c r="N49" s="735">
        <f t="shared" si="6"/>
        <v>14</v>
      </c>
      <c r="O49" s="736">
        <f t="shared" si="7"/>
        <v>1.1666666666666667</v>
      </c>
      <c r="P49" s="737">
        <f t="shared" si="3"/>
        <v>2.4231934227607096E-2</v>
      </c>
    </row>
    <row r="50" spans="1:16" s="738" customFormat="1">
      <c r="A50" s="806" t="s">
        <v>64</v>
      </c>
      <c r="B50" s="732">
        <v>21</v>
      </c>
      <c r="C50" s="678">
        <v>21</v>
      </c>
      <c r="D50" s="733">
        <v>12</v>
      </c>
      <c r="E50" s="733">
        <v>18</v>
      </c>
      <c r="F50" s="733">
        <v>16</v>
      </c>
      <c r="G50" s="734">
        <v>20</v>
      </c>
      <c r="H50" s="734">
        <v>15</v>
      </c>
      <c r="I50" s="734">
        <v>18</v>
      </c>
      <c r="J50" s="733">
        <v>10</v>
      </c>
      <c r="K50" s="678">
        <v>11</v>
      </c>
      <c r="L50" s="678">
        <v>18</v>
      </c>
      <c r="M50" s="678">
        <v>28</v>
      </c>
      <c r="N50" s="735">
        <f t="shared" si="6"/>
        <v>208</v>
      </c>
      <c r="O50" s="736">
        <f t="shared" si="7"/>
        <v>17.333333333333332</v>
      </c>
      <c r="P50" s="737">
        <f t="shared" si="3"/>
        <v>0.3600173085244483</v>
      </c>
    </row>
    <row r="51" spans="1:16" s="738" customFormat="1">
      <c r="A51" s="806" t="s">
        <v>65</v>
      </c>
      <c r="B51" s="732">
        <v>14</v>
      </c>
      <c r="C51" s="678">
        <v>5</v>
      </c>
      <c r="D51" s="733">
        <v>6</v>
      </c>
      <c r="E51" s="733">
        <v>2</v>
      </c>
      <c r="F51" s="733">
        <v>0</v>
      </c>
      <c r="G51" s="734">
        <v>4</v>
      </c>
      <c r="H51" s="734">
        <v>0</v>
      </c>
      <c r="I51" s="734">
        <v>2</v>
      </c>
      <c r="J51" s="733">
        <v>4</v>
      </c>
      <c r="K51" s="678">
        <v>3</v>
      </c>
      <c r="L51" s="678">
        <v>0</v>
      </c>
      <c r="M51" s="678">
        <v>4</v>
      </c>
      <c r="N51" s="735">
        <f t="shared" si="6"/>
        <v>44</v>
      </c>
      <c r="O51" s="736">
        <f t="shared" si="7"/>
        <v>3.6666666666666665</v>
      </c>
      <c r="P51" s="737">
        <f t="shared" si="3"/>
        <v>7.6157507572479452E-2</v>
      </c>
    </row>
    <row r="52" spans="1:16" s="738" customFormat="1">
      <c r="A52" s="806" t="s">
        <v>66</v>
      </c>
      <c r="B52" s="732">
        <v>4</v>
      </c>
      <c r="C52" s="678">
        <v>10</v>
      </c>
      <c r="D52" s="733">
        <v>7</v>
      </c>
      <c r="E52" s="733">
        <v>6</v>
      </c>
      <c r="F52" s="733">
        <v>0</v>
      </c>
      <c r="G52" s="734">
        <v>3</v>
      </c>
      <c r="H52" s="734">
        <v>4</v>
      </c>
      <c r="I52" s="734">
        <v>4</v>
      </c>
      <c r="J52" s="733">
        <v>2</v>
      </c>
      <c r="K52" s="678">
        <v>2</v>
      </c>
      <c r="L52" s="678">
        <v>8</v>
      </c>
      <c r="M52" s="678">
        <v>4</v>
      </c>
      <c r="N52" s="735">
        <f t="shared" si="6"/>
        <v>54</v>
      </c>
      <c r="O52" s="736">
        <f t="shared" si="7"/>
        <v>4.5</v>
      </c>
      <c r="P52" s="737">
        <f t="shared" si="3"/>
        <v>9.3466032020770223E-2</v>
      </c>
    </row>
    <row r="53" spans="1:16" s="738" customFormat="1">
      <c r="A53" s="806" t="s">
        <v>67</v>
      </c>
      <c r="B53" s="732">
        <v>5</v>
      </c>
      <c r="C53" s="678">
        <v>2</v>
      </c>
      <c r="D53" s="733">
        <v>3</v>
      </c>
      <c r="E53" s="733">
        <v>3</v>
      </c>
      <c r="F53" s="733">
        <v>9</v>
      </c>
      <c r="G53" s="734">
        <v>1</v>
      </c>
      <c r="H53" s="734">
        <v>2</v>
      </c>
      <c r="I53" s="734">
        <v>5</v>
      </c>
      <c r="J53" s="733">
        <v>4</v>
      </c>
      <c r="K53" s="678">
        <v>5</v>
      </c>
      <c r="L53" s="678">
        <v>5</v>
      </c>
      <c r="M53" s="678">
        <v>3</v>
      </c>
      <c r="N53" s="735">
        <f t="shared" si="6"/>
        <v>47</v>
      </c>
      <c r="O53" s="736">
        <f t="shared" si="7"/>
        <v>3.9166666666666665</v>
      </c>
      <c r="P53" s="737">
        <f t="shared" si="3"/>
        <v>8.1350064906966682E-2</v>
      </c>
    </row>
    <row r="54" spans="1:16" s="738" customFormat="1">
      <c r="A54" s="806" t="s">
        <v>68</v>
      </c>
      <c r="B54" s="732">
        <v>55</v>
      </c>
      <c r="C54" s="678">
        <v>63</v>
      </c>
      <c r="D54" s="733">
        <v>65</v>
      </c>
      <c r="E54" s="733">
        <v>54</v>
      </c>
      <c r="F54" s="733">
        <v>48</v>
      </c>
      <c r="G54" s="734">
        <v>49</v>
      </c>
      <c r="H54" s="734">
        <v>32</v>
      </c>
      <c r="I54" s="734">
        <v>20</v>
      </c>
      <c r="J54" s="733">
        <v>18</v>
      </c>
      <c r="K54" s="678">
        <v>14</v>
      </c>
      <c r="L54" s="678">
        <v>20</v>
      </c>
      <c r="M54" s="678">
        <v>26</v>
      </c>
      <c r="N54" s="735">
        <f t="shared" si="6"/>
        <v>464</v>
      </c>
      <c r="O54" s="736">
        <f t="shared" si="7"/>
        <v>38.666666666666664</v>
      </c>
      <c r="P54" s="737">
        <f t="shared" si="3"/>
        <v>0.80311553440069239</v>
      </c>
    </row>
    <row r="55" spans="1:16" s="738" customFormat="1">
      <c r="A55" s="806" t="s">
        <v>69</v>
      </c>
      <c r="B55" s="732">
        <v>30</v>
      </c>
      <c r="C55" s="678">
        <v>33</v>
      </c>
      <c r="D55" s="733">
        <v>19</v>
      </c>
      <c r="E55" s="733">
        <v>32</v>
      </c>
      <c r="F55" s="733">
        <v>18</v>
      </c>
      <c r="G55" s="734">
        <v>6</v>
      </c>
      <c r="H55" s="734">
        <v>7</v>
      </c>
      <c r="I55" s="734">
        <v>8</v>
      </c>
      <c r="J55" s="733">
        <v>11</v>
      </c>
      <c r="K55" s="678">
        <v>31</v>
      </c>
      <c r="L55" s="678">
        <v>16</v>
      </c>
      <c r="M55" s="678">
        <v>13</v>
      </c>
      <c r="N55" s="735">
        <f t="shared" si="6"/>
        <v>224</v>
      </c>
      <c r="O55" s="736">
        <f t="shared" si="7"/>
        <v>18.666666666666668</v>
      </c>
      <c r="P55" s="737">
        <f t="shared" si="3"/>
        <v>0.38771094764171354</v>
      </c>
    </row>
    <row r="56" spans="1:16" s="738" customFormat="1">
      <c r="A56" s="806" t="s">
        <v>70</v>
      </c>
      <c r="B56" s="732">
        <v>0</v>
      </c>
      <c r="C56" s="678">
        <v>1</v>
      </c>
      <c r="D56" s="733">
        <v>0</v>
      </c>
      <c r="E56" s="733">
        <v>0</v>
      </c>
      <c r="F56" s="733">
        <v>0</v>
      </c>
      <c r="G56" s="734">
        <v>0</v>
      </c>
      <c r="H56" s="734">
        <v>0</v>
      </c>
      <c r="I56" s="734">
        <v>0</v>
      </c>
      <c r="J56" s="733">
        <v>0</v>
      </c>
      <c r="K56" s="678">
        <v>0</v>
      </c>
      <c r="L56" s="678">
        <v>0</v>
      </c>
      <c r="M56" s="678">
        <v>0</v>
      </c>
      <c r="N56" s="735">
        <f t="shared" si="6"/>
        <v>1</v>
      </c>
      <c r="O56" s="736">
        <f t="shared" si="7"/>
        <v>8.3333333333333329E-2</v>
      </c>
      <c r="P56" s="737">
        <f t="shared" si="3"/>
        <v>1.7308524448290783E-3</v>
      </c>
    </row>
    <row r="57" spans="1:16" s="738" customFormat="1">
      <c r="A57" s="806" t="s">
        <v>71</v>
      </c>
      <c r="B57" s="732">
        <v>6</v>
      </c>
      <c r="C57" s="678">
        <v>9</v>
      </c>
      <c r="D57" s="733">
        <v>11</v>
      </c>
      <c r="E57" s="733">
        <v>4</v>
      </c>
      <c r="F57" s="733">
        <v>10</v>
      </c>
      <c r="G57" s="734">
        <v>10</v>
      </c>
      <c r="H57" s="734">
        <v>10</v>
      </c>
      <c r="I57" s="734">
        <v>9</v>
      </c>
      <c r="J57" s="733">
        <v>7</v>
      </c>
      <c r="K57" s="678">
        <v>10</v>
      </c>
      <c r="L57" s="678">
        <v>4</v>
      </c>
      <c r="M57" s="678">
        <v>7</v>
      </c>
      <c r="N57" s="735">
        <f t="shared" si="6"/>
        <v>97</v>
      </c>
      <c r="O57" s="736">
        <f t="shared" si="7"/>
        <v>8.0833333333333339</v>
      </c>
      <c r="P57" s="737">
        <f t="shared" si="3"/>
        <v>0.16789268714842059</v>
      </c>
    </row>
    <row r="58" spans="1:16" s="738" customFormat="1">
      <c r="A58" s="806" t="s">
        <v>447</v>
      </c>
      <c r="B58" s="732">
        <v>3</v>
      </c>
      <c r="C58" s="678">
        <v>1</v>
      </c>
      <c r="D58" s="733">
        <v>2</v>
      </c>
      <c r="E58" s="733">
        <v>4</v>
      </c>
      <c r="F58" s="733">
        <v>0</v>
      </c>
      <c r="G58" s="734">
        <v>0</v>
      </c>
      <c r="H58" s="734">
        <v>0</v>
      </c>
      <c r="I58" s="734">
        <v>0</v>
      </c>
      <c r="J58" s="733">
        <v>0</v>
      </c>
      <c r="K58" s="678">
        <v>0</v>
      </c>
      <c r="L58" s="678">
        <v>0</v>
      </c>
      <c r="M58" s="678">
        <v>0</v>
      </c>
      <c r="N58" s="735">
        <f t="shared" si="6"/>
        <v>10</v>
      </c>
      <c r="O58" s="736">
        <f t="shared" si="7"/>
        <v>0.83333333333333337</v>
      </c>
      <c r="P58" s="737">
        <f t="shared" si="3"/>
        <v>1.7308524448290785E-2</v>
      </c>
    </row>
    <row r="59" spans="1:16" s="738" customFormat="1">
      <c r="A59" s="806" t="s">
        <v>480</v>
      </c>
      <c r="B59" s="732">
        <v>0</v>
      </c>
      <c r="C59" s="678">
        <v>1</v>
      </c>
      <c r="D59" s="733">
        <v>0</v>
      </c>
      <c r="E59" s="733">
        <v>0</v>
      </c>
      <c r="F59" s="733">
        <v>0</v>
      </c>
      <c r="G59" s="734">
        <v>0</v>
      </c>
      <c r="H59" s="734">
        <v>0</v>
      </c>
      <c r="I59" s="734">
        <v>0</v>
      </c>
      <c r="J59" s="733">
        <v>0</v>
      </c>
      <c r="K59" s="678">
        <v>0</v>
      </c>
      <c r="L59" s="678">
        <v>0</v>
      </c>
      <c r="M59" s="678">
        <v>0</v>
      </c>
      <c r="N59" s="735">
        <f t="shared" si="6"/>
        <v>1</v>
      </c>
      <c r="O59" s="736">
        <f t="shared" si="7"/>
        <v>8.3333333333333329E-2</v>
      </c>
      <c r="P59" s="737">
        <f t="shared" si="3"/>
        <v>1.7308524448290783E-3</v>
      </c>
    </row>
    <row r="60" spans="1:16" s="738" customFormat="1">
      <c r="A60" s="806" t="s">
        <v>72</v>
      </c>
      <c r="B60" s="732">
        <v>23</v>
      </c>
      <c r="C60" s="678">
        <v>19</v>
      </c>
      <c r="D60" s="733">
        <v>2</v>
      </c>
      <c r="E60" s="733">
        <v>1</v>
      </c>
      <c r="F60" s="733">
        <v>3</v>
      </c>
      <c r="G60" s="734">
        <v>4</v>
      </c>
      <c r="H60" s="734">
        <v>1</v>
      </c>
      <c r="I60" s="734">
        <v>2</v>
      </c>
      <c r="J60" s="733">
        <v>0</v>
      </c>
      <c r="K60" s="678">
        <v>0</v>
      </c>
      <c r="L60" s="678">
        <v>3</v>
      </c>
      <c r="M60" s="678">
        <v>1</v>
      </c>
      <c r="N60" s="735">
        <f t="shared" si="6"/>
        <v>59</v>
      </c>
      <c r="O60" s="736">
        <f t="shared" si="7"/>
        <v>4.916666666666667</v>
      </c>
      <c r="P60" s="737">
        <f t="shared" si="3"/>
        <v>0.10212029424491562</v>
      </c>
    </row>
    <row r="61" spans="1:16" s="738" customFormat="1">
      <c r="A61" s="806" t="s">
        <v>73</v>
      </c>
      <c r="B61" s="732">
        <v>27</v>
      </c>
      <c r="C61" s="678">
        <v>15</v>
      </c>
      <c r="D61" s="733">
        <v>14</v>
      </c>
      <c r="E61" s="733">
        <v>9</v>
      </c>
      <c r="F61" s="733">
        <v>12</v>
      </c>
      <c r="G61" s="734">
        <v>16</v>
      </c>
      <c r="H61" s="734">
        <v>7</v>
      </c>
      <c r="I61" s="734">
        <v>11</v>
      </c>
      <c r="J61" s="733">
        <v>14</v>
      </c>
      <c r="K61" s="678">
        <v>9</v>
      </c>
      <c r="L61" s="678">
        <v>11</v>
      </c>
      <c r="M61" s="678">
        <v>20</v>
      </c>
      <c r="N61" s="735">
        <f t="shared" si="6"/>
        <v>165</v>
      </c>
      <c r="O61" s="736">
        <f t="shared" si="7"/>
        <v>13.75</v>
      </c>
      <c r="P61" s="737">
        <f t="shared" si="3"/>
        <v>0.2855906533967979</v>
      </c>
    </row>
    <row r="62" spans="1:16" s="738" customFormat="1">
      <c r="A62" s="806" t="s">
        <v>74</v>
      </c>
      <c r="B62" s="732">
        <v>15</v>
      </c>
      <c r="C62" s="678">
        <v>23</v>
      </c>
      <c r="D62" s="733">
        <v>16</v>
      </c>
      <c r="E62" s="733">
        <v>12</v>
      </c>
      <c r="F62" s="733">
        <v>15</v>
      </c>
      <c r="G62" s="734">
        <v>15</v>
      </c>
      <c r="H62" s="734">
        <v>19</v>
      </c>
      <c r="I62" s="734">
        <v>9</v>
      </c>
      <c r="J62" s="733">
        <v>12</v>
      </c>
      <c r="K62" s="678">
        <v>12</v>
      </c>
      <c r="L62" s="678">
        <v>14</v>
      </c>
      <c r="M62" s="678">
        <v>9</v>
      </c>
      <c r="N62" s="735">
        <f t="shared" si="6"/>
        <v>171</v>
      </c>
      <c r="O62" s="736">
        <f t="shared" si="7"/>
        <v>14.25</v>
      </c>
      <c r="P62" s="737">
        <f t="shared" si="3"/>
        <v>0.29597576806577242</v>
      </c>
    </row>
    <row r="63" spans="1:16" s="738" customFormat="1">
      <c r="A63" s="806" t="s">
        <v>75</v>
      </c>
      <c r="B63" s="732">
        <v>1</v>
      </c>
      <c r="C63" s="678">
        <v>2</v>
      </c>
      <c r="D63" s="733">
        <v>6</v>
      </c>
      <c r="E63" s="733">
        <v>2</v>
      </c>
      <c r="F63" s="733">
        <v>0</v>
      </c>
      <c r="G63" s="734">
        <v>3</v>
      </c>
      <c r="H63" s="734">
        <v>1</v>
      </c>
      <c r="I63" s="734">
        <v>3</v>
      </c>
      <c r="J63" s="733">
        <v>1</v>
      </c>
      <c r="K63" s="678">
        <v>0</v>
      </c>
      <c r="L63" s="678">
        <v>1</v>
      </c>
      <c r="M63" s="678">
        <v>3</v>
      </c>
      <c r="N63" s="735">
        <f t="shared" si="6"/>
        <v>23</v>
      </c>
      <c r="O63" s="736">
        <f t="shared" si="7"/>
        <v>1.9166666666666667</v>
      </c>
      <c r="P63" s="737">
        <f t="shared" si="3"/>
        <v>3.9809606231068807E-2</v>
      </c>
    </row>
    <row r="64" spans="1:16" s="738" customFormat="1">
      <c r="A64" s="806" t="s">
        <v>76</v>
      </c>
      <c r="B64" s="732">
        <v>2</v>
      </c>
      <c r="C64" s="678">
        <v>1</v>
      </c>
      <c r="D64" s="733">
        <v>9</v>
      </c>
      <c r="E64" s="733">
        <v>5</v>
      </c>
      <c r="F64" s="733">
        <v>9</v>
      </c>
      <c r="G64" s="734">
        <v>7</v>
      </c>
      <c r="H64" s="734">
        <v>5</v>
      </c>
      <c r="I64" s="734">
        <v>0</v>
      </c>
      <c r="J64" s="733">
        <v>2</v>
      </c>
      <c r="K64" s="678">
        <v>0</v>
      </c>
      <c r="L64" s="678">
        <v>1</v>
      </c>
      <c r="M64" s="678">
        <v>2</v>
      </c>
      <c r="N64" s="735">
        <f t="shared" si="6"/>
        <v>43</v>
      </c>
      <c r="O64" s="736">
        <f t="shared" si="7"/>
        <v>3.5833333333333335</v>
      </c>
      <c r="P64" s="737">
        <f t="shared" si="3"/>
        <v>7.4426655127650371E-2</v>
      </c>
    </row>
    <row r="65" spans="1:16" s="738" customFormat="1">
      <c r="A65" s="806" t="s">
        <v>77</v>
      </c>
      <c r="B65" s="732">
        <v>0</v>
      </c>
      <c r="C65" s="678">
        <v>0</v>
      </c>
      <c r="D65" s="733">
        <v>0</v>
      </c>
      <c r="E65" s="733">
        <v>0</v>
      </c>
      <c r="F65" s="733">
        <v>0</v>
      </c>
      <c r="G65" s="734">
        <v>0</v>
      </c>
      <c r="H65" s="734">
        <v>0</v>
      </c>
      <c r="I65" s="734">
        <v>0</v>
      </c>
      <c r="J65" s="733">
        <v>0</v>
      </c>
      <c r="K65" s="678">
        <v>0</v>
      </c>
      <c r="L65" s="678">
        <v>0</v>
      </c>
      <c r="M65" s="678">
        <v>0</v>
      </c>
      <c r="N65" s="735">
        <f t="shared" si="6"/>
        <v>0</v>
      </c>
      <c r="O65" s="736">
        <f t="shared" si="7"/>
        <v>0</v>
      </c>
      <c r="P65" s="737">
        <f t="shared" si="3"/>
        <v>0</v>
      </c>
    </row>
    <row r="66" spans="1:16" s="738" customFormat="1">
      <c r="A66" s="806" t="s">
        <v>78</v>
      </c>
      <c r="B66" s="732">
        <v>2</v>
      </c>
      <c r="C66" s="678">
        <v>6</v>
      </c>
      <c r="D66" s="733">
        <v>7</v>
      </c>
      <c r="E66" s="733">
        <v>3</v>
      </c>
      <c r="F66" s="733">
        <v>4</v>
      </c>
      <c r="G66" s="734">
        <v>6</v>
      </c>
      <c r="H66" s="734">
        <v>8</v>
      </c>
      <c r="I66" s="734">
        <v>3</v>
      </c>
      <c r="J66" s="733">
        <v>1</v>
      </c>
      <c r="K66" s="678">
        <v>2</v>
      </c>
      <c r="L66" s="678">
        <v>2</v>
      </c>
      <c r="M66" s="678">
        <v>0</v>
      </c>
      <c r="N66" s="735">
        <f t="shared" si="6"/>
        <v>44</v>
      </c>
      <c r="O66" s="736">
        <f t="shared" si="7"/>
        <v>3.6666666666666665</v>
      </c>
      <c r="P66" s="737">
        <f t="shared" si="3"/>
        <v>7.6157507572479452E-2</v>
      </c>
    </row>
    <row r="67" spans="1:16" s="738" customFormat="1">
      <c r="A67" s="806" t="s">
        <v>79</v>
      </c>
      <c r="B67" s="732">
        <v>0</v>
      </c>
      <c r="C67" s="678">
        <v>0</v>
      </c>
      <c r="D67" s="733">
        <v>0</v>
      </c>
      <c r="E67" s="733">
        <v>0</v>
      </c>
      <c r="F67" s="733">
        <v>0</v>
      </c>
      <c r="G67" s="734">
        <v>0</v>
      </c>
      <c r="H67" s="734">
        <v>0</v>
      </c>
      <c r="I67" s="734">
        <v>0</v>
      </c>
      <c r="J67" s="733">
        <v>0</v>
      </c>
      <c r="K67" s="678">
        <v>0</v>
      </c>
      <c r="L67" s="678">
        <v>0</v>
      </c>
      <c r="M67" s="678">
        <v>0</v>
      </c>
      <c r="N67" s="735">
        <f t="shared" si="6"/>
        <v>0</v>
      </c>
      <c r="O67" s="736">
        <f t="shared" si="7"/>
        <v>0</v>
      </c>
      <c r="P67" s="737">
        <f t="shared" si="3"/>
        <v>0</v>
      </c>
    </row>
    <row r="68" spans="1:16" s="738" customFormat="1">
      <c r="A68" s="806" t="s">
        <v>80</v>
      </c>
      <c r="B68" s="732">
        <v>36</v>
      </c>
      <c r="C68" s="678">
        <v>28</v>
      </c>
      <c r="D68" s="733">
        <v>49</v>
      </c>
      <c r="E68" s="733">
        <v>39</v>
      </c>
      <c r="F68" s="733">
        <v>21</v>
      </c>
      <c r="G68" s="734">
        <v>14</v>
      </c>
      <c r="H68" s="734">
        <v>9</v>
      </c>
      <c r="I68" s="734">
        <v>16</v>
      </c>
      <c r="J68" s="733">
        <v>8</v>
      </c>
      <c r="K68" s="678">
        <v>7</v>
      </c>
      <c r="L68" s="678">
        <v>4</v>
      </c>
      <c r="M68" s="678">
        <v>7</v>
      </c>
      <c r="N68" s="735">
        <f t="shared" si="6"/>
        <v>238</v>
      </c>
      <c r="O68" s="736">
        <f t="shared" si="7"/>
        <v>19.833333333333332</v>
      </c>
      <c r="P68" s="737">
        <f t="shared" si="3"/>
        <v>0.41194288186932065</v>
      </c>
    </row>
    <row r="69" spans="1:16" s="738" customFormat="1">
      <c r="A69" s="806" t="s">
        <v>81</v>
      </c>
      <c r="B69" s="732">
        <v>1</v>
      </c>
      <c r="C69" s="678">
        <v>2</v>
      </c>
      <c r="D69" s="733">
        <v>5</v>
      </c>
      <c r="E69" s="733">
        <v>1</v>
      </c>
      <c r="F69" s="733">
        <v>1</v>
      </c>
      <c r="G69" s="734">
        <v>4</v>
      </c>
      <c r="H69" s="734">
        <v>2</v>
      </c>
      <c r="I69" s="734">
        <v>1</v>
      </c>
      <c r="J69" s="733">
        <v>0</v>
      </c>
      <c r="K69" s="678">
        <v>2</v>
      </c>
      <c r="L69" s="678">
        <v>3</v>
      </c>
      <c r="M69" s="678">
        <v>2</v>
      </c>
      <c r="N69" s="735">
        <f t="shared" si="6"/>
        <v>24</v>
      </c>
      <c r="O69" s="736">
        <f t="shared" si="7"/>
        <v>2</v>
      </c>
      <c r="P69" s="737">
        <f t="shared" ref="P69:P80" si="8">(N69/$N$220)*100</f>
        <v>4.1540458675897875E-2</v>
      </c>
    </row>
    <row r="70" spans="1:16" s="738" customFormat="1">
      <c r="A70" s="806" t="s">
        <v>475</v>
      </c>
      <c r="B70" s="732">
        <v>0</v>
      </c>
      <c r="C70" s="678">
        <v>0</v>
      </c>
      <c r="D70" s="733">
        <v>3</v>
      </c>
      <c r="E70" s="733">
        <v>0</v>
      </c>
      <c r="F70" s="733">
        <v>0</v>
      </c>
      <c r="G70" s="734">
        <v>0</v>
      </c>
      <c r="H70" s="734">
        <v>0</v>
      </c>
      <c r="I70" s="734">
        <v>0</v>
      </c>
      <c r="J70" s="733">
        <v>0</v>
      </c>
      <c r="K70" s="678">
        <v>0</v>
      </c>
      <c r="L70" s="678">
        <v>0</v>
      </c>
      <c r="M70" s="678">
        <v>0</v>
      </c>
      <c r="N70" s="735">
        <f t="shared" si="6"/>
        <v>3</v>
      </c>
      <c r="O70" s="736">
        <f t="shared" si="7"/>
        <v>0.25</v>
      </c>
      <c r="P70" s="737">
        <f t="shared" si="8"/>
        <v>5.1925573344872343E-3</v>
      </c>
    </row>
    <row r="71" spans="1:16" s="738" customFormat="1">
      <c r="A71" s="806" t="s">
        <v>82</v>
      </c>
      <c r="B71" s="732">
        <v>27</v>
      </c>
      <c r="C71" s="678">
        <v>40</v>
      </c>
      <c r="D71" s="733">
        <v>30</v>
      </c>
      <c r="E71" s="733">
        <v>18</v>
      </c>
      <c r="F71" s="733">
        <v>51</v>
      </c>
      <c r="G71" s="734">
        <v>38</v>
      </c>
      <c r="H71" s="734">
        <v>9</v>
      </c>
      <c r="I71" s="734">
        <v>34</v>
      </c>
      <c r="J71" s="733">
        <v>37</v>
      </c>
      <c r="K71" s="678">
        <v>32</v>
      </c>
      <c r="L71" s="678">
        <v>51</v>
      </c>
      <c r="M71" s="678">
        <v>30</v>
      </c>
      <c r="N71" s="735">
        <f t="shared" si="6"/>
        <v>397</v>
      </c>
      <c r="O71" s="736">
        <f t="shared" si="7"/>
        <v>33.083333333333336</v>
      </c>
      <c r="P71" s="737">
        <f t="shared" si="8"/>
        <v>0.68714842059714409</v>
      </c>
    </row>
    <row r="72" spans="1:16" s="738" customFormat="1">
      <c r="A72" s="806" t="s">
        <v>83</v>
      </c>
      <c r="B72" s="732">
        <v>0</v>
      </c>
      <c r="C72" s="678">
        <v>3</v>
      </c>
      <c r="D72" s="733">
        <v>4</v>
      </c>
      <c r="E72" s="733">
        <v>2</v>
      </c>
      <c r="F72" s="733">
        <v>3</v>
      </c>
      <c r="G72" s="734">
        <v>2</v>
      </c>
      <c r="H72" s="734">
        <v>1</v>
      </c>
      <c r="I72" s="734">
        <v>1</v>
      </c>
      <c r="J72" s="733">
        <v>2</v>
      </c>
      <c r="K72" s="678">
        <v>3</v>
      </c>
      <c r="L72" s="678">
        <v>2</v>
      </c>
      <c r="M72" s="678">
        <v>0</v>
      </c>
      <c r="N72" s="735">
        <f t="shared" si="6"/>
        <v>23</v>
      </c>
      <c r="O72" s="736">
        <f t="shared" si="7"/>
        <v>1.9166666666666667</v>
      </c>
      <c r="P72" s="737">
        <f t="shared" si="8"/>
        <v>3.9809606231068807E-2</v>
      </c>
    </row>
    <row r="73" spans="1:16" s="738" customFormat="1">
      <c r="A73" s="806" t="s">
        <v>84</v>
      </c>
      <c r="B73" s="732">
        <v>0</v>
      </c>
      <c r="C73" s="678">
        <v>0</v>
      </c>
      <c r="D73" s="733">
        <v>0</v>
      </c>
      <c r="E73" s="733">
        <v>0</v>
      </c>
      <c r="F73" s="733">
        <v>0</v>
      </c>
      <c r="G73" s="734">
        <v>0</v>
      </c>
      <c r="H73" s="734">
        <v>0</v>
      </c>
      <c r="I73" s="734">
        <v>0</v>
      </c>
      <c r="J73" s="733">
        <v>0</v>
      </c>
      <c r="K73" s="678">
        <v>0</v>
      </c>
      <c r="L73" s="678">
        <v>0</v>
      </c>
      <c r="M73" s="678">
        <v>0</v>
      </c>
      <c r="N73" s="735">
        <f t="shared" si="6"/>
        <v>0</v>
      </c>
      <c r="O73" s="736">
        <f t="shared" si="7"/>
        <v>0</v>
      </c>
      <c r="P73" s="737">
        <f t="shared" si="8"/>
        <v>0</v>
      </c>
    </row>
    <row r="74" spans="1:16" s="738" customFormat="1">
      <c r="A74" s="806" t="s">
        <v>85</v>
      </c>
      <c r="B74" s="732">
        <v>13</v>
      </c>
      <c r="C74" s="678">
        <v>4</v>
      </c>
      <c r="D74" s="733">
        <v>1</v>
      </c>
      <c r="E74" s="733">
        <v>4</v>
      </c>
      <c r="F74" s="733">
        <v>7</v>
      </c>
      <c r="G74" s="734">
        <v>6</v>
      </c>
      <c r="H74" s="734">
        <v>6</v>
      </c>
      <c r="I74" s="734">
        <v>8</v>
      </c>
      <c r="J74" s="733">
        <v>5</v>
      </c>
      <c r="K74" s="678">
        <v>4</v>
      </c>
      <c r="L74" s="678">
        <v>9</v>
      </c>
      <c r="M74" s="678">
        <v>8</v>
      </c>
      <c r="N74" s="735">
        <f t="shared" si="6"/>
        <v>75</v>
      </c>
      <c r="O74" s="736">
        <f t="shared" si="7"/>
        <v>6.25</v>
      </c>
      <c r="P74" s="737">
        <f t="shared" si="8"/>
        <v>0.12981393336218089</v>
      </c>
    </row>
    <row r="75" spans="1:16" s="738" customFormat="1">
      <c r="A75" s="806" t="s">
        <v>86</v>
      </c>
      <c r="B75" s="732">
        <v>15</v>
      </c>
      <c r="C75" s="678">
        <v>13</v>
      </c>
      <c r="D75" s="733">
        <v>18</v>
      </c>
      <c r="E75" s="733">
        <v>11</v>
      </c>
      <c r="F75" s="733">
        <v>4</v>
      </c>
      <c r="G75" s="734">
        <v>3</v>
      </c>
      <c r="H75" s="734">
        <v>5</v>
      </c>
      <c r="I75" s="734">
        <v>3</v>
      </c>
      <c r="J75" s="733">
        <v>4</v>
      </c>
      <c r="K75" s="678">
        <v>4</v>
      </c>
      <c r="L75" s="678">
        <v>0</v>
      </c>
      <c r="M75" s="678">
        <v>0</v>
      </c>
      <c r="N75" s="735">
        <f t="shared" ref="N75:N112" si="9">SUM(B75:M75)</f>
        <v>80</v>
      </c>
      <c r="O75" s="736">
        <f t="shared" ref="O75:O112" si="10">AVERAGE(B75:M75)</f>
        <v>6.666666666666667</v>
      </c>
      <c r="P75" s="737">
        <f t="shared" si="8"/>
        <v>0.13846819558632628</v>
      </c>
    </row>
    <row r="76" spans="1:16" s="738" customFormat="1">
      <c r="A76" s="806" t="s">
        <v>87</v>
      </c>
      <c r="B76" s="732">
        <v>29</v>
      </c>
      <c r="C76" s="678">
        <v>69</v>
      </c>
      <c r="D76" s="733">
        <v>12</v>
      </c>
      <c r="E76" s="733">
        <v>9</v>
      </c>
      <c r="F76" s="733">
        <v>13</v>
      </c>
      <c r="G76" s="734">
        <v>14</v>
      </c>
      <c r="H76" s="734">
        <v>15</v>
      </c>
      <c r="I76" s="734">
        <v>6</v>
      </c>
      <c r="J76" s="733">
        <v>11</v>
      </c>
      <c r="K76" s="678">
        <v>29</v>
      </c>
      <c r="L76" s="678">
        <v>30</v>
      </c>
      <c r="M76" s="678">
        <v>27</v>
      </c>
      <c r="N76" s="735">
        <f t="shared" si="9"/>
        <v>264</v>
      </c>
      <c r="O76" s="736">
        <f t="shared" si="10"/>
        <v>22</v>
      </c>
      <c r="P76" s="737">
        <f t="shared" si="8"/>
        <v>0.45694504543487668</v>
      </c>
    </row>
    <row r="77" spans="1:16" s="738" customFormat="1">
      <c r="A77" s="806" t="s">
        <v>88</v>
      </c>
      <c r="B77" s="732">
        <v>7</v>
      </c>
      <c r="C77" s="678">
        <v>5</v>
      </c>
      <c r="D77" s="733">
        <v>2</v>
      </c>
      <c r="E77" s="733">
        <v>1</v>
      </c>
      <c r="F77" s="733">
        <v>3</v>
      </c>
      <c r="G77" s="734">
        <v>4</v>
      </c>
      <c r="H77" s="734">
        <v>3</v>
      </c>
      <c r="I77" s="734">
        <v>7</v>
      </c>
      <c r="J77" s="733">
        <v>6</v>
      </c>
      <c r="K77" s="678">
        <v>11</v>
      </c>
      <c r="L77" s="678">
        <v>5</v>
      </c>
      <c r="M77" s="678">
        <v>3</v>
      </c>
      <c r="N77" s="735">
        <f t="shared" si="9"/>
        <v>57</v>
      </c>
      <c r="O77" s="736">
        <f t="shared" si="10"/>
        <v>4.75</v>
      </c>
      <c r="P77" s="737">
        <f t="shared" si="8"/>
        <v>9.8658589355257467E-2</v>
      </c>
    </row>
    <row r="78" spans="1:16" s="738" customFormat="1">
      <c r="A78" s="806" t="s">
        <v>489</v>
      </c>
      <c r="B78" s="732">
        <v>4</v>
      </c>
      <c r="C78" s="678">
        <v>0</v>
      </c>
      <c r="D78" s="733">
        <v>0</v>
      </c>
      <c r="E78" s="733">
        <v>0</v>
      </c>
      <c r="F78" s="733">
        <v>0</v>
      </c>
      <c r="G78" s="734">
        <v>0</v>
      </c>
      <c r="H78" s="734">
        <v>0</v>
      </c>
      <c r="I78" s="734">
        <v>0</v>
      </c>
      <c r="J78" s="733">
        <v>0</v>
      </c>
      <c r="K78" s="678">
        <v>0</v>
      </c>
      <c r="L78" s="678">
        <v>0</v>
      </c>
      <c r="M78" s="678">
        <v>0</v>
      </c>
      <c r="N78" s="735">
        <f t="shared" si="9"/>
        <v>4</v>
      </c>
      <c r="O78" s="736">
        <f t="shared" si="10"/>
        <v>0.33333333333333331</v>
      </c>
      <c r="P78" s="737">
        <f t="shared" si="8"/>
        <v>6.923409779316313E-3</v>
      </c>
    </row>
    <row r="79" spans="1:16" s="738" customFormat="1">
      <c r="A79" s="806" t="s">
        <v>490</v>
      </c>
      <c r="B79" s="732">
        <v>1</v>
      </c>
      <c r="C79" s="678">
        <v>0</v>
      </c>
      <c r="D79" s="733">
        <v>0</v>
      </c>
      <c r="E79" s="733">
        <v>0</v>
      </c>
      <c r="F79" s="733">
        <v>0</v>
      </c>
      <c r="G79" s="734">
        <v>0</v>
      </c>
      <c r="H79" s="734">
        <v>0</v>
      </c>
      <c r="I79" s="734">
        <v>0</v>
      </c>
      <c r="J79" s="733">
        <v>0</v>
      </c>
      <c r="K79" s="678">
        <v>0</v>
      </c>
      <c r="L79" s="678">
        <v>0</v>
      </c>
      <c r="M79" s="678">
        <v>0</v>
      </c>
      <c r="N79" s="735">
        <f t="shared" si="9"/>
        <v>1</v>
      </c>
      <c r="O79" s="736">
        <f t="shared" si="10"/>
        <v>8.3333333333333329E-2</v>
      </c>
      <c r="P79" s="737">
        <f t="shared" si="8"/>
        <v>1.7308524448290783E-3</v>
      </c>
    </row>
    <row r="80" spans="1:16" s="738" customFormat="1">
      <c r="A80" s="806" t="s">
        <v>491</v>
      </c>
      <c r="B80" s="732">
        <v>1</v>
      </c>
      <c r="C80" s="678">
        <v>0</v>
      </c>
      <c r="D80" s="733">
        <v>0</v>
      </c>
      <c r="E80" s="733">
        <v>0</v>
      </c>
      <c r="F80" s="733">
        <v>0</v>
      </c>
      <c r="G80" s="734">
        <v>0</v>
      </c>
      <c r="H80" s="734">
        <v>0</v>
      </c>
      <c r="I80" s="734">
        <v>0</v>
      </c>
      <c r="J80" s="733">
        <v>0</v>
      </c>
      <c r="K80" s="678">
        <v>0</v>
      </c>
      <c r="L80" s="678">
        <v>0</v>
      </c>
      <c r="M80" s="678">
        <v>0</v>
      </c>
      <c r="N80" s="735">
        <f t="shared" si="9"/>
        <v>1</v>
      </c>
      <c r="O80" s="736">
        <f t="shared" si="10"/>
        <v>8.3333333333333329E-2</v>
      </c>
      <c r="P80" s="737">
        <f t="shared" si="8"/>
        <v>1.7308524448290783E-3</v>
      </c>
    </row>
    <row r="81" spans="1:16" s="738" customFormat="1">
      <c r="A81" s="806" t="s">
        <v>440</v>
      </c>
      <c r="B81" s="732">
        <v>0</v>
      </c>
      <c r="C81" s="678">
        <v>0</v>
      </c>
      <c r="D81" s="733">
        <v>1</v>
      </c>
      <c r="E81" s="733">
        <v>0</v>
      </c>
      <c r="F81" s="733">
        <v>1</v>
      </c>
      <c r="G81" s="734">
        <v>0</v>
      </c>
      <c r="H81" s="734">
        <v>0</v>
      </c>
      <c r="I81" s="734">
        <v>0</v>
      </c>
      <c r="J81" s="733">
        <v>0</v>
      </c>
      <c r="K81" s="678">
        <v>0</v>
      </c>
      <c r="L81" s="678">
        <v>0</v>
      </c>
      <c r="M81" s="678">
        <v>0</v>
      </c>
      <c r="N81" s="735">
        <f t="shared" si="9"/>
        <v>2</v>
      </c>
      <c r="O81" s="736">
        <f t="shared" si="10"/>
        <v>0.16666666666666666</v>
      </c>
      <c r="P81" s="737">
        <f t="shared" ref="P81:P90" si="11">(N81/$N$220)*100</f>
        <v>3.4617048896581565E-3</v>
      </c>
    </row>
    <row r="82" spans="1:16" s="738" customFormat="1">
      <c r="A82" s="806" t="s">
        <v>448</v>
      </c>
      <c r="B82" s="732">
        <v>1</v>
      </c>
      <c r="C82" s="678">
        <v>0</v>
      </c>
      <c r="D82" s="733">
        <v>0</v>
      </c>
      <c r="E82" s="733">
        <v>1</v>
      </c>
      <c r="F82" s="733">
        <v>0</v>
      </c>
      <c r="G82" s="734">
        <v>0</v>
      </c>
      <c r="H82" s="734">
        <v>0</v>
      </c>
      <c r="I82" s="734">
        <v>0</v>
      </c>
      <c r="J82" s="733">
        <v>0</v>
      </c>
      <c r="K82" s="678">
        <v>0</v>
      </c>
      <c r="L82" s="678">
        <v>0</v>
      </c>
      <c r="M82" s="678">
        <v>0</v>
      </c>
      <c r="N82" s="735">
        <f t="shared" si="9"/>
        <v>2</v>
      </c>
      <c r="O82" s="736">
        <f t="shared" si="10"/>
        <v>0.16666666666666666</v>
      </c>
      <c r="P82" s="737">
        <f t="shared" si="11"/>
        <v>3.4617048896581565E-3</v>
      </c>
    </row>
    <row r="83" spans="1:16" s="738" customFormat="1">
      <c r="A83" s="805" t="s">
        <v>89</v>
      </c>
      <c r="B83" s="732">
        <v>15</v>
      </c>
      <c r="C83" s="678">
        <v>14</v>
      </c>
      <c r="D83" s="733">
        <v>37</v>
      </c>
      <c r="E83" s="733">
        <v>19</v>
      </c>
      <c r="F83" s="733">
        <v>33</v>
      </c>
      <c r="G83" s="734">
        <v>38</v>
      </c>
      <c r="H83" s="734">
        <v>28</v>
      </c>
      <c r="I83" s="734">
        <v>15</v>
      </c>
      <c r="J83" s="733">
        <v>24</v>
      </c>
      <c r="K83" s="678">
        <v>42</v>
      </c>
      <c r="L83" s="678">
        <v>25</v>
      </c>
      <c r="M83" s="678">
        <v>30</v>
      </c>
      <c r="N83" s="735">
        <f t="shared" si="9"/>
        <v>320</v>
      </c>
      <c r="O83" s="736">
        <f t="shared" si="10"/>
        <v>26.666666666666668</v>
      </c>
      <c r="P83" s="737">
        <f t="shared" si="11"/>
        <v>0.55387278234530513</v>
      </c>
    </row>
    <row r="84" spans="1:16" s="738" customFormat="1">
      <c r="A84" s="806" t="s">
        <v>90</v>
      </c>
      <c r="B84" s="732">
        <v>21</v>
      </c>
      <c r="C84" s="678">
        <v>21</v>
      </c>
      <c r="D84" s="733">
        <v>16</v>
      </c>
      <c r="E84" s="733">
        <v>17</v>
      </c>
      <c r="F84" s="733">
        <v>24</v>
      </c>
      <c r="G84" s="734">
        <v>17</v>
      </c>
      <c r="H84" s="734">
        <v>11</v>
      </c>
      <c r="I84" s="734">
        <v>13</v>
      </c>
      <c r="J84" s="733">
        <v>10</v>
      </c>
      <c r="K84" s="678">
        <v>15</v>
      </c>
      <c r="L84" s="678">
        <v>15</v>
      </c>
      <c r="M84" s="678">
        <v>19</v>
      </c>
      <c r="N84" s="735">
        <f t="shared" si="9"/>
        <v>199</v>
      </c>
      <c r="O84" s="736">
        <f t="shared" si="10"/>
        <v>16.583333333333332</v>
      </c>
      <c r="P84" s="737">
        <f t="shared" si="11"/>
        <v>0.34443963652098658</v>
      </c>
    </row>
    <row r="85" spans="1:16" s="738" customFormat="1">
      <c r="A85" s="806" t="s">
        <v>91</v>
      </c>
      <c r="B85" s="732">
        <v>8</v>
      </c>
      <c r="C85" s="678">
        <v>4</v>
      </c>
      <c r="D85" s="733">
        <v>5</v>
      </c>
      <c r="E85" s="733">
        <v>1</v>
      </c>
      <c r="F85" s="733">
        <v>4</v>
      </c>
      <c r="G85" s="734">
        <v>5</v>
      </c>
      <c r="H85" s="734">
        <v>2</v>
      </c>
      <c r="I85" s="734">
        <v>3</v>
      </c>
      <c r="J85" s="733">
        <v>0</v>
      </c>
      <c r="K85" s="678">
        <v>1</v>
      </c>
      <c r="L85" s="678">
        <v>2</v>
      </c>
      <c r="M85" s="678">
        <v>7</v>
      </c>
      <c r="N85" s="735">
        <f t="shared" si="9"/>
        <v>42</v>
      </c>
      <c r="O85" s="736">
        <f t="shared" si="10"/>
        <v>3.5</v>
      </c>
      <c r="P85" s="737">
        <f t="shared" si="11"/>
        <v>7.2695802682821289E-2</v>
      </c>
    </row>
    <row r="86" spans="1:16" s="738" customFormat="1">
      <c r="A86" s="805" t="s">
        <v>93</v>
      </c>
      <c r="B86" s="732">
        <v>1</v>
      </c>
      <c r="C86" s="678">
        <v>6</v>
      </c>
      <c r="D86" s="733">
        <v>5</v>
      </c>
      <c r="E86" s="733">
        <v>12</v>
      </c>
      <c r="F86" s="733">
        <v>6</v>
      </c>
      <c r="G86" s="734">
        <v>5</v>
      </c>
      <c r="H86" s="734">
        <v>2</v>
      </c>
      <c r="I86" s="734">
        <v>6</v>
      </c>
      <c r="J86" s="733">
        <v>1</v>
      </c>
      <c r="K86" s="678">
        <v>7</v>
      </c>
      <c r="L86" s="678">
        <v>8</v>
      </c>
      <c r="M86" s="678">
        <v>21</v>
      </c>
      <c r="N86" s="735">
        <f t="shared" si="9"/>
        <v>80</v>
      </c>
      <c r="O86" s="736">
        <f t="shared" si="10"/>
        <v>6.666666666666667</v>
      </c>
      <c r="P86" s="737">
        <f t="shared" si="11"/>
        <v>0.13846819558632628</v>
      </c>
    </row>
    <row r="87" spans="1:16" s="738" customFormat="1">
      <c r="A87" s="805" t="s">
        <v>92</v>
      </c>
      <c r="B87" s="732">
        <v>2</v>
      </c>
      <c r="C87" s="678">
        <v>3</v>
      </c>
      <c r="D87" s="733">
        <v>4</v>
      </c>
      <c r="E87" s="733">
        <v>1</v>
      </c>
      <c r="F87" s="733">
        <v>1</v>
      </c>
      <c r="G87" s="734">
        <v>6</v>
      </c>
      <c r="H87" s="734">
        <v>7</v>
      </c>
      <c r="I87" s="734">
        <v>3</v>
      </c>
      <c r="J87" s="733">
        <v>0</v>
      </c>
      <c r="K87" s="678">
        <v>0</v>
      </c>
      <c r="L87" s="678">
        <v>1</v>
      </c>
      <c r="M87" s="678">
        <v>5</v>
      </c>
      <c r="N87" s="735">
        <f t="shared" si="9"/>
        <v>33</v>
      </c>
      <c r="O87" s="736">
        <f t="shared" si="10"/>
        <v>2.75</v>
      </c>
      <c r="P87" s="737">
        <f t="shared" si="11"/>
        <v>5.7118130679359586E-2</v>
      </c>
    </row>
    <row r="88" spans="1:16" s="738" customFormat="1">
      <c r="A88" s="806" t="s">
        <v>94</v>
      </c>
      <c r="B88" s="732">
        <v>83</v>
      </c>
      <c r="C88" s="678">
        <v>87</v>
      </c>
      <c r="D88" s="733">
        <v>115</v>
      </c>
      <c r="E88" s="733">
        <v>57</v>
      </c>
      <c r="F88" s="733">
        <v>48</v>
      </c>
      <c r="G88" s="734">
        <v>71</v>
      </c>
      <c r="H88" s="734">
        <v>79</v>
      </c>
      <c r="I88" s="734">
        <v>102</v>
      </c>
      <c r="J88" s="733">
        <v>130</v>
      </c>
      <c r="K88" s="678">
        <v>176</v>
      </c>
      <c r="L88" s="678">
        <v>135</v>
      </c>
      <c r="M88" s="678">
        <v>118</v>
      </c>
      <c r="N88" s="735">
        <f t="shared" si="9"/>
        <v>1201</v>
      </c>
      <c r="O88" s="736">
        <f t="shared" si="10"/>
        <v>100.08333333333333</v>
      </c>
      <c r="P88" s="737">
        <f t="shared" si="11"/>
        <v>2.078753786239723</v>
      </c>
    </row>
    <row r="89" spans="1:16" s="738" customFormat="1">
      <c r="A89" s="806" t="s">
        <v>454</v>
      </c>
      <c r="B89" s="732">
        <v>4</v>
      </c>
      <c r="C89" s="678">
        <v>8</v>
      </c>
      <c r="D89" s="733">
        <v>1</v>
      </c>
      <c r="E89" s="733">
        <v>4</v>
      </c>
      <c r="F89" s="733">
        <v>0</v>
      </c>
      <c r="G89" s="734">
        <v>2</v>
      </c>
      <c r="H89" s="734">
        <v>3</v>
      </c>
      <c r="I89" s="734">
        <v>2</v>
      </c>
      <c r="J89" s="733">
        <v>1</v>
      </c>
      <c r="K89" s="678">
        <v>0</v>
      </c>
      <c r="L89" s="678">
        <v>1</v>
      </c>
      <c r="M89" s="678">
        <v>1</v>
      </c>
      <c r="N89" s="735">
        <f t="shared" si="9"/>
        <v>27</v>
      </c>
      <c r="O89" s="736">
        <f t="shared" si="10"/>
        <v>2.25</v>
      </c>
      <c r="P89" s="737">
        <f t="shared" si="11"/>
        <v>4.6733016010385112E-2</v>
      </c>
    </row>
    <row r="90" spans="1:16" s="738" customFormat="1">
      <c r="A90" s="806" t="s">
        <v>492</v>
      </c>
      <c r="B90" s="732">
        <v>1</v>
      </c>
      <c r="C90" s="678">
        <v>0</v>
      </c>
      <c r="D90" s="733">
        <v>0</v>
      </c>
      <c r="E90" s="733">
        <v>0</v>
      </c>
      <c r="F90" s="733">
        <v>0</v>
      </c>
      <c r="G90" s="734">
        <v>0</v>
      </c>
      <c r="H90" s="734">
        <v>0</v>
      </c>
      <c r="I90" s="734">
        <v>0</v>
      </c>
      <c r="J90" s="733">
        <v>0</v>
      </c>
      <c r="K90" s="678">
        <v>0</v>
      </c>
      <c r="L90" s="678">
        <v>0</v>
      </c>
      <c r="M90" s="678">
        <v>0</v>
      </c>
      <c r="N90" s="735">
        <f t="shared" si="9"/>
        <v>1</v>
      </c>
      <c r="O90" s="736">
        <f t="shared" si="10"/>
        <v>8.3333333333333329E-2</v>
      </c>
      <c r="P90" s="737">
        <f t="shared" si="11"/>
        <v>1.7308524448290783E-3</v>
      </c>
    </row>
    <row r="91" spans="1:16" s="738" customFormat="1">
      <c r="A91" s="806" t="s">
        <v>95</v>
      </c>
      <c r="B91" s="732">
        <v>0</v>
      </c>
      <c r="C91" s="678">
        <v>0</v>
      </c>
      <c r="D91" s="733">
        <v>0</v>
      </c>
      <c r="E91" s="733">
        <v>0</v>
      </c>
      <c r="F91" s="733">
        <v>0</v>
      </c>
      <c r="G91" s="734">
        <v>0</v>
      </c>
      <c r="H91" s="734">
        <v>0</v>
      </c>
      <c r="I91" s="734">
        <v>0</v>
      </c>
      <c r="J91" s="733">
        <v>0</v>
      </c>
      <c r="K91" s="678">
        <v>0</v>
      </c>
      <c r="L91" s="678">
        <v>0</v>
      </c>
      <c r="M91" s="678">
        <v>0</v>
      </c>
      <c r="N91" s="735">
        <f t="shared" si="9"/>
        <v>0</v>
      </c>
      <c r="O91" s="736">
        <f t="shared" si="10"/>
        <v>0</v>
      </c>
      <c r="P91" s="737">
        <f t="shared" ref="P91:P122" si="12">(N91/$N$220)*100</f>
        <v>0</v>
      </c>
    </row>
    <row r="92" spans="1:16" s="738" customFormat="1">
      <c r="A92" s="806" t="s">
        <v>11</v>
      </c>
      <c r="B92" s="732">
        <v>37</v>
      </c>
      <c r="C92" s="839">
        <v>91</v>
      </c>
      <c r="D92" s="733">
        <v>73</v>
      </c>
      <c r="E92" s="733">
        <v>88</v>
      </c>
      <c r="F92" s="733">
        <v>90</v>
      </c>
      <c r="G92" s="734">
        <v>86</v>
      </c>
      <c r="H92" s="734">
        <v>36</v>
      </c>
      <c r="I92" s="734">
        <v>70</v>
      </c>
      <c r="J92" s="733">
        <v>70</v>
      </c>
      <c r="K92" s="678">
        <v>76</v>
      </c>
      <c r="L92" s="678">
        <v>55</v>
      </c>
      <c r="M92" s="678">
        <v>67</v>
      </c>
      <c r="N92" s="735">
        <f t="shared" si="9"/>
        <v>839</v>
      </c>
      <c r="O92" s="736">
        <f t="shared" si="10"/>
        <v>69.916666666666671</v>
      </c>
      <c r="P92" s="737">
        <f t="shared" si="12"/>
        <v>1.4521852012115968</v>
      </c>
    </row>
    <row r="93" spans="1:16" s="738" customFormat="1">
      <c r="A93" s="806" t="s">
        <v>96</v>
      </c>
      <c r="B93" s="732">
        <v>0</v>
      </c>
      <c r="C93" s="839">
        <v>3</v>
      </c>
      <c r="D93" s="733">
        <v>0</v>
      </c>
      <c r="E93" s="733">
        <v>0</v>
      </c>
      <c r="F93" s="733">
        <v>1</v>
      </c>
      <c r="G93" s="734">
        <v>1</v>
      </c>
      <c r="H93" s="734">
        <v>0</v>
      </c>
      <c r="I93" s="734">
        <v>0</v>
      </c>
      <c r="J93" s="733">
        <v>1</v>
      </c>
      <c r="K93" s="678">
        <v>1</v>
      </c>
      <c r="L93" s="678">
        <v>0</v>
      </c>
      <c r="M93" s="678">
        <v>2</v>
      </c>
      <c r="N93" s="735">
        <f t="shared" si="9"/>
        <v>9</v>
      </c>
      <c r="O93" s="736">
        <f t="shared" si="10"/>
        <v>0.75</v>
      </c>
      <c r="P93" s="737">
        <f t="shared" si="12"/>
        <v>1.5577672003461704E-2</v>
      </c>
    </row>
    <row r="94" spans="1:16" s="738" customFormat="1">
      <c r="A94" s="806" t="s">
        <v>97</v>
      </c>
      <c r="B94" s="732">
        <v>5</v>
      </c>
      <c r="C94" s="678">
        <v>3</v>
      </c>
      <c r="D94" s="733">
        <v>2</v>
      </c>
      <c r="E94" s="733">
        <v>1</v>
      </c>
      <c r="F94" s="733">
        <v>10</v>
      </c>
      <c r="G94" s="734">
        <v>5</v>
      </c>
      <c r="H94" s="734">
        <v>2</v>
      </c>
      <c r="I94" s="734">
        <v>10</v>
      </c>
      <c r="J94" s="733">
        <v>2</v>
      </c>
      <c r="K94" s="678">
        <v>5</v>
      </c>
      <c r="L94" s="678">
        <v>0</v>
      </c>
      <c r="M94" s="678">
        <v>0</v>
      </c>
      <c r="N94" s="735">
        <f t="shared" si="9"/>
        <v>45</v>
      </c>
      <c r="O94" s="736">
        <f t="shared" si="10"/>
        <v>3.75</v>
      </c>
      <c r="P94" s="737">
        <f t="shared" si="12"/>
        <v>7.7888360017308519E-2</v>
      </c>
    </row>
    <row r="95" spans="1:16" s="738" customFormat="1">
      <c r="A95" s="806" t="s">
        <v>98</v>
      </c>
      <c r="B95" s="732">
        <v>170</v>
      </c>
      <c r="C95" s="678">
        <v>529</v>
      </c>
      <c r="D95" s="733">
        <v>239</v>
      </c>
      <c r="E95" s="733">
        <v>302</v>
      </c>
      <c r="F95" s="733">
        <v>122</v>
      </c>
      <c r="G95" s="734">
        <v>151</v>
      </c>
      <c r="H95" s="734">
        <v>104</v>
      </c>
      <c r="I95" s="734">
        <v>298</v>
      </c>
      <c r="J95" s="733">
        <v>101</v>
      </c>
      <c r="K95" s="678">
        <v>164</v>
      </c>
      <c r="L95" s="678">
        <v>93</v>
      </c>
      <c r="M95" s="678">
        <v>113</v>
      </c>
      <c r="N95" s="735">
        <f t="shared" si="9"/>
        <v>2386</v>
      </c>
      <c r="O95" s="736">
        <f t="shared" si="10"/>
        <v>198.83333333333334</v>
      </c>
      <c r="P95" s="737">
        <f t="shared" si="12"/>
        <v>4.1298139333621808</v>
      </c>
    </row>
    <row r="96" spans="1:16" s="738" customFormat="1">
      <c r="A96" s="806" t="s">
        <v>99</v>
      </c>
      <c r="B96" s="732">
        <v>62</v>
      </c>
      <c r="C96" s="678">
        <v>60</v>
      </c>
      <c r="D96" s="733">
        <v>66</v>
      </c>
      <c r="E96" s="733">
        <v>61</v>
      </c>
      <c r="F96" s="733">
        <v>74</v>
      </c>
      <c r="G96" s="734">
        <v>47</v>
      </c>
      <c r="H96" s="734">
        <v>66</v>
      </c>
      <c r="I96" s="734">
        <v>52</v>
      </c>
      <c r="J96" s="733">
        <v>44</v>
      </c>
      <c r="K96" s="678">
        <v>49</v>
      </c>
      <c r="L96" s="678">
        <v>47</v>
      </c>
      <c r="M96" s="678">
        <v>103</v>
      </c>
      <c r="N96" s="735">
        <f t="shared" si="9"/>
        <v>731</v>
      </c>
      <c r="O96" s="736">
        <f t="shared" si="10"/>
        <v>60.916666666666664</v>
      </c>
      <c r="P96" s="737">
        <f t="shared" si="12"/>
        <v>1.2652531371700562</v>
      </c>
    </row>
    <row r="97" spans="1:16" s="738" customFormat="1">
      <c r="A97" s="806" t="s">
        <v>100</v>
      </c>
      <c r="B97" s="732">
        <v>0</v>
      </c>
      <c r="C97" s="678">
        <v>0</v>
      </c>
      <c r="D97" s="733">
        <v>0</v>
      </c>
      <c r="E97" s="733">
        <v>0</v>
      </c>
      <c r="F97" s="733">
        <v>0</v>
      </c>
      <c r="G97" s="734">
        <v>0</v>
      </c>
      <c r="H97" s="734">
        <v>0</v>
      </c>
      <c r="I97" s="734">
        <v>0</v>
      </c>
      <c r="J97" s="733">
        <v>0</v>
      </c>
      <c r="K97" s="678">
        <v>0</v>
      </c>
      <c r="L97" s="678">
        <v>0</v>
      </c>
      <c r="M97" s="678">
        <v>0</v>
      </c>
      <c r="N97" s="735">
        <f t="shared" si="9"/>
        <v>0</v>
      </c>
      <c r="O97" s="736">
        <f t="shared" si="10"/>
        <v>0</v>
      </c>
      <c r="P97" s="737">
        <f t="shared" si="12"/>
        <v>0</v>
      </c>
    </row>
    <row r="98" spans="1:16" s="738" customFormat="1">
      <c r="A98" s="806" t="s">
        <v>101</v>
      </c>
      <c r="B98" s="732">
        <v>6</v>
      </c>
      <c r="C98" s="678">
        <v>7</v>
      </c>
      <c r="D98" s="733">
        <v>6</v>
      </c>
      <c r="E98" s="733">
        <v>11</v>
      </c>
      <c r="F98" s="733">
        <v>4</v>
      </c>
      <c r="G98" s="734">
        <v>5</v>
      </c>
      <c r="H98" s="734">
        <v>1</v>
      </c>
      <c r="I98" s="734">
        <v>4</v>
      </c>
      <c r="J98" s="733">
        <v>2</v>
      </c>
      <c r="K98" s="678">
        <v>3</v>
      </c>
      <c r="L98" s="678">
        <v>9</v>
      </c>
      <c r="M98" s="678">
        <v>1</v>
      </c>
      <c r="N98" s="735">
        <f t="shared" si="9"/>
        <v>59</v>
      </c>
      <c r="O98" s="736">
        <f t="shared" si="10"/>
        <v>4.916666666666667</v>
      </c>
      <c r="P98" s="737">
        <f t="shared" si="12"/>
        <v>0.10212029424491562</v>
      </c>
    </row>
    <row r="99" spans="1:16" s="738" customFormat="1">
      <c r="A99" s="806" t="s">
        <v>459</v>
      </c>
      <c r="B99" s="732">
        <v>8</v>
      </c>
      <c r="C99" s="678">
        <v>16</v>
      </c>
      <c r="D99" s="733">
        <v>10</v>
      </c>
      <c r="E99" s="733">
        <v>2</v>
      </c>
      <c r="F99" s="733">
        <v>9</v>
      </c>
      <c r="G99" s="734">
        <v>12</v>
      </c>
      <c r="H99" s="734">
        <v>3</v>
      </c>
      <c r="I99" s="734">
        <v>12</v>
      </c>
      <c r="J99" s="733">
        <v>9</v>
      </c>
      <c r="K99" s="678">
        <v>1</v>
      </c>
      <c r="L99" s="678">
        <v>8</v>
      </c>
      <c r="M99" s="678">
        <v>6</v>
      </c>
      <c r="N99" s="735">
        <f t="shared" si="9"/>
        <v>96</v>
      </c>
      <c r="O99" s="736">
        <f t="shared" si="10"/>
        <v>8</v>
      </c>
      <c r="P99" s="737">
        <f t="shared" si="12"/>
        <v>0.1661618347035915</v>
      </c>
    </row>
    <row r="100" spans="1:16" s="738" customFormat="1">
      <c r="A100" s="806" t="s">
        <v>102</v>
      </c>
      <c r="B100" s="732">
        <v>10</v>
      </c>
      <c r="C100" s="678">
        <v>16</v>
      </c>
      <c r="D100" s="733">
        <v>16</v>
      </c>
      <c r="E100" s="733">
        <v>9</v>
      </c>
      <c r="F100" s="733">
        <v>7</v>
      </c>
      <c r="G100" s="734">
        <v>7</v>
      </c>
      <c r="H100" s="734">
        <v>16</v>
      </c>
      <c r="I100" s="734">
        <v>14</v>
      </c>
      <c r="J100" s="733">
        <v>11</v>
      </c>
      <c r="K100" s="678">
        <v>12</v>
      </c>
      <c r="L100" s="678">
        <v>8</v>
      </c>
      <c r="M100" s="678">
        <v>12</v>
      </c>
      <c r="N100" s="735">
        <f t="shared" si="9"/>
        <v>138</v>
      </c>
      <c r="O100" s="736">
        <f t="shared" si="10"/>
        <v>11.5</v>
      </c>
      <c r="P100" s="737">
        <f t="shared" si="12"/>
        <v>0.2388576373864128</v>
      </c>
    </row>
    <row r="101" spans="1:16" s="738" customFormat="1">
      <c r="A101" s="806" t="s">
        <v>103</v>
      </c>
      <c r="B101" s="732">
        <v>1</v>
      </c>
      <c r="C101" s="678">
        <v>1</v>
      </c>
      <c r="D101" s="733">
        <v>0</v>
      </c>
      <c r="E101" s="733">
        <v>0</v>
      </c>
      <c r="F101" s="733">
        <v>1</v>
      </c>
      <c r="G101" s="734">
        <v>0</v>
      </c>
      <c r="H101" s="734">
        <v>0</v>
      </c>
      <c r="I101" s="734">
        <v>0</v>
      </c>
      <c r="J101" s="733">
        <v>2</v>
      </c>
      <c r="K101" s="678">
        <v>0</v>
      </c>
      <c r="L101" s="678">
        <v>2</v>
      </c>
      <c r="M101" s="678">
        <v>0</v>
      </c>
      <c r="N101" s="735">
        <f t="shared" si="9"/>
        <v>7</v>
      </c>
      <c r="O101" s="736">
        <f t="shared" si="10"/>
        <v>0.58333333333333337</v>
      </c>
      <c r="P101" s="737">
        <f t="shared" si="12"/>
        <v>1.2115967113803548E-2</v>
      </c>
    </row>
    <row r="102" spans="1:16" s="738" customFormat="1">
      <c r="A102" s="806" t="s">
        <v>481</v>
      </c>
      <c r="B102" s="732">
        <v>0</v>
      </c>
      <c r="C102" s="678">
        <v>1</v>
      </c>
      <c r="D102" s="733">
        <v>0</v>
      </c>
      <c r="E102" s="733">
        <v>0</v>
      </c>
      <c r="F102" s="733">
        <v>0</v>
      </c>
      <c r="G102" s="734">
        <v>0</v>
      </c>
      <c r="H102" s="734">
        <v>0</v>
      </c>
      <c r="I102" s="734">
        <v>0</v>
      </c>
      <c r="J102" s="733">
        <v>0</v>
      </c>
      <c r="K102" s="678">
        <v>0</v>
      </c>
      <c r="L102" s="678">
        <v>0</v>
      </c>
      <c r="M102" s="678">
        <v>0</v>
      </c>
      <c r="N102" s="735">
        <f t="shared" si="9"/>
        <v>1</v>
      </c>
      <c r="O102" s="736">
        <f t="shared" si="10"/>
        <v>8.3333333333333329E-2</v>
      </c>
      <c r="P102" s="737">
        <f t="shared" si="12"/>
        <v>1.7308524448290783E-3</v>
      </c>
    </row>
    <row r="103" spans="1:16" s="738" customFormat="1">
      <c r="A103" s="806" t="s">
        <v>441</v>
      </c>
      <c r="B103" s="732">
        <v>0</v>
      </c>
      <c r="C103" s="678">
        <v>0</v>
      </c>
      <c r="D103" s="733">
        <v>0</v>
      </c>
      <c r="E103" s="733">
        <v>0</v>
      </c>
      <c r="F103" s="733">
        <v>1</v>
      </c>
      <c r="G103" s="734">
        <v>0</v>
      </c>
      <c r="H103" s="734">
        <v>0</v>
      </c>
      <c r="I103" s="734">
        <v>0</v>
      </c>
      <c r="J103" s="733">
        <v>0</v>
      </c>
      <c r="K103" s="678">
        <v>0</v>
      </c>
      <c r="L103" s="678">
        <v>0</v>
      </c>
      <c r="M103" s="678">
        <v>0</v>
      </c>
      <c r="N103" s="735">
        <f t="shared" si="9"/>
        <v>1</v>
      </c>
      <c r="O103" s="736">
        <f t="shared" si="10"/>
        <v>8.3333333333333329E-2</v>
      </c>
      <c r="P103" s="737">
        <f t="shared" si="12"/>
        <v>1.7308524448290783E-3</v>
      </c>
    </row>
    <row r="104" spans="1:16" s="738" customFormat="1">
      <c r="A104" s="806" t="s">
        <v>104</v>
      </c>
      <c r="B104" s="732">
        <v>12</v>
      </c>
      <c r="C104" s="678">
        <v>8</v>
      </c>
      <c r="D104" s="733">
        <v>17</v>
      </c>
      <c r="E104" s="733">
        <v>16</v>
      </c>
      <c r="F104" s="733">
        <v>15</v>
      </c>
      <c r="G104" s="734">
        <v>20</v>
      </c>
      <c r="H104" s="734">
        <v>20</v>
      </c>
      <c r="I104" s="734">
        <v>15</v>
      </c>
      <c r="J104" s="733">
        <v>10</v>
      </c>
      <c r="K104" s="678">
        <v>14</v>
      </c>
      <c r="L104" s="678">
        <v>8</v>
      </c>
      <c r="M104" s="678">
        <v>11</v>
      </c>
      <c r="N104" s="735">
        <f t="shared" si="9"/>
        <v>166</v>
      </c>
      <c r="O104" s="736">
        <f t="shared" si="10"/>
        <v>13.833333333333334</v>
      </c>
      <c r="P104" s="737">
        <f t="shared" si="12"/>
        <v>0.28732150584162702</v>
      </c>
    </row>
    <row r="105" spans="1:16" s="738" customFormat="1">
      <c r="A105" s="806" t="s">
        <v>105</v>
      </c>
      <c r="B105" s="732">
        <v>0</v>
      </c>
      <c r="C105" s="678">
        <v>0</v>
      </c>
      <c r="D105" s="733">
        <v>0</v>
      </c>
      <c r="E105" s="733">
        <v>0</v>
      </c>
      <c r="F105" s="733">
        <v>0</v>
      </c>
      <c r="G105" s="734">
        <v>0</v>
      </c>
      <c r="H105" s="734">
        <v>0</v>
      </c>
      <c r="I105" s="734">
        <v>0</v>
      </c>
      <c r="J105" s="733">
        <v>0</v>
      </c>
      <c r="K105" s="678">
        <v>0</v>
      </c>
      <c r="L105" s="678">
        <v>0</v>
      </c>
      <c r="M105" s="678">
        <v>0</v>
      </c>
      <c r="N105" s="735">
        <f t="shared" si="9"/>
        <v>0</v>
      </c>
      <c r="O105" s="736">
        <f t="shared" si="10"/>
        <v>0</v>
      </c>
      <c r="P105" s="737">
        <f t="shared" si="12"/>
        <v>0</v>
      </c>
    </row>
    <row r="106" spans="1:16" s="738" customFormat="1">
      <c r="A106" s="806" t="s">
        <v>106</v>
      </c>
      <c r="B106" s="732">
        <v>78</v>
      </c>
      <c r="C106" s="678">
        <v>108</v>
      </c>
      <c r="D106" s="733">
        <v>90</v>
      </c>
      <c r="E106" s="733">
        <v>143</v>
      </c>
      <c r="F106" s="733">
        <v>95</v>
      </c>
      <c r="G106" s="734">
        <v>99</v>
      </c>
      <c r="H106" s="734">
        <v>93</v>
      </c>
      <c r="I106" s="734">
        <v>93</v>
      </c>
      <c r="J106" s="733">
        <v>116</v>
      </c>
      <c r="K106" s="678">
        <v>119</v>
      </c>
      <c r="L106" s="678">
        <v>104</v>
      </c>
      <c r="M106" s="678">
        <v>88</v>
      </c>
      <c r="N106" s="735">
        <f t="shared" si="9"/>
        <v>1226</v>
      </c>
      <c r="O106" s="736">
        <f t="shared" si="10"/>
        <v>102.16666666666667</v>
      </c>
      <c r="P106" s="737">
        <f t="shared" si="12"/>
        <v>2.1220250973604498</v>
      </c>
    </row>
    <row r="107" spans="1:16" s="738" customFormat="1">
      <c r="A107" s="806" t="s">
        <v>107</v>
      </c>
      <c r="B107" s="732">
        <v>1</v>
      </c>
      <c r="C107" s="678">
        <v>2</v>
      </c>
      <c r="D107" s="733">
        <v>12</v>
      </c>
      <c r="E107" s="733">
        <v>2</v>
      </c>
      <c r="F107" s="733">
        <v>5</v>
      </c>
      <c r="G107" s="734">
        <v>0</v>
      </c>
      <c r="H107" s="734">
        <v>1</v>
      </c>
      <c r="I107" s="734">
        <v>4</v>
      </c>
      <c r="J107" s="733">
        <v>1</v>
      </c>
      <c r="K107" s="678">
        <v>2</v>
      </c>
      <c r="L107" s="678">
        <v>3</v>
      </c>
      <c r="M107" s="678">
        <v>1</v>
      </c>
      <c r="N107" s="735">
        <f t="shared" si="9"/>
        <v>34</v>
      </c>
      <c r="O107" s="736">
        <f t="shared" si="10"/>
        <v>2.8333333333333335</v>
      </c>
      <c r="P107" s="737">
        <f t="shared" si="12"/>
        <v>5.884898312418866E-2</v>
      </c>
    </row>
    <row r="108" spans="1:16" s="738" customFormat="1">
      <c r="A108" s="840" t="s">
        <v>482</v>
      </c>
      <c r="B108" s="732">
        <v>6</v>
      </c>
      <c r="C108" s="678">
        <v>1</v>
      </c>
      <c r="D108" s="733">
        <v>0</v>
      </c>
      <c r="E108" s="733">
        <v>0</v>
      </c>
      <c r="F108" s="733">
        <v>0</v>
      </c>
      <c r="G108" s="734">
        <v>0</v>
      </c>
      <c r="H108" s="734">
        <v>0</v>
      </c>
      <c r="I108" s="734">
        <v>0</v>
      </c>
      <c r="J108" s="733">
        <v>0</v>
      </c>
      <c r="K108" s="678">
        <v>0</v>
      </c>
      <c r="L108" s="678">
        <v>0</v>
      </c>
      <c r="M108" s="678">
        <v>0</v>
      </c>
      <c r="N108" s="735">
        <f t="shared" si="9"/>
        <v>7</v>
      </c>
      <c r="O108" s="736">
        <f t="shared" si="10"/>
        <v>0.58333333333333337</v>
      </c>
      <c r="P108" s="737">
        <f t="shared" si="12"/>
        <v>1.2115967113803548E-2</v>
      </c>
    </row>
    <row r="109" spans="1:16" s="738" customFormat="1">
      <c r="A109" s="805" t="s">
        <v>108</v>
      </c>
      <c r="B109" s="732">
        <v>8</v>
      </c>
      <c r="C109" s="678">
        <v>12</v>
      </c>
      <c r="D109" s="733">
        <v>16</v>
      </c>
      <c r="E109" s="733">
        <v>25</v>
      </c>
      <c r="F109" s="733">
        <v>20</v>
      </c>
      <c r="G109" s="734">
        <v>36</v>
      </c>
      <c r="H109" s="734">
        <v>13</v>
      </c>
      <c r="I109" s="734">
        <v>26</v>
      </c>
      <c r="J109" s="733">
        <v>38</v>
      </c>
      <c r="K109" s="678">
        <v>26</v>
      </c>
      <c r="L109" s="678">
        <v>17</v>
      </c>
      <c r="M109" s="678">
        <v>13</v>
      </c>
      <c r="N109" s="735">
        <f t="shared" si="9"/>
        <v>250</v>
      </c>
      <c r="O109" s="736">
        <f t="shared" si="10"/>
        <v>20.833333333333332</v>
      </c>
      <c r="P109" s="737">
        <f t="shared" si="12"/>
        <v>0.43271311120726952</v>
      </c>
    </row>
    <row r="110" spans="1:16" s="738" customFormat="1">
      <c r="A110" s="806" t="s">
        <v>109</v>
      </c>
      <c r="B110" s="732">
        <v>4</v>
      </c>
      <c r="C110" s="678">
        <v>41</v>
      </c>
      <c r="D110" s="733">
        <v>3</v>
      </c>
      <c r="E110" s="733">
        <v>4</v>
      </c>
      <c r="F110" s="733">
        <v>8</v>
      </c>
      <c r="G110" s="734">
        <v>3</v>
      </c>
      <c r="H110" s="734">
        <v>4</v>
      </c>
      <c r="I110" s="734">
        <v>7</v>
      </c>
      <c r="J110" s="733">
        <v>1</v>
      </c>
      <c r="K110" s="678">
        <v>6</v>
      </c>
      <c r="L110" s="678">
        <v>4</v>
      </c>
      <c r="M110" s="678">
        <v>2</v>
      </c>
      <c r="N110" s="735">
        <f t="shared" si="9"/>
        <v>87</v>
      </c>
      <c r="O110" s="736">
        <f t="shared" si="10"/>
        <v>7.25</v>
      </c>
      <c r="P110" s="737">
        <f t="shared" si="12"/>
        <v>0.15058416270012981</v>
      </c>
    </row>
    <row r="111" spans="1:16" s="738" customFormat="1">
      <c r="A111" s="806" t="s">
        <v>110</v>
      </c>
      <c r="B111" s="732">
        <v>0</v>
      </c>
      <c r="C111" s="678">
        <v>0</v>
      </c>
      <c r="D111" s="733">
        <v>0</v>
      </c>
      <c r="E111" s="733">
        <v>0</v>
      </c>
      <c r="F111" s="733">
        <v>0</v>
      </c>
      <c r="G111" s="734">
        <v>0</v>
      </c>
      <c r="H111" s="734">
        <v>0</v>
      </c>
      <c r="I111" s="734">
        <v>0</v>
      </c>
      <c r="J111" s="733">
        <v>0</v>
      </c>
      <c r="K111" s="678">
        <v>1</v>
      </c>
      <c r="L111" s="678">
        <v>0</v>
      </c>
      <c r="M111" s="678">
        <v>0</v>
      </c>
      <c r="N111" s="735">
        <f t="shared" si="9"/>
        <v>1</v>
      </c>
      <c r="O111" s="736">
        <f t="shared" si="10"/>
        <v>8.3333333333333329E-2</v>
      </c>
      <c r="P111" s="737">
        <f t="shared" si="12"/>
        <v>1.7308524448290783E-3</v>
      </c>
    </row>
    <row r="112" spans="1:16" s="738" customFormat="1">
      <c r="A112" s="806" t="s">
        <v>111</v>
      </c>
      <c r="B112" s="732">
        <v>1</v>
      </c>
      <c r="C112" s="678">
        <v>0</v>
      </c>
      <c r="D112" s="733">
        <v>0</v>
      </c>
      <c r="E112" s="733">
        <v>0</v>
      </c>
      <c r="F112" s="733">
        <v>0</v>
      </c>
      <c r="G112" s="734">
        <v>0</v>
      </c>
      <c r="H112" s="734">
        <v>0</v>
      </c>
      <c r="I112" s="734">
        <v>0</v>
      </c>
      <c r="J112" s="733">
        <v>0</v>
      </c>
      <c r="K112" s="678">
        <v>0</v>
      </c>
      <c r="L112" s="678">
        <v>0</v>
      </c>
      <c r="M112" s="678">
        <v>0</v>
      </c>
      <c r="N112" s="735">
        <f t="shared" si="9"/>
        <v>1</v>
      </c>
      <c r="O112" s="736">
        <f t="shared" si="10"/>
        <v>8.3333333333333329E-2</v>
      </c>
      <c r="P112" s="737">
        <f t="shared" si="12"/>
        <v>1.7308524448290783E-3</v>
      </c>
    </row>
    <row r="113" spans="1:16" s="738" customFormat="1">
      <c r="A113" s="806" t="s">
        <v>112</v>
      </c>
      <c r="B113" s="732">
        <v>0</v>
      </c>
      <c r="C113" s="678">
        <v>0</v>
      </c>
      <c r="D113" s="733">
        <v>0</v>
      </c>
      <c r="E113" s="733">
        <v>0</v>
      </c>
      <c r="F113" s="733">
        <v>1</v>
      </c>
      <c r="G113" s="734">
        <v>1</v>
      </c>
      <c r="H113" s="734">
        <v>0</v>
      </c>
      <c r="I113" s="734">
        <v>0</v>
      </c>
      <c r="J113" s="733">
        <v>5</v>
      </c>
      <c r="K113" s="678">
        <v>3</v>
      </c>
      <c r="L113" s="678">
        <v>0</v>
      </c>
      <c r="M113" s="678">
        <v>0</v>
      </c>
      <c r="N113" s="735">
        <f t="shared" ref="N113:N145" si="13">SUM(B113:M113)</f>
        <v>10</v>
      </c>
      <c r="O113" s="736">
        <f t="shared" ref="O113:O145" si="14">AVERAGE(B113:M113)</f>
        <v>0.83333333333333337</v>
      </c>
      <c r="P113" s="737">
        <f t="shared" si="12"/>
        <v>1.7308524448290785E-2</v>
      </c>
    </row>
    <row r="114" spans="1:16" s="738" customFormat="1">
      <c r="A114" s="806" t="s">
        <v>113</v>
      </c>
      <c r="B114" s="732">
        <v>9</v>
      </c>
      <c r="C114" s="678">
        <v>1</v>
      </c>
      <c r="D114" s="733">
        <v>5</v>
      </c>
      <c r="E114" s="733">
        <v>4</v>
      </c>
      <c r="F114" s="733">
        <v>4</v>
      </c>
      <c r="G114" s="734">
        <v>5</v>
      </c>
      <c r="H114" s="734">
        <v>0</v>
      </c>
      <c r="I114" s="734">
        <v>0</v>
      </c>
      <c r="J114" s="733">
        <v>0</v>
      </c>
      <c r="K114" s="678">
        <v>0</v>
      </c>
      <c r="L114" s="678">
        <v>1</v>
      </c>
      <c r="M114" s="678">
        <v>1</v>
      </c>
      <c r="N114" s="735">
        <f t="shared" si="13"/>
        <v>30</v>
      </c>
      <c r="O114" s="736">
        <f t="shared" si="14"/>
        <v>2.5</v>
      </c>
      <c r="P114" s="737">
        <f t="shared" si="12"/>
        <v>5.1925573344872349E-2</v>
      </c>
    </row>
    <row r="115" spans="1:16" s="738" customFormat="1">
      <c r="A115" s="805" t="s">
        <v>114</v>
      </c>
      <c r="B115" s="732">
        <v>59</v>
      </c>
      <c r="C115" s="678">
        <v>72</v>
      </c>
      <c r="D115" s="733">
        <v>79</v>
      </c>
      <c r="E115" s="733">
        <v>66</v>
      </c>
      <c r="F115" s="733">
        <v>55</v>
      </c>
      <c r="G115" s="734">
        <v>60</v>
      </c>
      <c r="H115" s="734">
        <v>62</v>
      </c>
      <c r="I115" s="734">
        <v>54</v>
      </c>
      <c r="J115" s="733">
        <v>51</v>
      </c>
      <c r="K115" s="678">
        <v>128</v>
      </c>
      <c r="L115" s="678">
        <v>89</v>
      </c>
      <c r="M115" s="678">
        <v>54</v>
      </c>
      <c r="N115" s="735">
        <f t="shared" si="13"/>
        <v>829</v>
      </c>
      <c r="O115" s="736">
        <f t="shared" si="14"/>
        <v>69.083333333333329</v>
      </c>
      <c r="P115" s="737">
        <f t="shared" si="12"/>
        <v>1.4348766767633059</v>
      </c>
    </row>
    <row r="116" spans="1:16" s="738" customFormat="1">
      <c r="A116" s="805" t="s">
        <v>115</v>
      </c>
      <c r="B116" s="732">
        <v>1</v>
      </c>
      <c r="C116" s="678">
        <v>0</v>
      </c>
      <c r="D116" s="733">
        <v>0</v>
      </c>
      <c r="E116" s="733">
        <v>0</v>
      </c>
      <c r="F116" s="733">
        <v>0</v>
      </c>
      <c r="G116" s="734">
        <v>0</v>
      </c>
      <c r="H116" s="734">
        <v>0</v>
      </c>
      <c r="I116" s="734">
        <v>0</v>
      </c>
      <c r="J116" s="733">
        <v>0</v>
      </c>
      <c r="K116" s="678">
        <v>0</v>
      </c>
      <c r="L116" s="678">
        <v>0</v>
      </c>
      <c r="M116" s="678">
        <v>0</v>
      </c>
      <c r="N116" s="735">
        <f t="shared" si="13"/>
        <v>1</v>
      </c>
      <c r="O116" s="736">
        <f t="shared" si="14"/>
        <v>8.3333333333333329E-2</v>
      </c>
      <c r="P116" s="737">
        <f t="shared" si="12"/>
        <v>1.7308524448290783E-3</v>
      </c>
    </row>
    <row r="117" spans="1:16" s="738" customFormat="1">
      <c r="A117" s="805" t="s">
        <v>116</v>
      </c>
      <c r="B117" s="732">
        <v>3</v>
      </c>
      <c r="C117" s="678">
        <v>0</v>
      </c>
      <c r="D117" s="733">
        <v>1</v>
      </c>
      <c r="E117" s="733">
        <v>2</v>
      </c>
      <c r="F117" s="733">
        <v>0</v>
      </c>
      <c r="G117" s="734">
        <v>1</v>
      </c>
      <c r="H117" s="734">
        <v>0</v>
      </c>
      <c r="I117" s="734">
        <v>1</v>
      </c>
      <c r="J117" s="733">
        <v>0</v>
      </c>
      <c r="K117" s="678">
        <v>0</v>
      </c>
      <c r="L117" s="678">
        <v>1</v>
      </c>
      <c r="M117" s="678">
        <v>1</v>
      </c>
      <c r="N117" s="735">
        <f t="shared" si="13"/>
        <v>10</v>
      </c>
      <c r="O117" s="736">
        <f t="shared" si="14"/>
        <v>0.83333333333333337</v>
      </c>
      <c r="P117" s="737">
        <f t="shared" si="12"/>
        <v>1.7308524448290785E-2</v>
      </c>
    </row>
    <row r="118" spans="1:16" s="738" customFormat="1">
      <c r="A118" s="806" t="s">
        <v>117</v>
      </c>
      <c r="B118" s="732">
        <v>9</v>
      </c>
      <c r="C118" s="678">
        <v>0</v>
      </c>
      <c r="D118" s="733">
        <v>0</v>
      </c>
      <c r="E118" s="733">
        <v>0</v>
      </c>
      <c r="F118" s="733">
        <v>1</v>
      </c>
      <c r="G118" s="734">
        <v>1</v>
      </c>
      <c r="H118" s="734">
        <v>0</v>
      </c>
      <c r="I118" s="734">
        <v>0</v>
      </c>
      <c r="J118" s="733">
        <v>0</v>
      </c>
      <c r="K118" s="678">
        <v>0</v>
      </c>
      <c r="L118" s="678">
        <v>0</v>
      </c>
      <c r="M118" s="678">
        <v>0</v>
      </c>
      <c r="N118" s="735">
        <f t="shared" si="13"/>
        <v>11</v>
      </c>
      <c r="O118" s="736">
        <f t="shared" si="14"/>
        <v>0.91666666666666663</v>
      </c>
      <c r="P118" s="737">
        <f t="shared" si="12"/>
        <v>1.9039376893119863E-2</v>
      </c>
    </row>
    <row r="119" spans="1:16" s="738" customFormat="1">
      <c r="A119" s="806" t="s">
        <v>118</v>
      </c>
      <c r="B119" s="732">
        <v>98</v>
      </c>
      <c r="C119" s="678">
        <v>75</v>
      </c>
      <c r="D119" s="733">
        <v>74</v>
      </c>
      <c r="E119" s="733">
        <v>69</v>
      </c>
      <c r="F119" s="733">
        <v>67</v>
      </c>
      <c r="G119" s="734">
        <v>79</v>
      </c>
      <c r="H119" s="734">
        <v>56</v>
      </c>
      <c r="I119" s="734">
        <v>82</v>
      </c>
      <c r="J119" s="733">
        <v>72</v>
      </c>
      <c r="K119" s="678">
        <v>100</v>
      </c>
      <c r="L119" s="678">
        <v>110</v>
      </c>
      <c r="M119" s="678">
        <v>92</v>
      </c>
      <c r="N119" s="735">
        <f t="shared" si="13"/>
        <v>974</v>
      </c>
      <c r="O119" s="736">
        <f t="shared" si="14"/>
        <v>81.166666666666671</v>
      </c>
      <c r="P119" s="737">
        <f t="shared" si="12"/>
        <v>1.6858502812635223</v>
      </c>
    </row>
    <row r="120" spans="1:16" s="841" customFormat="1">
      <c r="A120" s="806" t="s">
        <v>449</v>
      </c>
      <c r="B120" s="732">
        <v>0</v>
      </c>
      <c r="C120" s="678">
        <v>1</v>
      </c>
      <c r="D120" s="733">
        <v>1</v>
      </c>
      <c r="E120" s="733">
        <v>1</v>
      </c>
      <c r="F120" s="733">
        <v>0</v>
      </c>
      <c r="G120" s="734">
        <v>0</v>
      </c>
      <c r="H120" s="734">
        <v>0</v>
      </c>
      <c r="I120" s="734">
        <v>0</v>
      </c>
      <c r="J120" s="733">
        <v>0</v>
      </c>
      <c r="K120" s="678">
        <v>0</v>
      </c>
      <c r="L120" s="678">
        <v>0</v>
      </c>
      <c r="M120" s="678">
        <v>0</v>
      </c>
      <c r="N120" s="735">
        <f t="shared" si="13"/>
        <v>3</v>
      </c>
      <c r="O120" s="736">
        <f t="shared" si="14"/>
        <v>0.25</v>
      </c>
      <c r="P120" s="737">
        <f t="shared" si="12"/>
        <v>5.1925573344872343E-3</v>
      </c>
    </row>
    <row r="121" spans="1:16" s="738" customFormat="1">
      <c r="A121" s="807" t="s">
        <v>119</v>
      </c>
      <c r="B121" s="842">
        <v>7</v>
      </c>
      <c r="C121" s="843">
        <v>17</v>
      </c>
      <c r="D121" s="844">
        <v>5</v>
      </c>
      <c r="E121" s="844">
        <v>7</v>
      </c>
      <c r="F121" s="844">
        <v>9</v>
      </c>
      <c r="G121" s="844">
        <v>8</v>
      </c>
      <c r="H121" s="844">
        <v>8</v>
      </c>
      <c r="I121" s="844">
        <v>5</v>
      </c>
      <c r="J121" s="844">
        <v>8</v>
      </c>
      <c r="K121" s="843">
        <v>10</v>
      </c>
      <c r="L121" s="843">
        <v>10</v>
      </c>
      <c r="M121" s="843">
        <v>8</v>
      </c>
      <c r="N121" s="845">
        <f t="shared" si="13"/>
        <v>102</v>
      </c>
      <c r="O121" s="846">
        <f t="shared" si="14"/>
        <v>8.5</v>
      </c>
      <c r="P121" s="847">
        <f t="shared" si="12"/>
        <v>0.17654694937256599</v>
      </c>
    </row>
    <row r="122" spans="1:16" s="738" customFormat="1">
      <c r="A122" s="805" t="s">
        <v>120</v>
      </c>
      <c r="B122" s="732">
        <v>6</v>
      </c>
      <c r="C122" s="678">
        <v>10</v>
      </c>
      <c r="D122" s="733">
        <v>9</v>
      </c>
      <c r="E122" s="733">
        <v>5</v>
      </c>
      <c r="F122" s="733">
        <v>8</v>
      </c>
      <c r="G122" s="734">
        <v>11</v>
      </c>
      <c r="H122" s="734">
        <v>3</v>
      </c>
      <c r="I122" s="734">
        <v>3</v>
      </c>
      <c r="J122" s="733">
        <v>5</v>
      </c>
      <c r="K122" s="678">
        <v>21</v>
      </c>
      <c r="L122" s="678">
        <v>5</v>
      </c>
      <c r="M122" s="678">
        <v>11</v>
      </c>
      <c r="N122" s="735">
        <f t="shared" si="13"/>
        <v>97</v>
      </c>
      <c r="O122" s="736">
        <f t="shared" si="14"/>
        <v>8.0833333333333339</v>
      </c>
      <c r="P122" s="737">
        <f t="shared" si="12"/>
        <v>0.16789268714842059</v>
      </c>
    </row>
    <row r="123" spans="1:16" s="738" customFormat="1">
      <c r="A123" s="806" t="s">
        <v>121</v>
      </c>
      <c r="B123" s="732">
        <v>0</v>
      </c>
      <c r="C123" s="678">
        <v>0</v>
      </c>
      <c r="D123" s="733">
        <v>0</v>
      </c>
      <c r="E123" s="733">
        <v>0</v>
      </c>
      <c r="F123" s="733">
        <v>0</v>
      </c>
      <c r="G123" s="734">
        <v>0</v>
      </c>
      <c r="H123" s="734">
        <v>0</v>
      </c>
      <c r="I123" s="734">
        <v>0</v>
      </c>
      <c r="J123" s="733">
        <v>0</v>
      </c>
      <c r="K123" s="678">
        <v>0</v>
      </c>
      <c r="L123" s="678">
        <v>0</v>
      </c>
      <c r="M123" s="678">
        <v>0</v>
      </c>
      <c r="N123" s="735">
        <f t="shared" si="13"/>
        <v>0</v>
      </c>
      <c r="O123" s="736">
        <f t="shared" si="14"/>
        <v>0</v>
      </c>
      <c r="P123" s="737">
        <f t="shared" ref="P123:P154" si="15">(N123/$N$220)*100</f>
        <v>0</v>
      </c>
    </row>
    <row r="124" spans="1:16" s="738" customFormat="1">
      <c r="A124" s="806" t="s">
        <v>122</v>
      </c>
      <c r="B124" s="732">
        <v>30</v>
      </c>
      <c r="C124" s="678">
        <v>27</v>
      </c>
      <c r="D124" s="733">
        <v>45</v>
      </c>
      <c r="E124" s="733">
        <v>52</v>
      </c>
      <c r="F124" s="733">
        <v>63</v>
      </c>
      <c r="G124" s="734">
        <v>71</v>
      </c>
      <c r="H124" s="734">
        <v>44</v>
      </c>
      <c r="I124" s="734">
        <v>43</v>
      </c>
      <c r="J124" s="733">
        <v>31</v>
      </c>
      <c r="K124" s="678">
        <v>32</v>
      </c>
      <c r="L124" s="678">
        <v>21</v>
      </c>
      <c r="M124" s="678">
        <v>21</v>
      </c>
      <c r="N124" s="735">
        <f t="shared" si="13"/>
        <v>480</v>
      </c>
      <c r="O124" s="736">
        <f t="shared" si="14"/>
        <v>40</v>
      </c>
      <c r="P124" s="737">
        <f t="shared" si="15"/>
        <v>0.83080917351795758</v>
      </c>
    </row>
    <row r="125" spans="1:16" s="738" customFormat="1">
      <c r="A125" s="806" t="s">
        <v>483</v>
      </c>
      <c r="B125" s="732">
        <v>1</v>
      </c>
      <c r="C125" s="678">
        <v>1</v>
      </c>
      <c r="D125" s="733">
        <v>0</v>
      </c>
      <c r="E125" s="733">
        <v>0</v>
      </c>
      <c r="F125" s="733">
        <v>0</v>
      </c>
      <c r="G125" s="734">
        <v>0</v>
      </c>
      <c r="H125" s="734">
        <v>0</v>
      </c>
      <c r="I125" s="734">
        <v>0</v>
      </c>
      <c r="J125" s="733">
        <v>0</v>
      </c>
      <c r="K125" s="678">
        <v>0</v>
      </c>
      <c r="L125" s="678">
        <v>0</v>
      </c>
      <c r="M125" s="678">
        <v>0</v>
      </c>
      <c r="N125" s="735">
        <f t="shared" si="13"/>
        <v>2</v>
      </c>
      <c r="O125" s="736">
        <f t="shared" si="14"/>
        <v>0.16666666666666666</v>
      </c>
      <c r="P125" s="737">
        <f t="shared" si="15"/>
        <v>3.4617048896581565E-3</v>
      </c>
    </row>
    <row r="126" spans="1:16" s="738" customFormat="1">
      <c r="A126" s="806" t="s">
        <v>123</v>
      </c>
      <c r="B126" s="732">
        <v>0</v>
      </c>
      <c r="C126" s="678">
        <v>0</v>
      </c>
      <c r="D126" s="733">
        <v>1</v>
      </c>
      <c r="E126" s="733">
        <v>0</v>
      </c>
      <c r="F126" s="733">
        <v>0</v>
      </c>
      <c r="G126" s="734">
        <v>0</v>
      </c>
      <c r="H126" s="734">
        <v>0</v>
      </c>
      <c r="I126" s="734">
        <v>0</v>
      </c>
      <c r="J126" s="733">
        <v>0</v>
      </c>
      <c r="K126" s="678">
        <v>0</v>
      </c>
      <c r="L126" s="678">
        <v>0</v>
      </c>
      <c r="M126" s="678">
        <v>1</v>
      </c>
      <c r="N126" s="735">
        <f t="shared" si="13"/>
        <v>2</v>
      </c>
      <c r="O126" s="736">
        <f t="shared" si="14"/>
        <v>0.16666666666666666</v>
      </c>
      <c r="P126" s="737">
        <f t="shared" si="15"/>
        <v>3.4617048896581565E-3</v>
      </c>
    </row>
    <row r="127" spans="1:16" s="738" customFormat="1">
      <c r="A127" s="806" t="s">
        <v>124</v>
      </c>
      <c r="B127" s="732">
        <v>24</v>
      </c>
      <c r="C127" s="678">
        <v>19</v>
      </c>
      <c r="D127" s="733">
        <v>12</v>
      </c>
      <c r="E127" s="733">
        <v>29</v>
      </c>
      <c r="F127" s="733">
        <v>15</v>
      </c>
      <c r="G127" s="734">
        <v>18</v>
      </c>
      <c r="H127" s="734">
        <v>20</v>
      </c>
      <c r="I127" s="734">
        <v>23</v>
      </c>
      <c r="J127" s="733">
        <v>21</v>
      </c>
      <c r="K127" s="678">
        <v>21</v>
      </c>
      <c r="L127" s="678">
        <v>25</v>
      </c>
      <c r="M127" s="678">
        <v>20</v>
      </c>
      <c r="N127" s="735">
        <f t="shared" si="13"/>
        <v>247</v>
      </c>
      <c r="O127" s="736">
        <f t="shared" si="14"/>
        <v>20.583333333333332</v>
      </c>
      <c r="P127" s="737">
        <f t="shared" si="15"/>
        <v>0.42752055387278232</v>
      </c>
    </row>
    <row r="128" spans="1:16" s="738" customFormat="1">
      <c r="A128" s="806" t="s">
        <v>125</v>
      </c>
      <c r="B128" s="732">
        <v>0</v>
      </c>
      <c r="C128" s="678">
        <v>0</v>
      </c>
      <c r="D128" s="733">
        <v>0</v>
      </c>
      <c r="E128" s="733">
        <v>0</v>
      </c>
      <c r="F128" s="733">
        <v>0</v>
      </c>
      <c r="G128" s="734">
        <v>0</v>
      </c>
      <c r="H128" s="734">
        <v>0</v>
      </c>
      <c r="I128" s="734">
        <v>0</v>
      </c>
      <c r="J128" s="733">
        <v>0</v>
      </c>
      <c r="K128" s="678">
        <v>0</v>
      </c>
      <c r="L128" s="678">
        <v>0</v>
      </c>
      <c r="M128" s="839">
        <v>0</v>
      </c>
      <c r="N128" s="735">
        <f t="shared" si="13"/>
        <v>0</v>
      </c>
      <c r="O128" s="736">
        <f t="shared" si="14"/>
        <v>0</v>
      </c>
      <c r="P128" s="737">
        <f t="shared" si="15"/>
        <v>0</v>
      </c>
    </row>
    <row r="129" spans="1:16" s="738" customFormat="1">
      <c r="A129" s="806" t="s">
        <v>450</v>
      </c>
      <c r="B129" s="732">
        <v>0</v>
      </c>
      <c r="C129" s="678">
        <v>0</v>
      </c>
      <c r="D129" s="733">
        <v>2</v>
      </c>
      <c r="E129" s="733">
        <v>1</v>
      </c>
      <c r="F129" s="733">
        <v>0</v>
      </c>
      <c r="G129" s="734">
        <v>0</v>
      </c>
      <c r="H129" s="734">
        <v>0</v>
      </c>
      <c r="I129" s="734">
        <v>0</v>
      </c>
      <c r="J129" s="733">
        <v>0</v>
      </c>
      <c r="K129" s="678">
        <v>0</v>
      </c>
      <c r="L129" s="678">
        <v>0</v>
      </c>
      <c r="M129" s="678">
        <v>0</v>
      </c>
      <c r="N129" s="735">
        <f t="shared" si="13"/>
        <v>3</v>
      </c>
      <c r="O129" s="736">
        <f t="shared" si="14"/>
        <v>0.25</v>
      </c>
      <c r="P129" s="737">
        <f t="shared" si="15"/>
        <v>5.1925573344872343E-3</v>
      </c>
    </row>
    <row r="130" spans="1:16" s="738" customFormat="1">
      <c r="A130" s="806" t="s">
        <v>126</v>
      </c>
      <c r="B130" s="732">
        <v>10</v>
      </c>
      <c r="C130" s="678">
        <v>3</v>
      </c>
      <c r="D130" s="733">
        <v>3</v>
      </c>
      <c r="E130" s="733">
        <v>2</v>
      </c>
      <c r="F130" s="733">
        <v>1</v>
      </c>
      <c r="G130" s="734">
        <v>2</v>
      </c>
      <c r="H130" s="734">
        <v>0</v>
      </c>
      <c r="I130" s="734">
        <v>1</v>
      </c>
      <c r="J130" s="733">
        <v>5</v>
      </c>
      <c r="K130" s="678">
        <v>11</v>
      </c>
      <c r="L130" s="678">
        <v>5</v>
      </c>
      <c r="M130" s="678">
        <v>6</v>
      </c>
      <c r="N130" s="735">
        <f t="shared" si="13"/>
        <v>49</v>
      </c>
      <c r="O130" s="736">
        <f t="shared" si="14"/>
        <v>4.083333333333333</v>
      </c>
      <c r="P130" s="737">
        <f t="shared" si="15"/>
        <v>8.4811769796624845E-2</v>
      </c>
    </row>
    <row r="131" spans="1:16" s="738" customFormat="1">
      <c r="A131" s="806" t="s">
        <v>127</v>
      </c>
      <c r="B131" s="732">
        <v>18</v>
      </c>
      <c r="C131" s="678">
        <v>25</v>
      </c>
      <c r="D131" s="733">
        <v>29</v>
      </c>
      <c r="E131" s="733">
        <v>29</v>
      </c>
      <c r="F131" s="733">
        <v>25</v>
      </c>
      <c r="G131" s="734">
        <v>16</v>
      </c>
      <c r="H131" s="734">
        <v>13</v>
      </c>
      <c r="I131" s="734">
        <v>20</v>
      </c>
      <c r="J131" s="733">
        <v>26</v>
      </c>
      <c r="K131" s="678">
        <v>83</v>
      </c>
      <c r="L131" s="678">
        <v>113</v>
      </c>
      <c r="M131" s="678">
        <v>42</v>
      </c>
      <c r="N131" s="735">
        <f t="shared" si="13"/>
        <v>439</v>
      </c>
      <c r="O131" s="736">
        <f t="shared" si="14"/>
        <v>36.583333333333336</v>
      </c>
      <c r="P131" s="737">
        <f t="shared" si="15"/>
        <v>0.75984422327996537</v>
      </c>
    </row>
    <row r="132" spans="1:16" s="738" customFormat="1">
      <c r="A132" s="806" t="s">
        <v>128</v>
      </c>
      <c r="B132" s="732">
        <v>0</v>
      </c>
      <c r="C132" s="678">
        <v>0</v>
      </c>
      <c r="D132" s="733">
        <v>0</v>
      </c>
      <c r="E132" s="733">
        <v>0</v>
      </c>
      <c r="F132" s="733">
        <v>0</v>
      </c>
      <c r="G132" s="734">
        <v>0</v>
      </c>
      <c r="H132" s="734">
        <v>0</v>
      </c>
      <c r="I132" s="734">
        <v>0</v>
      </c>
      <c r="J132" s="733">
        <v>1</v>
      </c>
      <c r="K132" s="678">
        <v>3</v>
      </c>
      <c r="L132" s="678">
        <v>1</v>
      </c>
      <c r="M132" s="678">
        <v>0</v>
      </c>
      <c r="N132" s="735">
        <f t="shared" si="13"/>
        <v>5</v>
      </c>
      <c r="O132" s="736">
        <f t="shared" si="14"/>
        <v>0.41666666666666669</v>
      </c>
      <c r="P132" s="737">
        <f t="shared" si="15"/>
        <v>8.6542622241453926E-3</v>
      </c>
    </row>
    <row r="133" spans="1:16" s="738" customFormat="1">
      <c r="A133" s="806" t="s">
        <v>129</v>
      </c>
      <c r="B133" s="732">
        <v>2</v>
      </c>
      <c r="C133" s="678">
        <v>0</v>
      </c>
      <c r="D133" s="733">
        <v>4</v>
      </c>
      <c r="E133" s="733">
        <v>1</v>
      </c>
      <c r="F133" s="733">
        <v>2</v>
      </c>
      <c r="G133" s="734">
        <v>1</v>
      </c>
      <c r="H133" s="734">
        <v>5</v>
      </c>
      <c r="I133" s="734">
        <v>4</v>
      </c>
      <c r="J133" s="733">
        <v>2</v>
      </c>
      <c r="K133" s="678">
        <v>2</v>
      </c>
      <c r="L133" s="678">
        <v>3</v>
      </c>
      <c r="M133" s="678">
        <v>4</v>
      </c>
      <c r="N133" s="735">
        <f t="shared" si="13"/>
        <v>30</v>
      </c>
      <c r="O133" s="736">
        <f t="shared" si="14"/>
        <v>2.5</v>
      </c>
      <c r="P133" s="737">
        <f t="shared" si="15"/>
        <v>5.1925573344872349E-2</v>
      </c>
    </row>
    <row r="134" spans="1:16" s="738" customFormat="1">
      <c r="A134" s="806" t="s">
        <v>130</v>
      </c>
      <c r="B134" s="732">
        <v>0</v>
      </c>
      <c r="C134" s="678">
        <v>0</v>
      </c>
      <c r="D134" s="733">
        <v>1</v>
      </c>
      <c r="E134" s="733">
        <v>0</v>
      </c>
      <c r="F134" s="733">
        <v>0</v>
      </c>
      <c r="G134" s="734">
        <v>0</v>
      </c>
      <c r="H134" s="734">
        <v>0</v>
      </c>
      <c r="I134" s="734">
        <v>0</v>
      </c>
      <c r="J134" s="733">
        <v>0</v>
      </c>
      <c r="K134" s="678">
        <v>0</v>
      </c>
      <c r="L134" s="678">
        <v>0</v>
      </c>
      <c r="M134" s="678">
        <v>0</v>
      </c>
      <c r="N134" s="735">
        <f t="shared" si="13"/>
        <v>1</v>
      </c>
      <c r="O134" s="736">
        <f t="shared" si="14"/>
        <v>8.3333333333333329E-2</v>
      </c>
      <c r="P134" s="737">
        <f t="shared" si="15"/>
        <v>1.7308524448290783E-3</v>
      </c>
    </row>
    <row r="135" spans="1:16" s="738" customFormat="1">
      <c r="A135" s="806" t="s">
        <v>131</v>
      </c>
      <c r="B135" s="732">
        <v>0</v>
      </c>
      <c r="C135" s="678">
        <v>0</v>
      </c>
      <c r="D135" s="733">
        <v>1</v>
      </c>
      <c r="E135" s="733">
        <v>2</v>
      </c>
      <c r="F135" s="733">
        <v>0</v>
      </c>
      <c r="G135" s="734">
        <v>2</v>
      </c>
      <c r="H135" s="734">
        <v>0</v>
      </c>
      <c r="I135" s="734">
        <v>2</v>
      </c>
      <c r="J135" s="733">
        <v>3</v>
      </c>
      <c r="K135" s="678">
        <v>2</v>
      </c>
      <c r="L135" s="678">
        <v>2</v>
      </c>
      <c r="M135" s="678">
        <v>0</v>
      </c>
      <c r="N135" s="735">
        <f t="shared" si="13"/>
        <v>14</v>
      </c>
      <c r="O135" s="736">
        <f t="shared" si="14"/>
        <v>1.1666666666666667</v>
      </c>
      <c r="P135" s="737">
        <f t="shared" si="15"/>
        <v>2.4231934227607096E-2</v>
      </c>
    </row>
    <row r="136" spans="1:16" s="738" customFormat="1">
      <c r="A136" s="805" t="s">
        <v>132</v>
      </c>
      <c r="B136" s="732">
        <v>0</v>
      </c>
      <c r="C136" s="678">
        <v>0</v>
      </c>
      <c r="D136" s="733">
        <v>0</v>
      </c>
      <c r="E136" s="733">
        <v>0</v>
      </c>
      <c r="F136" s="733">
        <v>0</v>
      </c>
      <c r="G136" s="734">
        <v>1</v>
      </c>
      <c r="H136" s="734">
        <v>0</v>
      </c>
      <c r="I136" s="734">
        <v>0</v>
      </c>
      <c r="J136" s="733">
        <v>0</v>
      </c>
      <c r="K136" s="678">
        <v>1</v>
      </c>
      <c r="L136" s="678">
        <v>0</v>
      </c>
      <c r="M136" s="678">
        <v>0</v>
      </c>
      <c r="N136" s="735">
        <f t="shared" si="13"/>
        <v>2</v>
      </c>
      <c r="O136" s="736">
        <f t="shared" si="14"/>
        <v>0.16666666666666666</v>
      </c>
      <c r="P136" s="737">
        <f t="shared" si="15"/>
        <v>3.4617048896581565E-3</v>
      </c>
    </row>
    <row r="137" spans="1:16" s="738" customFormat="1">
      <c r="A137" s="806" t="s">
        <v>133</v>
      </c>
      <c r="B137" s="732">
        <v>0</v>
      </c>
      <c r="C137" s="678">
        <v>0</v>
      </c>
      <c r="D137" s="733">
        <v>1</v>
      </c>
      <c r="E137" s="733">
        <v>0</v>
      </c>
      <c r="F137" s="733">
        <v>0</v>
      </c>
      <c r="G137" s="734">
        <v>0</v>
      </c>
      <c r="H137" s="734">
        <v>0</v>
      </c>
      <c r="I137" s="734">
        <v>0</v>
      </c>
      <c r="J137" s="733">
        <v>0</v>
      </c>
      <c r="K137" s="678">
        <v>0</v>
      </c>
      <c r="L137" s="678">
        <v>1</v>
      </c>
      <c r="M137" s="678">
        <v>0</v>
      </c>
      <c r="N137" s="735">
        <f t="shared" si="13"/>
        <v>2</v>
      </c>
      <c r="O137" s="736">
        <f t="shared" si="14"/>
        <v>0.16666666666666666</v>
      </c>
      <c r="P137" s="737">
        <f t="shared" si="15"/>
        <v>3.4617048896581565E-3</v>
      </c>
    </row>
    <row r="138" spans="1:16" s="738" customFormat="1">
      <c r="A138" s="806" t="s">
        <v>134</v>
      </c>
      <c r="B138" s="732">
        <v>86</v>
      </c>
      <c r="C138" s="678">
        <v>71</v>
      </c>
      <c r="D138" s="733">
        <v>86</v>
      </c>
      <c r="E138" s="733">
        <v>84</v>
      </c>
      <c r="F138" s="733">
        <v>88</v>
      </c>
      <c r="G138" s="734">
        <v>90</v>
      </c>
      <c r="H138" s="734">
        <v>91</v>
      </c>
      <c r="I138" s="734">
        <v>87</v>
      </c>
      <c r="J138" s="733">
        <v>74</v>
      </c>
      <c r="K138" s="678">
        <v>112</v>
      </c>
      <c r="L138" s="678">
        <v>144</v>
      </c>
      <c r="M138" s="678">
        <v>151</v>
      </c>
      <c r="N138" s="735">
        <f t="shared" si="13"/>
        <v>1164</v>
      </c>
      <c r="O138" s="736">
        <f t="shared" si="14"/>
        <v>97</v>
      </c>
      <c r="P138" s="737">
        <f t="shared" si="15"/>
        <v>2.0147122457810469</v>
      </c>
    </row>
    <row r="139" spans="1:16" s="738" customFormat="1">
      <c r="A139" s="806" t="s">
        <v>135</v>
      </c>
      <c r="B139" s="732">
        <v>5</v>
      </c>
      <c r="C139" s="678">
        <v>5</v>
      </c>
      <c r="D139" s="733">
        <v>8</v>
      </c>
      <c r="E139" s="733">
        <v>3</v>
      </c>
      <c r="F139" s="733">
        <v>6</v>
      </c>
      <c r="G139" s="734">
        <v>7</v>
      </c>
      <c r="H139" s="734">
        <v>2</v>
      </c>
      <c r="I139" s="734">
        <v>3</v>
      </c>
      <c r="J139" s="733">
        <v>4</v>
      </c>
      <c r="K139" s="678">
        <v>1</v>
      </c>
      <c r="L139" s="678">
        <v>1</v>
      </c>
      <c r="M139" s="678">
        <v>0</v>
      </c>
      <c r="N139" s="735">
        <f t="shared" si="13"/>
        <v>45</v>
      </c>
      <c r="O139" s="736">
        <f t="shared" si="14"/>
        <v>3.75</v>
      </c>
      <c r="P139" s="737">
        <f t="shared" si="15"/>
        <v>7.7888360017308519E-2</v>
      </c>
    </row>
    <row r="140" spans="1:16" s="738" customFormat="1">
      <c r="A140" s="806" t="s">
        <v>136</v>
      </c>
      <c r="B140" s="732">
        <v>50</v>
      </c>
      <c r="C140" s="678">
        <v>51</v>
      </c>
      <c r="D140" s="733">
        <v>60</v>
      </c>
      <c r="E140" s="733">
        <v>69</v>
      </c>
      <c r="F140" s="733">
        <v>206</v>
      </c>
      <c r="G140" s="734">
        <v>182</v>
      </c>
      <c r="H140" s="734">
        <v>199</v>
      </c>
      <c r="I140" s="734">
        <v>228</v>
      </c>
      <c r="J140" s="733">
        <v>211</v>
      </c>
      <c r="K140" s="678">
        <v>277</v>
      </c>
      <c r="L140" s="678">
        <v>245</v>
      </c>
      <c r="M140" s="678">
        <v>183</v>
      </c>
      <c r="N140" s="735">
        <f t="shared" si="13"/>
        <v>1961</v>
      </c>
      <c r="O140" s="736">
        <f t="shared" si="14"/>
        <v>163.41666666666666</v>
      </c>
      <c r="P140" s="737">
        <f t="shared" si="15"/>
        <v>3.3942016443098222</v>
      </c>
    </row>
    <row r="141" spans="1:16" s="738" customFormat="1">
      <c r="A141" s="805" t="s">
        <v>137</v>
      </c>
      <c r="B141" s="732">
        <v>6</v>
      </c>
      <c r="C141" s="678">
        <v>12</v>
      </c>
      <c r="D141" s="733">
        <v>9</v>
      </c>
      <c r="E141" s="733">
        <v>14</v>
      </c>
      <c r="F141" s="733">
        <v>5</v>
      </c>
      <c r="G141" s="734">
        <v>11</v>
      </c>
      <c r="H141" s="734">
        <v>7</v>
      </c>
      <c r="I141" s="734">
        <v>9</v>
      </c>
      <c r="J141" s="733">
        <v>7</v>
      </c>
      <c r="K141" s="678">
        <v>14</v>
      </c>
      <c r="L141" s="678">
        <v>13</v>
      </c>
      <c r="M141" s="678">
        <v>11</v>
      </c>
      <c r="N141" s="735">
        <f t="shared" si="13"/>
        <v>118</v>
      </c>
      <c r="O141" s="736">
        <f t="shared" si="14"/>
        <v>9.8333333333333339</v>
      </c>
      <c r="P141" s="737">
        <f t="shared" si="15"/>
        <v>0.20424058848983123</v>
      </c>
    </row>
    <row r="142" spans="1:16" s="738" customFormat="1">
      <c r="A142" s="806" t="s">
        <v>138</v>
      </c>
      <c r="B142" s="732">
        <v>0</v>
      </c>
      <c r="C142" s="678">
        <v>0</v>
      </c>
      <c r="D142" s="733">
        <v>0</v>
      </c>
      <c r="E142" s="733">
        <v>0</v>
      </c>
      <c r="F142" s="733">
        <v>0</v>
      </c>
      <c r="G142" s="734">
        <v>0</v>
      </c>
      <c r="H142" s="734">
        <v>0</v>
      </c>
      <c r="I142" s="734">
        <v>0</v>
      </c>
      <c r="J142" s="733">
        <v>0</v>
      </c>
      <c r="K142" s="678">
        <v>3</v>
      </c>
      <c r="L142" s="678">
        <v>0</v>
      </c>
      <c r="M142" s="678">
        <v>0</v>
      </c>
      <c r="N142" s="735">
        <f t="shared" si="13"/>
        <v>3</v>
      </c>
      <c r="O142" s="736">
        <f t="shared" si="14"/>
        <v>0.25</v>
      </c>
      <c r="P142" s="737">
        <f t="shared" si="15"/>
        <v>5.1925573344872343E-3</v>
      </c>
    </row>
    <row r="143" spans="1:16" s="738" customFormat="1">
      <c r="A143" s="806" t="s">
        <v>139</v>
      </c>
      <c r="B143" s="732">
        <v>0</v>
      </c>
      <c r="C143" s="678">
        <v>0</v>
      </c>
      <c r="D143" s="733">
        <v>0</v>
      </c>
      <c r="E143" s="733">
        <v>0</v>
      </c>
      <c r="F143" s="733">
        <v>0</v>
      </c>
      <c r="G143" s="734">
        <v>0</v>
      </c>
      <c r="H143" s="734">
        <v>0</v>
      </c>
      <c r="I143" s="734">
        <v>0</v>
      </c>
      <c r="J143" s="733">
        <v>0</v>
      </c>
      <c r="K143" s="678">
        <v>0</v>
      </c>
      <c r="L143" s="678">
        <v>0</v>
      </c>
      <c r="M143" s="678">
        <v>0</v>
      </c>
      <c r="N143" s="735">
        <f t="shared" si="13"/>
        <v>0</v>
      </c>
      <c r="O143" s="736">
        <f t="shared" si="14"/>
        <v>0</v>
      </c>
      <c r="P143" s="737">
        <f t="shared" si="15"/>
        <v>0</v>
      </c>
    </row>
    <row r="144" spans="1:16" s="738" customFormat="1">
      <c r="A144" s="806" t="s">
        <v>140</v>
      </c>
      <c r="B144" s="732">
        <v>2</v>
      </c>
      <c r="C144" s="678">
        <v>2</v>
      </c>
      <c r="D144" s="733">
        <v>1</v>
      </c>
      <c r="E144" s="733">
        <v>2</v>
      </c>
      <c r="F144" s="733">
        <v>1</v>
      </c>
      <c r="G144" s="734">
        <v>1</v>
      </c>
      <c r="H144" s="734">
        <v>5</v>
      </c>
      <c r="I144" s="734">
        <v>5</v>
      </c>
      <c r="J144" s="733">
        <v>7</v>
      </c>
      <c r="K144" s="678">
        <v>1</v>
      </c>
      <c r="L144" s="678">
        <v>1</v>
      </c>
      <c r="M144" s="678">
        <v>1</v>
      </c>
      <c r="N144" s="735">
        <f t="shared" si="13"/>
        <v>29</v>
      </c>
      <c r="O144" s="736">
        <f t="shared" si="14"/>
        <v>2.4166666666666665</v>
      </c>
      <c r="P144" s="737">
        <f t="shared" si="15"/>
        <v>5.0194720900043274E-2</v>
      </c>
    </row>
    <row r="145" spans="1:16" s="738" customFormat="1">
      <c r="A145" s="806" t="s">
        <v>141</v>
      </c>
      <c r="B145" s="732">
        <v>90</v>
      </c>
      <c r="C145" s="678">
        <v>147</v>
      </c>
      <c r="D145" s="733">
        <v>116</v>
      </c>
      <c r="E145" s="733">
        <v>132</v>
      </c>
      <c r="F145" s="733">
        <v>119</v>
      </c>
      <c r="G145" s="734">
        <v>104</v>
      </c>
      <c r="H145" s="734">
        <v>118</v>
      </c>
      <c r="I145" s="734">
        <v>170</v>
      </c>
      <c r="J145" s="733">
        <v>123</v>
      </c>
      <c r="K145" s="678">
        <v>175</v>
      </c>
      <c r="L145" s="678">
        <v>88</v>
      </c>
      <c r="M145" s="678">
        <v>61</v>
      </c>
      <c r="N145" s="735">
        <f t="shared" si="13"/>
        <v>1443</v>
      </c>
      <c r="O145" s="736">
        <f t="shared" si="14"/>
        <v>120.25</v>
      </c>
      <c r="P145" s="737">
        <f t="shared" si="15"/>
        <v>2.4976200778883602</v>
      </c>
    </row>
    <row r="146" spans="1:16" s="738" customFormat="1">
      <c r="A146" s="806" t="s">
        <v>460</v>
      </c>
      <c r="B146" s="732">
        <v>18</v>
      </c>
      <c r="C146" s="678">
        <v>19</v>
      </c>
      <c r="D146" s="733">
        <v>11</v>
      </c>
      <c r="E146" s="733">
        <v>15</v>
      </c>
      <c r="F146" s="733">
        <v>17</v>
      </c>
      <c r="G146" s="734">
        <v>17</v>
      </c>
      <c r="H146" s="734">
        <v>16</v>
      </c>
      <c r="I146" s="734">
        <v>17</v>
      </c>
      <c r="J146" s="733">
        <v>20</v>
      </c>
      <c r="K146" s="678">
        <v>19</v>
      </c>
      <c r="L146" s="678">
        <v>11</v>
      </c>
      <c r="M146" s="678">
        <v>15</v>
      </c>
      <c r="N146" s="735">
        <f t="shared" ref="N146:N180" si="16">SUM(B146:M146)</f>
        <v>195</v>
      </c>
      <c r="O146" s="736">
        <f t="shared" ref="O146:O180" si="17">AVERAGE(B146:M146)</f>
        <v>16.25</v>
      </c>
      <c r="P146" s="737">
        <f t="shared" si="15"/>
        <v>0.33751622674167026</v>
      </c>
    </row>
    <row r="147" spans="1:16" s="738" customFormat="1">
      <c r="A147" s="806" t="s">
        <v>143</v>
      </c>
      <c r="B147" s="732">
        <v>0</v>
      </c>
      <c r="C147" s="678">
        <v>0</v>
      </c>
      <c r="D147" s="733">
        <v>0</v>
      </c>
      <c r="E147" s="733">
        <v>0</v>
      </c>
      <c r="F147" s="733">
        <v>0</v>
      </c>
      <c r="G147" s="734">
        <v>0</v>
      </c>
      <c r="H147" s="734">
        <v>0</v>
      </c>
      <c r="I147" s="734">
        <v>0</v>
      </c>
      <c r="J147" s="733">
        <v>0</v>
      </c>
      <c r="K147" s="678">
        <v>1</v>
      </c>
      <c r="L147" s="678">
        <v>0</v>
      </c>
      <c r="M147" s="678">
        <v>0</v>
      </c>
      <c r="N147" s="735">
        <f t="shared" si="16"/>
        <v>1</v>
      </c>
      <c r="O147" s="736">
        <f t="shared" si="17"/>
        <v>8.3333333333333329E-2</v>
      </c>
      <c r="P147" s="737">
        <f t="shared" si="15"/>
        <v>1.7308524448290783E-3</v>
      </c>
    </row>
    <row r="148" spans="1:16" s="738" customFormat="1">
      <c r="A148" s="806" t="s">
        <v>142</v>
      </c>
      <c r="B148" s="732">
        <v>8</v>
      </c>
      <c r="C148" s="678">
        <v>15</v>
      </c>
      <c r="D148" s="733">
        <v>5</v>
      </c>
      <c r="E148" s="733">
        <v>3</v>
      </c>
      <c r="F148" s="733">
        <v>5</v>
      </c>
      <c r="G148" s="734">
        <v>2</v>
      </c>
      <c r="H148" s="734">
        <v>3</v>
      </c>
      <c r="I148" s="734">
        <v>5</v>
      </c>
      <c r="J148" s="733">
        <v>7</v>
      </c>
      <c r="K148" s="678">
        <v>4</v>
      </c>
      <c r="L148" s="678">
        <v>1</v>
      </c>
      <c r="M148" s="678">
        <v>2</v>
      </c>
      <c r="N148" s="735">
        <f t="shared" si="16"/>
        <v>60</v>
      </c>
      <c r="O148" s="736">
        <f t="shared" si="17"/>
        <v>5</v>
      </c>
      <c r="P148" s="737">
        <f t="shared" si="15"/>
        <v>0.1038511466897447</v>
      </c>
    </row>
    <row r="149" spans="1:16" s="738" customFormat="1">
      <c r="A149" s="805" t="s">
        <v>144</v>
      </c>
      <c r="B149" s="732">
        <v>160</v>
      </c>
      <c r="C149" s="678">
        <v>193</v>
      </c>
      <c r="D149" s="733">
        <v>237</v>
      </c>
      <c r="E149" s="733">
        <v>146</v>
      </c>
      <c r="F149" s="733">
        <v>110</v>
      </c>
      <c r="G149" s="734">
        <v>109</v>
      </c>
      <c r="H149" s="734">
        <v>79</v>
      </c>
      <c r="I149" s="734">
        <v>108</v>
      </c>
      <c r="J149" s="733">
        <v>77</v>
      </c>
      <c r="K149" s="678">
        <v>96</v>
      </c>
      <c r="L149" s="678">
        <v>72</v>
      </c>
      <c r="M149" s="678">
        <v>85</v>
      </c>
      <c r="N149" s="735">
        <f t="shared" si="16"/>
        <v>1472</v>
      </c>
      <c r="O149" s="736">
        <f t="shared" si="17"/>
        <v>122.66666666666667</v>
      </c>
      <c r="P149" s="737">
        <f t="shared" si="15"/>
        <v>2.5478147987884037</v>
      </c>
    </row>
    <row r="150" spans="1:16" s="738" customFormat="1">
      <c r="A150" s="805" t="s">
        <v>484</v>
      </c>
      <c r="B150" s="732">
        <v>73</v>
      </c>
      <c r="C150" s="678">
        <v>10</v>
      </c>
      <c r="D150" s="733">
        <v>0</v>
      </c>
      <c r="E150" s="733">
        <v>0</v>
      </c>
      <c r="F150" s="733">
        <v>0</v>
      </c>
      <c r="G150" s="734">
        <v>0</v>
      </c>
      <c r="H150" s="734">
        <v>0</v>
      </c>
      <c r="I150" s="734">
        <v>0</v>
      </c>
      <c r="J150" s="733">
        <v>0</v>
      </c>
      <c r="K150" s="678">
        <v>0</v>
      </c>
      <c r="L150" s="678">
        <v>0</v>
      </c>
      <c r="M150" s="678">
        <v>0</v>
      </c>
      <c r="N150" s="735">
        <f t="shared" si="16"/>
        <v>83</v>
      </c>
      <c r="O150" s="736">
        <f t="shared" si="17"/>
        <v>6.916666666666667</v>
      </c>
      <c r="P150" s="737">
        <f t="shared" si="15"/>
        <v>0.14366075292081351</v>
      </c>
    </row>
    <row r="151" spans="1:16" s="738" customFormat="1">
      <c r="A151" s="805" t="s">
        <v>145</v>
      </c>
      <c r="B151" s="732">
        <v>0</v>
      </c>
      <c r="C151" s="678">
        <v>0</v>
      </c>
      <c r="D151" s="733">
        <v>0</v>
      </c>
      <c r="E151" s="733">
        <v>0</v>
      </c>
      <c r="F151" s="733">
        <v>0</v>
      </c>
      <c r="G151" s="734">
        <v>0</v>
      </c>
      <c r="H151" s="734">
        <v>0</v>
      </c>
      <c r="I151" s="734">
        <v>0</v>
      </c>
      <c r="J151" s="733">
        <v>0</v>
      </c>
      <c r="K151" s="678">
        <v>0</v>
      </c>
      <c r="L151" s="678">
        <v>0</v>
      </c>
      <c r="M151" s="678">
        <v>0</v>
      </c>
      <c r="N151" s="735">
        <f t="shared" si="16"/>
        <v>0</v>
      </c>
      <c r="O151" s="736">
        <f t="shared" si="17"/>
        <v>0</v>
      </c>
      <c r="P151" s="737">
        <f t="shared" si="15"/>
        <v>0</v>
      </c>
    </row>
    <row r="152" spans="1:16" s="738" customFormat="1">
      <c r="A152" s="806" t="s">
        <v>455</v>
      </c>
      <c r="B152" s="732">
        <v>5</v>
      </c>
      <c r="C152" s="678">
        <v>6</v>
      </c>
      <c r="D152" s="733">
        <v>5</v>
      </c>
      <c r="E152" s="733">
        <v>1</v>
      </c>
      <c r="F152" s="733">
        <v>6</v>
      </c>
      <c r="G152" s="734">
        <v>3</v>
      </c>
      <c r="H152" s="734">
        <v>3</v>
      </c>
      <c r="I152" s="734">
        <v>7</v>
      </c>
      <c r="J152" s="733">
        <v>4</v>
      </c>
      <c r="K152" s="678">
        <v>2</v>
      </c>
      <c r="L152" s="678">
        <v>7</v>
      </c>
      <c r="M152" s="678">
        <v>4</v>
      </c>
      <c r="N152" s="735">
        <f t="shared" si="16"/>
        <v>53</v>
      </c>
      <c r="O152" s="736">
        <f t="shared" si="17"/>
        <v>4.416666666666667</v>
      </c>
      <c r="P152" s="737">
        <f t="shared" si="15"/>
        <v>9.1735179575941156E-2</v>
      </c>
    </row>
    <row r="153" spans="1:16" s="738" customFormat="1">
      <c r="A153" s="806" t="s">
        <v>146</v>
      </c>
      <c r="B153" s="732">
        <v>10</v>
      </c>
      <c r="C153" s="678">
        <v>7</v>
      </c>
      <c r="D153" s="733">
        <v>37</v>
      </c>
      <c r="E153" s="733">
        <v>33</v>
      </c>
      <c r="F153" s="733">
        <v>79</v>
      </c>
      <c r="G153" s="734">
        <v>70</v>
      </c>
      <c r="H153" s="734">
        <v>23</v>
      </c>
      <c r="I153" s="734">
        <v>11</v>
      </c>
      <c r="J153" s="733">
        <v>8</v>
      </c>
      <c r="K153" s="678">
        <v>6</v>
      </c>
      <c r="L153" s="678">
        <v>14</v>
      </c>
      <c r="M153" s="678">
        <v>9</v>
      </c>
      <c r="N153" s="735">
        <f t="shared" si="16"/>
        <v>307</v>
      </c>
      <c r="O153" s="736">
        <f t="shared" si="17"/>
        <v>25.583333333333332</v>
      </c>
      <c r="P153" s="737">
        <f t="shared" si="15"/>
        <v>0.53137170056252703</v>
      </c>
    </row>
    <row r="154" spans="1:16" s="738" customFormat="1">
      <c r="A154" s="806" t="s">
        <v>147</v>
      </c>
      <c r="B154" s="732">
        <v>1</v>
      </c>
      <c r="C154" s="678">
        <v>0</v>
      </c>
      <c r="D154" s="733">
        <v>1</v>
      </c>
      <c r="E154" s="733">
        <v>0</v>
      </c>
      <c r="F154" s="733">
        <v>0</v>
      </c>
      <c r="G154" s="734">
        <v>0</v>
      </c>
      <c r="H154" s="734">
        <v>0</v>
      </c>
      <c r="I154" s="734">
        <v>0</v>
      </c>
      <c r="J154" s="733">
        <v>0</v>
      </c>
      <c r="K154" s="678">
        <v>0</v>
      </c>
      <c r="L154" s="678">
        <v>1</v>
      </c>
      <c r="M154" s="678">
        <v>0</v>
      </c>
      <c r="N154" s="735">
        <f t="shared" si="16"/>
        <v>3</v>
      </c>
      <c r="O154" s="736">
        <f t="shared" si="17"/>
        <v>0.25</v>
      </c>
      <c r="P154" s="737">
        <f t="shared" si="15"/>
        <v>5.1925573344872343E-3</v>
      </c>
    </row>
    <row r="155" spans="1:16" s="792" customFormat="1">
      <c r="A155" s="805" t="s">
        <v>148</v>
      </c>
      <c r="B155" s="791">
        <v>5</v>
      </c>
      <c r="C155" s="678">
        <v>6</v>
      </c>
      <c r="D155" s="734">
        <v>4</v>
      </c>
      <c r="E155" s="734">
        <v>1</v>
      </c>
      <c r="F155" s="734">
        <v>2</v>
      </c>
      <c r="G155" s="734">
        <v>4</v>
      </c>
      <c r="H155" s="734">
        <v>3</v>
      </c>
      <c r="I155" s="734">
        <v>3</v>
      </c>
      <c r="J155" s="734">
        <v>5</v>
      </c>
      <c r="K155" s="678">
        <v>2</v>
      </c>
      <c r="L155" s="678">
        <v>6</v>
      </c>
      <c r="M155" s="678">
        <v>3</v>
      </c>
      <c r="N155" s="735">
        <f t="shared" si="16"/>
        <v>44</v>
      </c>
      <c r="O155" s="736">
        <f t="shared" si="17"/>
        <v>3.6666666666666665</v>
      </c>
      <c r="P155" s="737">
        <f t="shared" ref="P155:P186" si="18">(N155/$N$220)*100</f>
        <v>7.6157507572479452E-2</v>
      </c>
    </row>
    <row r="156" spans="1:16" s="792" customFormat="1">
      <c r="A156" s="805" t="s">
        <v>476</v>
      </c>
      <c r="B156" s="791">
        <v>1</v>
      </c>
      <c r="C156" s="678">
        <v>1</v>
      </c>
      <c r="D156" s="734">
        <v>2</v>
      </c>
      <c r="E156" s="734">
        <v>0</v>
      </c>
      <c r="F156" s="734">
        <v>0</v>
      </c>
      <c r="G156" s="734">
        <v>0</v>
      </c>
      <c r="H156" s="734">
        <v>0</v>
      </c>
      <c r="I156" s="734">
        <v>0</v>
      </c>
      <c r="J156" s="734">
        <v>0</v>
      </c>
      <c r="K156" s="678">
        <v>0</v>
      </c>
      <c r="L156" s="678">
        <v>0</v>
      </c>
      <c r="M156" s="678">
        <v>0</v>
      </c>
      <c r="N156" s="735">
        <f t="shared" si="16"/>
        <v>4</v>
      </c>
      <c r="O156" s="736">
        <f t="shared" si="17"/>
        <v>0.33333333333333331</v>
      </c>
      <c r="P156" s="737">
        <f t="shared" si="18"/>
        <v>6.923409779316313E-3</v>
      </c>
    </row>
    <row r="157" spans="1:16" s="738" customFormat="1">
      <c r="A157" s="805" t="s">
        <v>451</v>
      </c>
      <c r="B157" s="791">
        <v>1</v>
      </c>
      <c r="C157" s="678">
        <v>2</v>
      </c>
      <c r="D157" s="734">
        <v>0</v>
      </c>
      <c r="E157" s="734">
        <v>1</v>
      </c>
      <c r="F157" s="734">
        <v>0</v>
      </c>
      <c r="G157" s="734">
        <v>0</v>
      </c>
      <c r="H157" s="734">
        <v>0</v>
      </c>
      <c r="I157" s="734">
        <v>0</v>
      </c>
      <c r="J157" s="734">
        <v>0</v>
      </c>
      <c r="K157" s="678">
        <v>0</v>
      </c>
      <c r="L157" s="678">
        <v>0</v>
      </c>
      <c r="M157" s="678">
        <v>0</v>
      </c>
      <c r="N157" s="735">
        <f t="shared" si="16"/>
        <v>4</v>
      </c>
      <c r="O157" s="736">
        <f t="shared" si="17"/>
        <v>0.33333333333333331</v>
      </c>
      <c r="P157" s="737">
        <f t="shared" si="18"/>
        <v>6.923409779316313E-3</v>
      </c>
    </row>
    <row r="158" spans="1:16" s="738" customFormat="1">
      <c r="A158" s="806" t="s">
        <v>149</v>
      </c>
      <c r="B158" s="732">
        <v>5</v>
      </c>
      <c r="C158" s="678">
        <v>9</v>
      </c>
      <c r="D158" s="733">
        <v>7</v>
      </c>
      <c r="E158" s="733">
        <v>9</v>
      </c>
      <c r="F158" s="733">
        <v>4</v>
      </c>
      <c r="G158" s="734">
        <v>7</v>
      </c>
      <c r="H158" s="734">
        <v>2</v>
      </c>
      <c r="I158" s="734">
        <v>1</v>
      </c>
      <c r="J158" s="733">
        <v>0</v>
      </c>
      <c r="K158" s="678">
        <v>0</v>
      </c>
      <c r="L158" s="678">
        <v>0</v>
      </c>
      <c r="M158" s="678">
        <v>1</v>
      </c>
      <c r="N158" s="735">
        <f t="shared" si="16"/>
        <v>45</v>
      </c>
      <c r="O158" s="736">
        <f t="shared" si="17"/>
        <v>3.75</v>
      </c>
      <c r="P158" s="737">
        <f t="shared" si="18"/>
        <v>7.7888360017308519E-2</v>
      </c>
    </row>
    <row r="159" spans="1:16" s="738" customFormat="1">
      <c r="A159" s="806" t="s">
        <v>150</v>
      </c>
      <c r="B159" s="732">
        <v>0</v>
      </c>
      <c r="C159" s="678">
        <v>0</v>
      </c>
      <c r="D159" s="733">
        <v>0</v>
      </c>
      <c r="E159" s="733">
        <v>0</v>
      </c>
      <c r="F159" s="733">
        <v>1</v>
      </c>
      <c r="G159" s="734">
        <v>0</v>
      </c>
      <c r="H159" s="734">
        <v>0</v>
      </c>
      <c r="I159" s="734">
        <v>0</v>
      </c>
      <c r="J159" s="733">
        <v>0</v>
      </c>
      <c r="K159" s="678">
        <v>0</v>
      </c>
      <c r="L159" s="678">
        <v>0</v>
      </c>
      <c r="M159" s="678">
        <v>0</v>
      </c>
      <c r="N159" s="735">
        <f t="shared" si="16"/>
        <v>1</v>
      </c>
      <c r="O159" s="736">
        <f t="shared" si="17"/>
        <v>8.3333333333333329E-2</v>
      </c>
      <c r="P159" s="737">
        <f t="shared" si="18"/>
        <v>1.7308524448290783E-3</v>
      </c>
    </row>
    <row r="160" spans="1:16" s="738" customFormat="1">
      <c r="A160" s="806" t="s">
        <v>151</v>
      </c>
      <c r="B160" s="732">
        <v>0</v>
      </c>
      <c r="C160" s="678">
        <v>0</v>
      </c>
      <c r="D160" s="733">
        <v>0</v>
      </c>
      <c r="E160" s="733">
        <v>0</v>
      </c>
      <c r="F160" s="733">
        <v>0</v>
      </c>
      <c r="G160" s="734">
        <v>0</v>
      </c>
      <c r="H160" s="734">
        <v>0</v>
      </c>
      <c r="I160" s="734">
        <v>0</v>
      </c>
      <c r="J160" s="733">
        <v>0</v>
      </c>
      <c r="K160" s="678">
        <v>0</v>
      </c>
      <c r="L160" s="678">
        <v>0</v>
      </c>
      <c r="M160" s="678">
        <v>0</v>
      </c>
      <c r="N160" s="735">
        <f t="shared" si="16"/>
        <v>0</v>
      </c>
      <c r="O160" s="736">
        <f t="shared" si="17"/>
        <v>0</v>
      </c>
      <c r="P160" s="737">
        <f t="shared" si="18"/>
        <v>0</v>
      </c>
    </row>
    <row r="161" spans="1:16" s="738" customFormat="1">
      <c r="A161" s="806" t="s">
        <v>152</v>
      </c>
      <c r="B161" s="732">
        <v>8</v>
      </c>
      <c r="C161" s="678">
        <v>6</v>
      </c>
      <c r="D161" s="733">
        <v>9</v>
      </c>
      <c r="E161" s="733">
        <v>9</v>
      </c>
      <c r="F161" s="733">
        <v>40</v>
      </c>
      <c r="G161" s="734">
        <v>16</v>
      </c>
      <c r="H161" s="734">
        <v>17</v>
      </c>
      <c r="I161" s="734">
        <v>46</v>
      </c>
      <c r="J161" s="733">
        <v>42</v>
      </c>
      <c r="K161" s="678">
        <v>46</v>
      </c>
      <c r="L161" s="678">
        <v>11</v>
      </c>
      <c r="M161" s="678">
        <v>6</v>
      </c>
      <c r="N161" s="735">
        <f t="shared" si="16"/>
        <v>256</v>
      </c>
      <c r="O161" s="736">
        <f t="shared" si="17"/>
        <v>21.333333333333332</v>
      </c>
      <c r="P161" s="737">
        <f t="shared" si="18"/>
        <v>0.44309822587624403</v>
      </c>
    </row>
    <row r="162" spans="1:16" s="738" customFormat="1">
      <c r="A162" s="806" t="s">
        <v>153</v>
      </c>
      <c r="B162" s="732">
        <v>173</v>
      </c>
      <c r="C162" s="678">
        <v>210</v>
      </c>
      <c r="D162" s="733">
        <v>216</v>
      </c>
      <c r="E162" s="733">
        <v>200</v>
      </c>
      <c r="F162" s="733">
        <v>207</v>
      </c>
      <c r="G162" s="734">
        <v>204</v>
      </c>
      <c r="H162" s="734">
        <v>171</v>
      </c>
      <c r="I162" s="734">
        <v>196</v>
      </c>
      <c r="J162" s="733">
        <v>160</v>
      </c>
      <c r="K162" s="678">
        <v>215</v>
      </c>
      <c r="L162" s="678">
        <v>193</v>
      </c>
      <c r="M162" s="678">
        <v>239</v>
      </c>
      <c r="N162" s="735">
        <f t="shared" si="16"/>
        <v>2384</v>
      </c>
      <c r="O162" s="736">
        <f t="shared" si="17"/>
        <v>198.66666666666666</v>
      </c>
      <c r="P162" s="737">
        <f t="shared" si="18"/>
        <v>4.1263522284725225</v>
      </c>
    </row>
    <row r="163" spans="1:16" s="738" customFormat="1">
      <c r="A163" s="806" t="s">
        <v>154</v>
      </c>
      <c r="B163" s="732">
        <v>122</v>
      </c>
      <c r="C163" s="678">
        <v>83</v>
      </c>
      <c r="D163" s="733">
        <v>58</v>
      </c>
      <c r="E163" s="733">
        <v>56</v>
      </c>
      <c r="F163" s="733">
        <v>58</v>
      </c>
      <c r="G163" s="734">
        <v>54</v>
      </c>
      <c r="H163" s="734">
        <v>68</v>
      </c>
      <c r="I163" s="734">
        <v>81</v>
      </c>
      <c r="J163" s="733">
        <v>61</v>
      </c>
      <c r="K163" s="678">
        <v>87</v>
      </c>
      <c r="L163" s="678">
        <v>79</v>
      </c>
      <c r="M163" s="678">
        <v>67</v>
      </c>
      <c r="N163" s="735">
        <f t="shared" si="16"/>
        <v>874</v>
      </c>
      <c r="O163" s="736">
        <f t="shared" si="17"/>
        <v>72.833333333333329</v>
      </c>
      <c r="P163" s="737">
        <f t="shared" si="18"/>
        <v>1.5127650367806145</v>
      </c>
    </row>
    <row r="164" spans="1:16" s="738" customFormat="1">
      <c r="A164" s="805" t="s">
        <v>155</v>
      </c>
      <c r="B164" s="732">
        <v>41</v>
      </c>
      <c r="C164" s="678">
        <v>41</v>
      </c>
      <c r="D164" s="733">
        <v>54</v>
      </c>
      <c r="E164" s="733">
        <v>46</v>
      </c>
      <c r="F164" s="733">
        <v>39</v>
      </c>
      <c r="G164" s="734">
        <v>39</v>
      </c>
      <c r="H164" s="734">
        <v>15</v>
      </c>
      <c r="I164" s="734">
        <v>29</v>
      </c>
      <c r="J164" s="733">
        <v>12</v>
      </c>
      <c r="K164" s="678">
        <v>14</v>
      </c>
      <c r="L164" s="678">
        <v>25</v>
      </c>
      <c r="M164" s="678">
        <v>25</v>
      </c>
      <c r="N164" s="735">
        <f t="shared" si="16"/>
        <v>380</v>
      </c>
      <c r="O164" s="736">
        <f t="shared" si="17"/>
        <v>31.666666666666668</v>
      </c>
      <c r="P164" s="737">
        <f t="shared" si="18"/>
        <v>0.65772392903504973</v>
      </c>
    </row>
    <row r="165" spans="1:16" s="738" customFormat="1">
      <c r="A165" s="806" t="s">
        <v>156</v>
      </c>
      <c r="B165" s="732">
        <v>10</v>
      </c>
      <c r="C165" s="678">
        <v>16</v>
      </c>
      <c r="D165" s="733">
        <v>13</v>
      </c>
      <c r="E165" s="733">
        <v>6</v>
      </c>
      <c r="F165" s="733">
        <v>11</v>
      </c>
      <c r="G165" s="734">
        <v>13</v>
      </c>
      <c r="H165" s="734">
        <v>19</v>
      </c>
      <c r="I165" s="734">
        <v>18</v>
      </c>
      <c r="J165" s="733">
        <v>6</v>
      </c>
      <c r="K165" s="678">
        <v>11</v>
      </c>
      <c r="L165" s="678">
        <v>11</v>
      </c>
      <c r="M165" s="678">
        <v>11</v>
      </c>
      <c r="N165" s="735">
        <f t="shared" si="16"/>
        <v>145</v>
      </c>
      <c r="O165" s="736">
        <f t="shared" si="17"/>
        <v>12.083333333333334</v>
      </c>
      <c r="P165" s="737">
        <f t="shared" si="18"/>
        <v>0.25097360450021639</v>
      </c>
    </row>
    <row r="166" spans="1:16" s="738" customFormat="1">
      <c r="A166" s="806" t="s">
        <v>157</v>
      </c>
      <c r="B166" s="732">
        <v>20</v>
      </c>
      <c r="C166" s="678">
        <v>20</v>
      </c>
      <c r="D166" s="733">
        <v>16</v>
      </c>
      <c r="E166" s="733">
        <v>26</v>
      </c>
      <c r="F166" s="733">
        <v>23</v>
      </c>
      <c r="G166" s="734">
        <v>23</v>
      </c>
      <c r="H166" s="734">
        <v>22</v>
      </c>
      <c r="I166" s="734">
        <v>18</v>
      </c>
      <c r="J166" s="733">
        <v>18</v>
      </c>
      <c r="K166" s="678">
        <v>20</v>
      </c>
      <c r="L166" s="678">
        <v>22</v>
      </c>
      <c r="M166" s="678">
        <v>11</v>
      </c>
      <c r="N166" s="735">
        <f t="shared" si="16"/>
        <v>239</v>
      </c>
      <c r="O166" s="736">
        <f t="shared" si="17"/>
        <v>19.916666666666668</v>
      </c>
      <c r="P166" s="737">
        <f t="shared" si="18"/>
        <v>0.41367373431414978</v>
      </c>
    </row>
    <row r="167" spans="1:16" s="738" customFormat="1">
      <c r="A167" s="806" t="s">
        <v>158</v>
      </c>
      <c r="B167" s="732">
        <v>1</v>
      </c>
      <c r="C167" s="678">
        <v>0</v>
      </c>
      <c r="D167" s="733">
        <v>1</v>
      </c>
      <c r="E167" s="733">
        <v>0</v>
      </c>
      <c r="F167" s="733">
        <v>0</v>
      </c>
      <c r="G167" s="734">
        <v>1</v>
      </c>
      <c r="H167" s="734">
        <v>1</v>
      </c>
      <c r="I167" s="734">
        <v>2</v>
      </c>
      <c r="J167" s="733">
        <v>1</v>
      </c>
      <c r="K167" s="678">
        <v>7</v>
      </c>
      <c r="L167" s="678">
        <v>1</v>
      </c>
      <c r="M167" s="678">
        <v>2</v>
      </c>
      <c r="N167" s="735">
        <f t="shared" si="16"/>
        <v>17</v>
      </c>
      <c r="O167" s="736">
        <f t="shared" si="17"/>
        <v>1.4166666666666667</v>
      </c>
      <c r="P167" s="737">
        <f t="shared" si="18"/>
        <v>2.942449156209433E-2</v>
      </c>
    </row>
    <row r="168" spans="1:16" s="738" customFormat="1">
      <c r="A168" s="805" t="s">
        <v>159</v>
      </c>
      <c r="B168" s="732">
        <v>157</v>
      </c>
      <c r="C168" s="678">
        <v>148</v>
      </c>
      <c r="D168" s="733">
        <v>145</v>
      </c>
      <c r="E168" s="733">
        <v>126</v>
      </c>
      <c r="F168" s="733">
        <v>140</v>
      </c>
      <c r="G168" s="734">
        <v>126</v>
      </c>
      <c r="H168" s="734">
        <v>137</v>
      </c>
      <c r="I168" s="734">
        <v>132</v>
      </c>
      <c r="J168" s="733">
        <v>91</v>
      </c>
      <c r="K168" s="678">
        <v>86</v>
      </c>
      <c r="L168" s="678">
        <v>98</v>
      </c>
      <c r="M168" s="678">
        <v>138</v>
      </c>
      <c r="N168" s="735">
        <f t="shared" si="16"/>
        <v>1524</v>
      </c>
      <c r="O168" s="736">
        <f t="shared" si="17"/>
        <v>127</v>
      </c>
      <c r="P168" s="737">
        <f t="shared" si="18"/>
        <v>2.6378191259195152</v>
      </c>
    </row>
    <row r="169" spans="1:16" s="738" customFormat="1">
      <c r="A169" s="806" t="s">
        <v>457</v>
      </c>
      <c r="B169" s="732">
        <v>1</v>
      </c>
      <c r="C169" s="678">
        <v>0</v>
      </c>
      <c r="D169" s="733">
        <v>0</v>
      </c>
      <c r="E169" s="733">
        <v>0</v>
      </c>
      <c r="F169" s="733">
        <v>0</v>
      </c>
      <c r="G169" s="734">
        <v>0</v>
      </c>
      <c r="H169" s="734">
        <v>0</v>
      </c>
      <c r="I169" s="734">
        <v>0</v>
      </c>
      <c r="J169" s="733">
        <v>0</v>
      </c>
      <c r="K169" s="678">
        <v>0</v>
      </c>
      <c r="L169" s="678">
        <v>0</v>
      </c>
      <c r="M169" s="678">
        <v>1</v>
      </c>
      <c r="N169" s="735">
        <f t="shared" si="16"/>
        <v>2</v>
      </c>
      <c r="O169" s="736">
        <f t="shared" si="17"/>
        <v>0.16666666666666666</v>
      </c>
      <c r="P169" s="737">
        <f t="shared" si="18"/>
        <v>3.4617048896581565E-3</v>
      </c>
    </row>
    <row r="170" spans="1:16" s="738" customFormat="1">
      <c r="A170" s="806" t="s">
        <v>160</v>
      </c>
      <c r="B170" s="732">
        <v>0</v>
      </c>
      <c r="C170" s="678">
        <v>0</v>
      </c>
      <c r="D170" s="733">
        <v>0</v>
      </c>
      <c r="E170" s="733">
        <v>0</v>
      </c>
      <c r="F170" s="733">
        <v>0</v>
      </c>
      <c r="G170" s="734">
        <v>0</v>
      </c>
      <c r="H170" s="734">
        <v>0</v>
      </c>
      <c r="I170" s="734">
        <v>0</v>
      </c>
      <c r="J170" s="733">
        <v>0</v>
      </c>
      <c r="K170" s="678">
        <v>0</v>
      </c>
      <c r="L170" s="678">
        <v>0</v>
      </c>
      <c r="M170" s="678">
        <v>0</v>
      </c>
      <c r="N170" s="735">
        <f t="shared" si="16"/>
        <v>0</v>
      </c>
      <c r="O170" s="736">
        <f t="shared" si="17"/>
        <v>0</v>
      </c>
      <c r="P170" s="737">
        <f t="shared" si="18"/>
        <v>0</v>
      </c>
    </row>
    <row r="171" spans="1:16" s="738" customFormat="1">
      <c r="A171" s="805" t="s">
        <v>161</v>
      </c>
      <c r="B171" s="732">
        <v>14</v>
      </c>
      <c r="C171" s="678">
        <v>22</v>
      </c>
      <c r="D171" s="733">
        <v>16</v>
      </c>
      <c r="E171" s="733">
        <v>20</v>
      </c>
      <c r="F171" s="733">
        <v>16</v>
      </c>
      <c r="G171" s="734">
        <v>9</v>
      </c>
      <c r="H171" s="734">
        <v>1</v>
      </c>
      <c r="I171" s="734">
        <v>1</v>
      </c>
      <c r="J171" s="733">
        <v>4</v>
      </c>
      <c r="K171" s="678">
        <v>1</v>
      </c>
      <c r="L171" s="678">
        <v>0</v>
      </c>
      <c r="M171" s="678">
        <v>0</v>
      </c>
      <c r="N171" s="735">
        <f t="shared" si="16"/>
        <v>104</v>
      </c>
      <c r="O171" s="736">
        <f t="shared" si="17"/>
        <v>8.6666666666666661</v>
      </c>
      <c r="P171" s="737">
        <f t="shared" si="18"/>
        <v>0.18000865426222415</v>
      </c>
    </row>
    <row r="172" spans="1:16" s="738" customFormat="1">
      <c r="A172" s="805" t="s">
        <v>162</v>
      </c>
      <c r="B172" s="732">
        <v>0</v>
      </c>
      <c r="C172" s="678">
        <v>0</v>
      </c>
      <c r="D172" s="733">
        <v>0</v>
      </c>
      <c r="E172" s="733">
        <v>1</v>
      </c>
      <c r="F172" s="733">
        <v>1</v>
      </c>
      <c r="G172" s="734">
        <v>0</v>
      </c>
      <c r="H172" s="734">
        <v>0</v>
      </c>
      <c r="I172" s="734">
        <v>3</v>
      </c>
      <c r="J172" s="733">
        <v>2</v>
      </c>
      <c r="K172" s="678">
        <v>2</v>
      </c>
      <c r="L172" s="678">
        <v>0</v>
      </c>
      <c r="M172" s="678">
        <v>0</v>
      </c>
      <c r="N172" s="735">
        <f t="shared" si="16"/>
        <v>9</v>
      </c>
      <c r="O172" s="736">
        <f t="shared" si="17"/>
        <v>0.75</v>
      </c>
      <c r="P172" s="737">
        <f t="shared" si="18"/>
        <v>1.5577672003461704E-2</v>
      </c>
    </row>
    <row r="173" spans="1:16" s="738" customFormat="1">
      <c r="A173" s="805" t="s">
        <v>163</v>
      </c>
      <c r="B173" s="732">
        <v>3</v>
      </c>
      <c r="C173" s="678">
        <v>3</v>
      </c>
      <c r="D173" s="733">
        <v>4</v>
      </c>
      <c r="E173" s="733">
        <v>0</v>
      </c>
      <c r="F173" s="733">
        <v>1</v>
      </c>
      <c r="G173" s="734">
        <v>2</v>
      </c>
      <c r="H173" s="734">
        <v>5</v>
      </c>
      <c r="I173" s="734">
        <v>0</v>
      </c>
      <c r="J173" s="733">
        <v>0</v>
      </c>
      <c r="K173" s="678">
        <v>0</v>
      </c>
      <c r="L173" s="678">
        <v>0</v>
      </c>
      <c r="M173" s="678">
        <v>0</v>
      </c>
      <c r="N173" s="735">
        <f t="shared" si="16"/>
        <v>18</v>
      </c>
      <c r="O173" s="736">
        <f t="shared" si="17"/>
        <v>1.5</v>
      </c>
      <c r="P173" s="737">
        <f t="shared" si="18"/>
        <v>3.1155344006923408E-2</v>
      </c>
    </row>
    <row r="174" spans="1:16" s="738" customFormat="1" ht="14.25" customHeight="1">
      <c r="A174" s="806" t="s">
        <v>164</v>
      </c>
      <c r="B174" s="732">
        <v>3</v>
      </c>
      <c r="C174" s="678">
        <v>9</v>
      </c>
      <c r="D174" s="733">
        <v>9</v>
      </c>
      <c r="E174" s="733">
        <v>4</v>
      </c>
      <c r="F174" s="733">
        <v>5</v>
      </c>
      <c r="G174" s="734">
        <v>2</v>
      </c>
      <c r="H174" s="734">
        <v>1</v>
      </c>
      <c r="I174" s="734">
        <v>1</v>
      </c>
      <c r="J174" s="733">
        <v>0</v>
      </c>
      <c r="K174" s="678">
        <v>2</v>
      </c>
      <c r="L174" s="678">
        <v>3</v>
      </c>
      <c r="M174" s="678">
        <v>3</v>
      </c>
      <c r="N174" s="735">
        <f t="shared" si="16"/>
        <v>42</v>
      </c>
      <c r="O174" s="736">
        <f t="shared" si="17"/>
        <v>3.5</v>
      </c>
      <c r="P174" s="737">
        <f t="shared" si="18"/>
        <v>7.2695802682821289E-2</v>
      </c>
    </row>
    <row r="175" spans="1:16" s="738" customFormat="1">
      <c r="A175" s="806" t="s">
        <v>165</v>
      </c>
      <c r="B175" s="732">
        <v>0</v>
      </c>
      <c r="C175" s="678">
        <v>0</v>
      </c>
      <c r="D175" s="733">
        <v>0</v>
      </c>
      <c r="E175" s="733">
        <v>0</v>
      </c>
      <c r="F175" s="733">
        <v>0</v>
      </c>
      <c r="G175" s="734">
        <v>0</v>
      </c>
      <c r="H175" s="734">
        <v>0</v>
      </c>
      <c r="I175" s="734">
        <v>0</v>
      </c>
      <c r="J175" s="733">
        <v>0</v>
      </c>
      <c r="K175" s="678">
        <v>0</v>
      </c>
      <c r="L175" s="678">
        <v>0</v>
      </c>
      <c r="M175" s="678">
        <v>0</v>
      </c>
      <c r="N175" s="735">
        <f t="shared" si="16"/>
        <v>0</v>
      </c>
      <c r="O175" s="736">
        <f t="shared" si="17"/>
        <v>0</v>
      </c>
      <c r="P175" s="737">
        <f t="shared" si="18"/>
        <v>0</v>
      </c>
    </row>
    <row r="176" spans="1:16" s="738" customFormat="1">
      <c r="A176" s="806" t="s">
        <v>166</v>
      </c>
      <c r="B176" s="732">
        <v>0</v>
      </c>
      <c r="C176" s="678">
        <v>0</v>
      </c>
      <c r="D176" s="733">
        <v>0</v>
      </c>
      <c r="E176" s="733">
        <v>1</v>
      </c>
      <c r="F176" s="733">
        <v>0</v>
      </c>
      <c r="G176" s="734">
        <v>0</v>
      </c>
      <c r="H176" s="734">
        <v>0</v>
      </c>
      <c r="I176" s="734">
        <v>0</v>
      </c>
      <c r="J176" s="733">
        <v>0</v>
      </c>
      <c r="K176" s="678">
        <v>0</v>
      </c>
      <c r="L176" s="678">
        <v>1</v>
      </c>
      <c r="M176" s="678">
        <v>0</v>
      </c>
      <c r="N176" s="735">
        <f t="shared" si="16"/>
        <v>2</v>
      </c>
      <c r="O176" s="736">
        <f t="shared" si="17"/>
        <v>0.16666666666666666</v>
      </c>
      <c r="P176" s="737">
        <f t="shared" si="18"/>
        <v>3.4617048896581565E-3</v>
      </c>
    </row>
    <row r="177" spans="1:16" s="738" customFormat="1">
      <c r="A177" s="806" t="s">
        <v>167</v>
      </c>
      <c r="B177" s="732">
        <v>12</v>
      </c>
      <c r="C177" s="678">
        <v>11</v>
      </c>
      <c r="D177" s="733">
        <v>5</v>
      </c>
      <c r="E177" s="733">
        <v>12</v>
      </c>
      <c r="F177" s="733">
        <v>11</v>
      </c>
      <c r="G177" s="734">
        <v>5</v>
      </c>
      <c r="H177" s="734">
        <v>2</v>
      </c>
      <c r="I177" s="734">
        <v>4</v>
      </c>
      <c r="J177" s="733">
        <v>3</v>
      </c>
      <c r="K177" s="678">
        <v>2</v>
      </c>
      <c r="L177" s="678">
        <v>6</v>
      </c>
      <c r="M177" s="678">
        <v>2</v>
      </c>
      <c r="N177" s="735">
        <f t="shared" si="16"/>
        <v>75</v>
      </c>
      <c r="O177" s="736">
        <f t="shared" si="17"/>
        <v>6.25</v>
      </c>
      <c r="P177" s="737">
        <f t="shared" si="18"/>
        <v>0.12981393336218089</v>
      </c>
    </row>
    <row r="178" spans="1:16" s="738" customFormat="1">
      <c r="A178" s="805" t="s">
        <v>168</v>
      </c>
      <c r="B178" s="732">
        <v>175</v>
      </c>
      <c r="C178" s="678">
        <v>245</v>
      </c>
      <c r="D178" s="733">
        <v>383</v>
      </c>
      <c r="E178" s="733">
        <v>339</v>
      </c>
      <c r="F178" s="733">
        <v>351</v>
      </c>
      <c r="G178" s="734">
        <v>291</v>
      </c>
      <c r="H178" s="734">
        <v>320</v>
      </c>
      <c r="I178" s="734">
        <v>333</v>
      </c>
      <c r="J178" s="733">
        <v>253</v>
      </c>
      <c r="K178" s="678">
        <v>347</v>
      </c>
      <c r="L178" s="678">
        <v>325</v>
      </c>
      <c r="M178" s="678">
        <v>337</v>
      </c>
      <c r="N178" s="735">
        <f t="shared" si="16"/>
        <v>3699</v>
      </c>
      <c r="O178" s="736">
        <f t="shared" si="17"/>
        <v>308.25</v>
      </c>
      <c r="P178" s="737">
        <f t="shared" si="18"/>
        <v>6.4024231934227611</v>
      </c>
    </row>
    <row r="179" spans="1:16" s="738" customFormat="1">
      <c r="A179" s="805" t="s">
        <v>485</v>
      </c>
      <c r="B179" s="732">
        <v>0</v>
      </c>
      <c r="C179" s="678">
        <v>2</v>
      </c>
      <c r="D179" s="733">
        <v>0</v>
      </c>
      <c r="E179" s="733">
        <v>0</v>
      </c>
      <c r="F179" s="733">
        <v>0</v>
      </c>
      <c r="G179" s="734">
        <v>0</v>
      </c>
      <c r="H179" s="734">
        <v>0</v>
      </c>
      <c r="I179" s="734">
        <v>0</v>
      </c>
      <c r="J179" s="733">
        <v>0</v>
      </c>
      <c r="K179" s="678">
        <v>0</v>
      </c>
      <c r="L179" s="678">
        <v>0</v>
      </c>
      <c r="M179" s="678">
        <v>0</v>
      </c>
      <c r="N179" s="735">
        <f t="shared" si="16"/>
        <v>2</v>
      </c>
      <c r="O179" s="736">
        <f t="shared" si="17"/>
        <v>0.16666666666666666</v>
      </c>
      <c r="P179" s="737">
        <f t="shared" si="18"/>
        <v>3.4617048896581565E-3</v>
      </c>
    </row>
    <row r="180" spans="1:16" s="738" customFormat="1">
      <c r="A180" s="806" t="s">
        <v>169</v>
      </c>
      <c r="B180" s="732">
        <v>0</v>
      </c>
      <c r="C180" s="678">
        <v>0</v>
      </c>
      <c r="D180" s="733">
        <v>0</v>
      </c>
      <c r="E180" s="733">
        <v>0</v>
      </c>
      <c r="F180" s="733">
        <v>0</v>
      </c>
      <c r="G180" s="734">
        <v>0</v>
      </c>
      <c r="H180" s="734">
        <v>0</v>
      </c>
      <c r="I180" s="734">
        <v>0</v>
      </c>
      <c r="J180" s="733">
        <v>0</v>
      </c>
      <c r="K180" s="678">
        <v>0</v>
      </c>
      <c r="L180" s="678">
        <v>0</v>
      </c>
      <c r="M180" s="678">
        <v>1</v>
      </c>
      <c r="N180" s="735">
        <f t="shared" si="16"/>
        <v>1</v>
      </c>
      <c r="O180" s="736">
        <f t="shared" si="17"/>
        <v>8.3333333333333329E-2</v>
      </c>
      <c r="P180" s="737">
        <f t="shared" si="18"/>
        <v>1.7308524448290783E-3</v>
      </c>
    </row>
    <row r="181" spans="1:16" s="738" customFormat="1">
      <c r="A181" s="806" t="s">
        <v>170</v>
      </c>
      <c r="B181" s="732">
        <v>0</v>
      </c>
      <c r="C181" s="678">
        <v>0</v>
      </c>
      <c r="D181" s="733">
        <v>0</v>
      </c>
      <c r="E181" s="733">
        <v>0</v>
      </c>
      <c r="F181" s="733">
        <v>0</v>
      </c>
      <c r="G181" s="734">
        <v>0</v>
      </c>
      <c r="H181" s="734">
        <v>1</v>
      </c>
      <c r="I181" s="734">
        <v>0</v>
      </c>
      <c r="J181" s="733">
        <v>0</v>
      </c>
      <c r="K181" s="678">
        <v>0</v>
      </c>
      <c r="L181" s="678">
        <v>0</v>
      </c>
      <c r="M181" s="678">
        <v>0</v>
      </c>
      <c r="N181" s="735">
        <f t="shared" ref="N181:N215" si="19">SUM(B181:M181)</f>
        <v>1</v>
      </c>
      <c r="O181" s="736">
        <f t="shared" ref="O181:O219" si="20">AVERAGE(B181:M181)</f>
        <v>8.3333333333333329E-2</v>
      </c>
      <c r="P181" s="737">
        <f t="shared" si="18"/>
        <v>1.7308524448290783E-3</v>
      </c>
    </row>
    <row r="182" spans="1:16" s="738" customFormat="1">
      <c r="A182" s="805" t="s">
        <v>456</v>
      </c>
      <c r="B182" s="732">
        <v>0</v>
      </c>
      <c r="C182" s="678">
        <v>0</v>
      </c>
      <c r="D182" s="733">
        <v>1</v>
      </c>
      <c r="E182" s="733">
        <v>1</v>
      </c>
      <c r="F182" s="733">
        <v>1</v>
      </c>
      <c r="G182" s="734">
        <v>0</v>
      </c>
      <c r="H182" s="734">
        <v>1</v>
      </c>
      <c r="I182" s="734">
        <v>2</v>
      </c>
      <c r="J182" s="733">
        <v>2</v>
      </c>
      <c r="K182" s="678">
        <v>7</v>
      </c>
      <c r="L182" s="678">
        <v>6</v>
      </c>
      <c r="M182" s="678">
        <v>0</v>
      </c>
      <c r="N182" s="735">
        <f t="shared" si="19"/>
        <v>21</v>
      </c>
      <c r="O182" s="736">
        <f t="shared" si="20"/>
        <v>1.75</v>
      </c>
      <c r="P182" s="737">
        <f t="shared" si="18"/>
        <v>3.6347901341410645E-2</v>
      </c>
    </row>
    <row r="183" spans="1:16" s="738" customFormat="1">
      <c r="A183" s="806" t="s">
        <v>171</v>
      </c>
      <c r="B183" s="732">
        <v>2</v>
      </c>
      <c r="C183" s="678">
        <v>8</v>
      </c>
      <c r="D183" s="733">
        <v>6</v>
      </c>
      <c r="E183" s="733">
        <v>4</v>
      </c>
      <c r="F183" s="733">
        <v>4</v>
      </c>
      <c r="G183" s="734">
        <v>4</v>
      </c>
      <c r="H183" s="734">
        <v>3</v>
      </c>
      <c r="I183" s="734">
        <v>7</v>
      </c>
      <c r="J183" s="733">
        <v>2</v>
      </c>
      <c r="K183" s="678">
        <v>4</v>
      </c>
      <c r="L183" s="678">
        <v>1</v>
      </c>
      <c r="M183" s="678">
        <v>7</v>
      </c>
      <c r="N183" s="735">
        <f t="shared" si="19"/>
        <v>52</v>
      </c>
      <c r="O183" s="736">
        <f t="shared" si="20"/>
        <v>4.333333333333333</v>
      </c>
      <c r="P183" s="737">
        <f t="shared" si="18"/>
        <v>9.0004327131112075E-2</v>
      </c>
    </row>
    <row r="184" spans="1:16" s="738" customFormat="1">
      <c r="A184" s="805" t="s">
        <v>172</v>
      </c>
      <c r="B184" s="732">
        <v>0</v>
      </c>
      <c r="C184" s="678">
        <v>0</v>
      </c>
      <c r="D184" s="733">
        <v>0</v>
      </c>
      <c r="E184" s="733">
        <v>0</v>
      </c>
      <c r="F184" s="733">
        <v>0</v>
      </c>
      <c r="G184" s="734">
        <v>0</v>
      </c>
      <c r="H184" s="734">
        <v>0</v>
      </c>
      <c r="I184" s="734">
        <v>1</v>
      </c>
      <c r="J184" s="733">
        <v>0</v>
      </c>
      <c r="K184" s="678">
        <v>0</v>
      </c>
      <c r="L184" s="678">
        <v>0</v>
      </c>
      <c r="M184" s="678">
        <v>0</v>
      </c>
      <c r="N184" s="735">
        <f t="shared" si="19"/>
        <v>1</v>
      </c>
      <c r="O184" s="736">
        <f t="shared" si="20"/>
        <v>8.3333333333333329E-2</v>
      </c>
      <c r="P184" s="737">
        <f t="shared" si="18"/>
        <v>1.7308524448290783E-3</v>
      </c>
    </row>
    <row r="185" spans="1:16" s="738" customFormat="1">
      <c r="A185" s="806" t="s">
        <v>173</v>
      </c>
      <c r="B185" s="732">
        <v>16</v>
      </c>
      <c r="C185" s="678">
        <v>23</v>
      </c>
      <c r="D185" s="733">
        <v>17</v>
      </c>
      <c r="E185" s="733">
        <v>8</v>
      </c>
      <c r="F185" s="733">
        <v>15</v>
      </c>
      <c r="G185" s="734">
        <v>2</v>
      </c>
      <c r="H185" s="734">
        <v>10</v>
      </c>
      <c r="I185" s="734">
        <v>5</v>
      </c>
      <c r="J185" s="733">
        <v>2</v>
      </c>
      <c r="K185" s="678">
        <v>15</v>
      </c>
      <c r="L185" s="678">
        <v>6</v>
      </c>
      <c r="M185" s="678">
        <v>7</v>
      </c>
      <c r="N185" s="735">
        <f t="shared" si="19"/>
        <v>126</v>
      </c>
      <c r="O185" s="736">
        <f t="shared" si="20"/>
        <v>10.5</v>
      </c>
      <c r="P185" s="737">
        <f t="shared" si="18"/>
        <v>0.21808740804846385</v>
      </c>
    </row>
    <row r="186" spans="1:16" s="738" customFormat="1">
      <c r="A186" s="806" t="s">
        <v>174</v>
      </c>
      <c r="B186" s="732">
        <v>0</v>
      </c>
      <c r="C186" s="678">
        <v>0</v>
      </c>
      <c r="D186" s="733">
        <v>0</v>
      </c>
      <c r="E186" s="733">
        <v>0</v>
      </c>
      <c r="F186" s="733">
        <v>0</v>
      </c>
      <c r="G186" s="734">
        <v>0</v>
      </c>
      <c r="H186" s="734">
        <v>0</v>
      </c>
      <c r="I186" s="734">
        <v>0</v>
      </c>
      <c r="J186" s="733">
        <v>0</v>
      </c>
      <c r="K186" s="678">
        <v>0</v>
      </c>
      <c r="L186" s="678">
        <v>0</v>
      </c>
      <c r="M186" s="678">
        <v>3</v>
      </c>
      <c r="N186" s="735">
        <f t="shared" si="19"/>
        <v>3</v>
      </c>
      <c r="O186" s="736">
        <f t="shared" si="20"/>
        <v>0.25</v>
      </c>
      <c r="P186" s="737">
        <f t="shared" si="18"/>
        <v>5.1925573344872343E-3</v>
      </c>
    </row>
    <row r="187" spans="1:16" s="738" customFormat="1">
      <c r="A187" s="806" t="s">
        <v>175</v>
      </c>
      <c r="B187" s="732">
        <v>0</v>
      </c>
      <c r="C187" s="678">
        <v>0</v>
      </c>
      <c r="D187" s="733">
        <v>0</v>
      </c>
      <c r="E187" s="733">
        <v>0</v>
      </c>
      <c r="F187" s="733">
        <v>0</v>
      </c>
      <c r="G187" s="734">
        <v>0</v>
      </c>
      <c r="H187" s="734">
        <v>0</v>
      </c>
      <c r="I187" s="734">
        <v>0</v>
      </c>
      <c r="J187" s="733">
        <v>0</v>
      </c>
      <c r="K187" s="678">
        <v>0</v>
      </c>
      <c r="L187" s="678">
        <v>0</v>
      </c>
      <c r="M187" s="678">
        <v>0</v>
      </c>
      <c r="N187" s="735">
        <f t="shared" si="19"/>
        <v>0</v>
      </c>
      <c r="O187" s="736">
        <f t="shared" si="20"/>
        <v>0</v>
      </c>
      <c r="P187" s="737">
        <f t="shared" ref="P187:P193" si="21">(N187/$N$220)*100</f>
        <v>0</v>
      </c>
    </row>
    <row r="188" spans="1:16" s="738" customFormat="1">
      <c r="A188" s="806" t="s">
        <v>176</v>
      </c>
      <c r="B188" s="732">
        <v>14</v>
      </c>
      <c r="C188" s="678">
        <v>8</v>
      </c>
      <c r="D188" s="733">
        <v>22</v>
      </c>
      <c r="E188" s="733">
        <v>15</v>
      </c>
      <c r="F188" s="733">
        <v>13</v>
      </c>
      <c r="G188" s="734">
        <v>80</v>
      </c>
      <c r="H188" s="734">
        <v>14</v>
      </c>
      <c r="I188" s="734">
        <v>19</v>
      </c>
      <c r="J188" s="733">
        <v>19</v>
      </c>
      <c r="K188" s="678">
        <v>23</v>
      </c>
      <c r="L188" s="678">
        <v>22</v>
      </c>
      <c r="M188" s="678">
        <v>9</v>
      </c>
      <c r="N188" s="735">
        <f t="shared" si="19"/>
        <v>258</v>
      </c>
      <c r="O188" s="736">
        <f t="shared" si="20"/>
        <v>21.5</v>
      </c>
      <c r="P188" s="737">
        <f t="shared" si="21"/>
        <v>0.44655993076590222</v>
      </c>
    </row>
    <row r="189" spans="1:16" s="738" customFormat="1">
      <c r="A189" s="806" t="s">
        <v>486</v>
      </c>
      <c r="B189" s="732">
        <v>1</v>
      </c>
      <c r="C189" s="678">
        <v>1</v>
      </c>
      <c r="D189" s="733">
        <v>0</v>
      </c>
      <c r="E189" s="733">
        <v>0</v>
      </c>
      <c r="F189" s="733">
        <v>0</v>
      </c>
      <c r="G189" s="734">
        <v>0</v>
      </c>
      <c r="H189" s="734">
        <v>0</v>
      </c>
      <c r="I189" s="734">
        <v>0</v>
      </c>
      <c r="J189" s="733">
        <v>0</v>
      </c>
      <c r="K189" s="678">
        <v>0</v>
      </c>
      <c r="L189" s="678">
        <v>0</v>
      </c>
      <c r="M189" s="678">
        <v>0</v>
      </c>
      <c r="N189" s="735">
        <f t="shared" si="19"/>
        <v>2</v>
      </c>
      <c r="O189" s="736">
        <f t="shared" si="20"/>
        <v>0.16666666666666666</v>
      </c>
      <c r="P189" s="737">
        <f t="shared" si="21"/>
        <v>3.4617048896581565E-3</v>
      </c>
    </row>
    <row r="190" spans="1:16" s="738" customFormat="1">
      <c r="A190" s="806" t="s">
        <v>177</v>
      </c>
      <c r="B190" s="732">
        <v>13</v>
      </c>
      <c r="C190" s="678">
        <v>12</v>
      </c>
      <c r="D190" s="733">
        <v>16</v>
      </c>
      <c r="E190" s="733">
        <v>19</v>
      </c>
      <c r="F190" s="733">
        <v>21</v>
      </c>
      <c r="G190" s="734">
        <v>18</v>
      </c>
      <c r="H190" s="734">
        <v>19</v>
      </c>
      <c r="I190" s="734">
        <v>13</v>
      </c>
      <c r="J190" s="733">
        <v>6</v>
      </c>
      <c r="K190" s="678">
        <v>4</v>
      </c>
      <c r="L190" s="678">
        <v>8</v>
      </c>
      <c r="M190" s="678">
        <v>5</v>
      </c>
      <c r="N190" s="735">
        <f t="shared" si="19"/>
        <v>154</v>
      </c>
      <c r="O190" s="736">
        <f t="shared" si="20"/>
        <v>12.833333333333334</v>
      </c>
      <c r="P190" s="737">
        <f t="shared" si="21"/>
        <v>0.26655127650367805</v>
      </c>
    </row>
    <row r="191" spans="1:16" s="738" customFormat="1">
      <c r="A191" s="805" t="s">
        <v>178</v>
      </c>
      <c r="B191" s="732">
        <v>2</v>
      </c>
      <c r="C191" s="678">
        <v>3</v>
      </c>
      <c r="D191" s="733">
        <v>9</v>
      </c>
      <c r="E191" s="733">
        <v>2</v>
      </c>
      <c r="F191" s="733">
        <v>1</v>
      </c>
      <c r="G191" s="734">
        <v>4</v>
      </c>
      <c r="H191" s="734">
        <v>2</v>
      </c>
      <c r="I191" s="734">
        <v>1</v>
      </c>
      <c r="J191" s="733">
        <v>3</v>
      </c>
      <c r="K191" s="678">
        <v>4</v>
      </c>
      <c r="L191" s="678">
        <v>0</v>
      </c>
      <c r="M191" s="678">
        <v>2</v>
      </c>
      <c r="N191" s="735">
        <f t="shared" si="19"/>
        <v>33</v>
      </c>
      <c r="O191" s="736">
        <f t="shared" si="20"/>
        <v>2.75</v>
      </c>
      <c r="P191" s="737">
        <f t="shared" si="21"/>
        <v>5.7118130679359586E-2</v>
      </c>
    </row>
    <row r="192" spans="1:16" s="738" customFormat="1">
      <c r="A192" s="805" t="s">
        <v>487</v>
      </c>
      <c r="B192" s="732">
        <v>1</v>
      </c>
      <c r="C192" s="678">
        <v>2</v>
      </c>
      <c r="D192" s="733">
        <v>0</v>
      </c>
      <c r="E192" s="733">
        <v>0</v>
      </c>
      <c r="F192" s="733">
        <v>0</v>
      </c>
      <c r="G192" s="734">
        <v>0</v>
      </c>
      <c r="H192" s="734">
        <v>0</v>
      </c>
      <c r="I192" s="734">
        <v>0</v>
      </c>
      <c r="J192" s="733">
        <v>0</v>
      </c>
      <c r="K192" s="678">
        <v>0</v>
      </c>
      <c r="L192" s="678">
        <v>0</v>
      </c>
      <c r="M192" s="678">
        <v>0</v>
      </c>
      <c r="N192" s="735">
        <f t="shared" si="19"/>
        <v>3</v>
      </c>
      <c r="O192" s="736">
        <f t="shared" si="20"/>
        <v>0.25</v>
      </c>
      <c r="P192" s="737">
        <f t="shared" si="21"/>
        <v>5.1925573344872343E-3</v>
      </c>
    </row>
    <row r="193" spans="1:16" s="738" customFormat="1">
      <c r="A193" s="805" t="s">
        <v>493</v>
      </c>
      <c r="B193" s="732">
        <v>1</v>
      </c>
      <c r="C193" s="678">
        <v>0</v>
      </c>
      <c r="D193" s="733">
        <v>0</v>
      </c>
      <c r="E193" s="733">
        <v>0</v>
      </c>
      <c r="F193" s="733">
        <v>0</v>
      </c>
      <c r="G193" s="734">
        <v>0</v>
      </c>
      <c r="H193" s="734">
        <v>0</v>
      </c>
      <c r="I193" s="734">
        <v>0</v>
      </c>
      <c r="J193" s="733">
        <v>0</v>
      </c>
      <c r="K193" s="678">
        <v>0</v>
      </c>
      <c r="L193" s="678">
        <v>0</v>
      </c>
      <c r="M193" s="678">
        <v>0</v>
      </c>
      <c r="N193" s="735">
        <f t="shared" si="19"/>
        <v>1</v>
      </c>
      <c r="O193" s="736">
        <f t="shared" si="20"/>
        <v>8.3333333333333329E-2</v>
      </c>
      <c r="P193" s="737">
        <f t="shared" si="21"/>
        <v>1.7308524448290783E-3</v>
      </c>
    </row>
    <row r="194" spans="1:16" s="738" customFormat="1">
      <c r="A194" s="805" t="s">
        <v>442</v>
      </c>
      <c r="B194" s="732">
        <v>4</v>
      </c>
      <c r="C194" s="678">
        <v>2</v>
      </c>
      <c r="D194" s="733">
        <v>13</v>
      </c>
      <c r="E194" s="733">
        <v>4</v>
      </c>
      <c r="F194" s="733">
        <v>4</v>
      </c>
      <c r="G194" s="734">
        <v>0</v>
      </c>
      <c r="H194" s="734">
        <v>0</v>
      </c>
      <c r="I194" s="734">
        <v>0</v>
      </c>
      <c r="J194" s="733">
        <v>0</v>
      </c>
      <c r="K194" s="678">
        <v>0</v>
      </c>
      <c r="L194" s="678">
        <v>0</v>
      </c>
      <c r="M194" s="678">
        <v>0</v>
      </c>
      <c r="N194" s="735">
        <f t="shared" si="19"/>
        <v>27</v>
      </c>
      <c r="O194" s="736">
        <f t="shared" si="20"/>
        <v>2.25</v>
      </c>
      <c r="P194" s="737">
        <f t="shared" ref="P194:P209" si="22">(N194/$N$220)*100</f>
        <v>4.6733016010385112E-2</v>
      </c>
    </row>
    <row r="195" spans="1:16" s="738" customFormat="1">
      <c r="A195" s="806" t="s">
        <v>179</v>
      </c>
      <c r="B195" s="732">
        <v>0</v>
      </c>
      <c r="C195" s="678">
        <v>1</v>
      </c>
      <c r="D195" s="733">
        <v>0</v>
      </c>
      <c r="E195" s="733">
        <v>0</v>
      </c>
      <c r="F195" s="733">
        <v>0</v>
      </c>
      <c r="G195" s="734">
        <v>1</v>
      </c>
      <c r="H195" s="734">
        <v>1</v>
      </c>
      <c r="I195" s="734">
        <v>0</v>
      </c>
      <c r="J195" s="733">
        <v>3</v>
      </c>
      <c r="K195" s="678">
        <v>1</v>
      </c>
      <c r="L195" s="678">
        <v>1</v>
      </c>
      <c r="M195" s="678">
        <v>1</v>
      </c>
      <c r="N195" s="735">
        <f t="shared" si="19"/>
        <v>9</v>
      </c>
      <c r="O195" s="736">
        <f t="shared" si="20"/>
        <v>0.75</v>
      </c>
      <c r="P195" s="737">
        <f t="shared" si="22"/>
        <v>1.5577672003461704E-2</v>
      </c>
    </row>
    <row r="196" spans="1:16" s="738" customFormat="1">
      <c r="A196" s="806" t="s">
        <v>181</v>
      </c>
      <c r="B196" s="732">
        <v>0</v>
      </c>
      <c r="C196" s="678">
        <v>2</v>
      </c>
      <c r="D196" s="733">
        <v>7</v>
      </c>
      <c r="E196" s="733">
        <v>2</v>
      </c>
      <c r="F196" s="733">
        <v>8</v>
      </c>
      <c r="G196" s="734">
        <v>2</v>
      </c>
      <c r="H196" s="734">
        <v>2</v>
      </c>
      <c r="I196" s="734">
        <v>5</v>
      </c>
      <c r="J196" s="733">
        <v>2</v>
      </c>
      <c r="K196" s="678">
        <v>2</v>
      </c>
      <c r="L196" s="678">
        <v>6</v>
      </c>
      <c r="M196" s="678">
        <v>3</v>
      </c>
      <c r="N196" s="735">
        <f t="shared" si="19"/>
        <v>41</v>
      </c>
      <c r="O196" s="736">
        <f t="shared" si="20"/>
        <v>3.4166666666666665</v>
      </c>
      <c r="P196" s="737">
        <f t="shared" si="22"/>
        <v>7.0964950237992208E-2</v>
      </c>
    </row>
    <row r="197" spans="1:16" s="738" customFormat="1">
      <c r="A197" s="806" t="s">
        <v>180</v>
      </c>
      <c r="B197" s="732">
        <v>0</v>
      </c>
      <c r="C197" s="678">
        <v>0</v>
      </c>
      <c r="D197" s="733">
        <v>0</v>
      </c>
      <c r="E197" s="733">
        <v>0</v>
      </c>
      <c r="F197" s="733">
        <v>0</v>
      </c>
      <c r="G197" s="734">
        <v>0</v>
      </c>
      <c r="H197" s="734">
        <v>0</v>
      </c>
      <c r="I197" s="734">
        <v>0</v>
      </c>
      <c r="J197" s="733">
        <v>0</v>
      </c>
      <c r="K197" s="678">
        <v>0</v>
      </c>
      <c r="L197" s="678">
        <v>0</v>
      </c>
      <c r="M197" s="678">
        <v>0</v>
      </c>
      <c r="N197" s="735">
        <f t="shared" si="19"/>
        <v>0</v>
      </c>
      <c r="O197" s="736">
        <f t="shared" si="20"/>
        <v>0</v>
      </c>
      <c r="P197" s="737">
        <f t="shared" si="22"/>
        <v>0</v>
      </c>
    </row>
    <row r="198" spans="1:16" s="738" customFormat="1">
      <c r="A198" s="806" t="s">
        <v>182</v>
      </c>
      <c r="B198" s="732">
        <v>2</v>
      </c>
      <c r="C198" s="678">
        <v>2</v>
      </c>
      <c r="D198" s="733">
        <v>4</v>
      </c>
      <c r="E198" s="733">
        <v>8</v>
      </c>
      <c r="F198" s="733">
        <v>6</v>
      </c>
      <c r="G198" s="734">
        <v>5</v>
      </c>
      <c r="H198" s="734">
        <v>5</v>
      </c>
      <c r="I198" s="734">
        <v>14</v>
      </c>
      <c r="J198" s="733">
        <v>5</v>
      </c>
      <c r="K198" s="678">
        <v>16</v>
      </c>
      <c r="L198" s="678">
        <v>18</v>
      </c>
      <c r="M198" s="678">
        <v>6</v>
      </c>
      <c r="N198" s="735">
        <f t="shared" si="19"/>
        <v>91</v>
      </c>
      <c r="O198" s="736">
        <f t="shared" si="20"/>
        <v>7.583333333333333</v>
      </c>
      <c r="P198" s="737">
        <f t="shared" si="22"/>
        <v>0.15750757247944613</v>
      </c>
    </row>
    <row r="199" spans="1:16" s="738" customFormat="1">
      <c r="A199" s="806" t="s">
        <v>183</v>
      </c>
      <c r="B199" s="732">
        <v>3</v>
      </c>
      <c r="C199" s="678">
        <v>2</v>
      </c>
      <c r="D199" s="733">
        <v>3</v>
      </c>
      <c r="E199" s="733">
        <v>0</v>
      </c>
      <c r="F199" s="733">
        <v>0</v>
      </c>
      <c r="G199" s="734">
        <v>0</v>
      </c>
      <c r="H199" s="734">
        <v>0</v>
      </c>
      <c r="I199" s="734">
        <v>0</v>
      </c>
      <c r="J199" s="733">
        <v>0</v>
      </c>
      <c r="K199" s="678">
        <v>0</v>
      </c>
      <c r="L199" s="678">
        <v>1</v>
      </c>
      <c r="M199" s="678">
        <v>0</v>
      </c>
      <c r="N199" s="735">
        <f t="shared" si="19"/>
        <v>9</v>
      </c>
      <c r="O199" s="736">
        <f t="shared" si="20"/>
        <v>0.75</v>
      </c>
      <c r="P199" s="737">
        <f t="shared" si="22"/>
        <v>1.5577672003461704E-2</v>
      </c>
    </row>
    <row r="200" spans="1:16" s="738" customFormat="1">
      <c r="A200" s="806" t="s">
        <v>184</v>
      </c>
      <c r="B200" s="732">
        <v>135</v>
      </c>
      <c r="C200" s="678">
        <v>130</v>
      </c>
      <c r="D200" s="733">
        <v>140</v>
      </c>
      <c r="E200" s="733">
        <v>137</v>
      </c>
      <c r="F200" s="733">
        <v>176</v>
      </c>
      <c r="G200" s="734">
        <v>139</v>
      </c>
      <c r="H200" s="734">
        <v>137</v>
      </c>
      <c r="I200" s="734">
        <v>158</v>
      </c>
      <c r="J200" s="733">
        <v>128</v>
      </c>
      <c r="K200" s="678">
        <v>164</v>
      </c>
      <c r="L200" s="678">
        <v>149</v>
      </c>
      <c r="M200" s="678">
        <v>129</v>
      </c>
      <c r="N200" s="735">
        <f t="shared" si="19"/>
        <v>1722</v>
      </c>
      <c r="O200" s="736">
        <f t="shared" si="20"/>
        <v>143.5</v>
      </c>
      <c r="P200" s="737">
        <f t="shared" si="22"/>
        <v>2.980527909995673</v>
      </c>
    </row>
    <row r="201" spans="1:16" s="738" customFormat="1">
      <c r="A201" s="806" t="s">
        <v>185</v>
      </c>
      <c r="B201" s="732">
        <v>0</v>
      </c>
      <c r="C201" s="678">
        <v>1</v>
      </c>
      <c r="D201" s="733">
        <v>0</v>
      </c>
      <c r="E201" s="733">
        <v>0</v>
      </c>
      <c r="F201" s="733">
        <v>1</v>
      </c>
      <c r="G201" s="734">
        <v>0</v>
      </c>
      <c r="H201" s="734">
        <v>0</v>
      </c>
      <c r="I201" s="734">
        <v>2</v>
      </c>
      <c r="J201" s="733">
        <v>0</v>
      </c>
      <c r="K201" s="678">
        <v>0</v>
      </c>
      <c r="L201" s="678">
        <v>2</v>
      </c>
      <c r="M201" s="678">
        <v>1</v>
      </c>
      <c r="N201" s="735">
        <f t="shared" si="19"/>
        <v>7</v>
      </c>
      <c r="O201" s="736">
        <f t="shared" si="20"/>
        <v>0.58333333333333337</v>
      </c>
      <c r="P201" s="737">
        <f t="shared" si="22"/>
        <v>1.2115967113803548E-2</v>
      </c>
    </row>
    <row r="202" spans="1:16" s="738" customFormat="1">
      <c r="A202" s="806" t="s">
        <v>186</v>
      </c>
      <c r="B202" s="732">
        <v>27</v>
      </c>
      <c r="C202" s="678">
        <v>14</v>
      </c>
      <c r="D202" s="733">
        <v>14</v>
      </c>
      <c r="E202" s="733">
        <v>19</v>
      </c>
      <c r="F202" s="733">
        <v>23</v>
      </c>
      <c r="G202" s="734">
        <v>25</v>
      </c>
      <c r="H202" s="734">
        <v>24</v>
      </c>
      <c r="I202" s="734">
        <v>17</v>
      </c>
      <c r="J202" s="733">
        <v>16</v>
      </c>
      <c r="K202" s="678">
        <v>17</v>
      </c>
      <c r="L202" s="678">
        <v>38</v>
      </c>
      <c r="M202" s="678">
        <v>28</v>
      </c>
      <c r="N202" s="735">
        <f t="shared" si="19"/>
        <v>262</v>
      </c>
      <c r="O202" s="736">
        <f t="shared" si="20"/>
        <v>21.833333333333332</v>
      </c>
      <c r="P202" s="737">
        <f t="shared" si="22"/>
        <v>0.45348334054521849</v>
      </c>
    </row>
    <row r="203" spans="1:16" s="738" customFormat="1">
      <c r="A203" s="806" t="s">
        <v>187</v>
      </c>
      <c r="B203" s="732">
        <v>6</v>
      </c>
      <c r="C203" s="678">
        <v>5</v>
      </c>
      <c r="D203" s="733">
        <v>5</v>
      </c>
      <c r="E203" s="733">
        <v>4</v>
      </c>
      <c r="F203" s="733">
        <v>9</v>
      </c>
      <c r="G203" s="734">
        <v>5</v>
      </c>
      <c r="H203" s="734">
        <v>10</v>
      </c>
      <c r="I203" s="734">
        <v>4</v>
      </c>
      <c r="J203" s="733">
        <v>2</v>
      </c>
      <c r="K203" s="678">
        <v>2</v>
      </c>
      <c r="L203" s="678">
        <v>3</v>
      </c>
      <c r="M203" s="678">
        <v>10</v>
      </c>
      <c r="N203" s="735">
        <f t="shared" si="19"/>
        <v>65</v>
      </c>
      <c r="O203" s="736">
        <f t="shared" si="20"/>
        <v>5.416666666666667</v>
      </c>
      <c r="P203" s="737">
        <f t="shared" si="22"/>
        <v>0.11250540891389008</v>
      </c>
    </row>
    <row r="204" spans="1:16" s="738" customFormat="1">
      <c r="A204" s="805" t="s">
        <v>188</v>
      </c>
      <c r="B204" s="732">
        <v>10</v>
      </c>
      <c r="C204" s="678">
        <v>21</v>
      </c>
      <c r="D204" s="733">
        <v>22</v>
      </c>
      <c r="E204" s="733">
        <v>16</v>
      </c>
      <c r="F204" s="733">
        <v>14</v>
      </c>
      <c r="G204" s="734">
        <v>20</v>
      </c>
      <c r="H204" s="734">
        <v>23</v>
      </c>
      <c r="I204" s="734">
        <v>23</v>
      </c>
      <c r="J204" s="733">
        <v>14</v>
      </c>
      <c r="K204" s="678">
        <v>10</v>
      </c>
      <c r="L204" s="678">
        <v>18</v>
      </c>
      <c r="M204" s="678">
        <v>10</v>
      </c>
      <c r="N204" s="735">
        <f t="shared" si="19"/>
        <v>201</v>
      </c>
      <c r="O204" s="736">
        <f t="shared" si="20"/>
        <v>16.75</v>
      </c>
      <c r="P204" s="737">
        <f t="shared" si="22"/>
        <v>0.34790134141064477</v>
      </c>
    </row>
    <row r="205" spans="1:16" s="738" customFormat="1">
      <c r="A205" s="805" t="s">
        <v>189</v>
      </c>
      <c r="B205" s="732">
        <v>0</v>
      </c>
      <c r="C205" s="678">
        <v>0</v>
      </c>
      <c r="D205" s="733">
        <v>2</v>
      </c>
      <c r="E205" s="733">
        <v>0</v>
      </c>
      <c r="F205" s="733">
        <v>2</v>
      </c>
      <c r="G205" s="734">
        <v>0</v>
      </c>
      <c r="H205" s="734">
        <v>0</v>
      </c>
      <c r="I205" s="734">
        <v>0</v>
      </c>
      <c r="J205" s="733">
        <v>0</v>
      </c>
      <c r="K205" s="678">
        <v>0</v>
      </c>
      <c r="L205" s="678">
        <v>0</v>
      </c>
      <c r="M205" s="678">
        <v>0</v>
      </c>
      <c r="N205" s="735">
        <f t="shared" si="19"/>
        <v>4</v>
      </c>
      <c r="O205" s="736">
        <f t="shared" si="20"/>
        <v>0.33333333333333331</v>
      </c>
      <c r="P205" s="737">
        <f t="shared" si="22"/>
        <v>6.923409779316313E-3</v>
      </c>
    </row>
    <row r="206" spans="1:16" s="738" customFormat="1">
      <c r="A206" s="806" t="s">
        <v>190</v>
      </c>
      <c r="B206" s="732">
        <v>74</v>
      </c>
      <c r="C206" s="678">
        <v>65</v>
      </c>
      <c r="D206" s="733">
        <v>37</v>
      </c>
      <c r="E206" s="733">
        <v>47</v>
      </c>
      <c r="F206" s="733">
        <v>28</v>
      </c>
      <c r="G206" s="734">
        <v>58</v>
      </c>
      <c r="H206" s="734">
        <v>38</v>
      </c>
      <c r="I206" s="734">
        <v>56</v>
      </c>
      <c r="J206" s="733">
        <v>59</v>
      </c>
      <c r="K206" s="678">
        <v>58</v>
      </c>
      <c r="L206" s="678">
        <v>37</v>
      </c>
      <c r="M206" s="678">
        <v>43</v>
      </c>
      <c r="N206" s="735">
        <f t="shared" si="19"/>
        <v>600</v>
      </c>
      <c r="O206" s="736">
        <f t="shared" si="20"/>
        <v>50</v>
      </c>
      <c r="P206" s="737">
        <f t="shared" si="22"/>
        <v>1.0385114668974471</v>
      </c>
    </row>
    <row r="207" spans="1:16" s="738" customFormat="1">
      <c r="A207" s="806" t="s">
        <v>191</v>
      </c>
      <c r="B207" s="732">
        <v>12</v>
      </c>
      <c r="C207" s="678">
        <v>11</v>
      </c>
      <c r="D207" s="733">
        <v>18</v>
      </c>
      <c r="E207" s="733">
        <v>18</v>
      </c>
      <c r="F207" s="733">
        <v>35</v>
      </c>
      <c r="G207" s="734">
        <v>15</v>
      </c>
      <c r="H207" s="734">
        <v>17</v>
      </c>
      <c r="I207" s="734">
        <v>42</v>
      </c>
      <c r="J207" s="733">
        <v>24</v>
      </c>
      <c r="K207" s="678">
        <v>100</v>
      </c>
      <c r="L207" s="678">
        <v>110</v>
      </c>
      <c r="M207" s="678">
        <v>17</v>
      </c>
      <c r="N207" s="735">
        <f t="shared" si="19"/>
        <v>419</v>
      </c>
      <c r="O207" s="736">
        <f t="shared" si="20"/>
        <v>34.916666666666664</v>
      </c>
      <c r="P207" s="737">
        <f t="shared" si="22"/>
        <v>0.7252271743833838</v>
      </c>
    </row>
    <row r="208" spans="1:16" s="738" customFormat="1">
      <c r="A208" s="806" t="s">
        <v>468</v>
      </c>
      <c r="B208" s="732">
        <v>5</v>
      </c>
      <c r="C208" s="678">
        <v>3</v>
      </c>
      <c r="D208" s="733">
        <v>0</v>
      </c>
      <c r="E208" s="733">
        <v>0</v>
      </c>
      <c r="F208" s="733">
        <v>4</v>
      </c>
      <c r="G208" s="734">
        <v>0</v>
      </c>
      <c r="H208" s="734">
        <v>0</v>
      </c>
      <c r="I208" s="734">
        <v>0</v>
      </c>
      <c r="J208" s="733">
        <v>0</v>
      </c>
      <c r="K208" s="678">
        <v>0</v>
      </c>
      <c r="L208" s="678">
        <v>0</v>
      </c>
      <c r="M208" s="678">
        <v>0</v>
      </c>
      <c r="N208" s="735">
        <f t="shared" si="19"/>
        <v>12</v>
      </c>
      <c r="O208" s="736">
        <f t="shared" si="20"/>
        <v>1</v>
      </c>
      <c r="P208" s="737">
        <f t="shared" si="22"/>
        <v>2.0770229337948937E-2</v>
      </c>
    </row>
    <row r="209" spans="1:16" s="738" customFormat="1">
      <c r="A209" s="806" t="s">
        <v>494</v>
      </c>
      <c r="B209" s="732">
        <v>1</v>
      </c>
      <c r="C209" s="678">
        <v>0</v>
      </c>
      <c r="D209" s="733">
        <v>0</v>
      </c>
      <c r="E209" s="733">
        <v>0</v>
      </c>
      <c r="F209" s="733">
        <v>0</v>
      </c>
      <c r="G209" s="734">
        <v>0</v>
      </c>
      <c r="H209" s="734">
        <v>0</v>
      </c>
      <c r="I209" s="734">
        <v>0</v>
      </c>
      <c r="J209" s="733">
        <v>0</v>
      </c>
      <c r="K209" s="678">
        <v>0</v>
      </c>
      <c r="L209" s="678">
        <v>0</v>
      </c>
      <c r="M209" s="678">
        <v>0</v>
      </c>
      <c r="N209" s="735">
        <f t="shared" si="19"/>
        <v>1</v>
      </c>
      <c r="O209" s="736">
        <f t="shared" si="20"/>
        <v>8.3333333333333329E-2</v>
      </c>
      <c r="P209" s="737">
        <f t="shared" si="22"/>
        <v>1.7308524448290783E-3</v>
      </c>
    </row>
    <row r="210" spans="1:16" s="738" customFormat="1">
      <c r="A210" s="806" t="s">
        <v>192</v>
      </c>
      <c r="B210" s="732">
        <v>0</v>
      </c>
      <c r="C210" s="678">
        <v>1</v>
      </c>
      <c r="D210" s="733">
        <v>0</v>
      </c>
      <c r="E210" s="733">
        <v>1</v>
      </c>
      <c r="F210" s="733">
        <v>1</v>
      </c>
      <c r="G210" s="734">
        <v>0</v>
      </c>
      <c r="H210" s="734">
        <v>3</v>
      </c>
      <c r="I210" s="734">
        <v>6</v>
      </c>
      <c r="J210" s="733">
        <v>2</v>
      </c>
      <c r="K210" s="678">
        <v>2</v>
      </c>
      <c r="L210" s="678">
        <v>1</v>
      </c>
      <c r="M210" s="678">
        <v>0</v>
      </c>
      <c r="N210" s="735">
        <f t="shared" si="19"/>
        <v>17</v>
      </c>
      <c r="O210" s="736">
        <f t="shared" si="20"/>
        <v>1.4166666666666667</v>
      </c>
      <c r="P210" s="737">
        <f t="shared" ref="P210:P220" si="23">(N210/$N$220)*100</f>
        <v>2.942449156209433E-2</v>
      </c>
    </row>
    <row r="211" spans="1:16" s="738" customFormat="1">
      <c r="A211" s="806" t="s">
        <v>193</v>
      </c>
      <c r="B211" s="732">
        <v>59</v>
      </c>
      <c r="C211" s="678">
        <v>64</v>
      </c>
      <c r="D211" s="733">
        <v>67</v>
      </c>
      <c r="E211" s="733">
        <v>77</v>
      </c>
      <c r="F211" s="733">
        <v>80</v>
      </c>
      <c r="G211" s="734">
        <v>45</v>
      </c>
      <c r="H211" s="734">
        <v>71</v>
      </c>
      <c r="I211" s="734">
        <v>79</v>
      </c>
      <c r="J211" s="733">
        <v>68</v>
      </c>
      <c r="K211" s="678">
        <v>69</v>
      </c>
      <c r="L211" s="678">
        <v>71</v>
      </c>
      <c r="M211" s="678">
        <v>24</v>
      </c>
      <c r="N211" s="735">
        <f t="shared" si="19"/>
        <v>774</v>
      </c>
      <c r="O211" s="736">
        <f t="shared" si="20"/>
        <v>64.5</v>
      </c>
      <c r="P211" s="737">
        <f t="shared" si="23"/>
        <v>1.3396797922977066</v>
      </c>
    </row>
    <row r="212" spans="1:16" s="738" customFormat="1">
      <c r="A212" s="806" t="s">
        <v>194</v>
      </c>
      <c r="B212" s="732">
        <v>1</v>
      </c>
      <c r="C212" s="678">
        <v>0</v>
      </c>
      <c r="D212" s="733">
        <v>0</v>
      </c>
      <c r="E212" s="733">
        <v>0</v>
      </c>
      <c r="F212" s="733">
        <v>0</v>
      </c>
      <c r="G212" s="734">
        <v>0</v>
      </c>
      <c r="H212" s="734">
        <v>1</v>
      </c>
      <c r="I212" s="734">
        <v>0</v>
      </c>
      <c r="J212" s="733">
        <v>2</v>
      </c>
      <c r="K212" s="678">
        <v>2</v>
      </c>
      <c r="L212" s="678">
        <v>0</v>
      </c>
      <c r="M212" s="678">
        <v>0</v>
      </c>
      <c r="N212" s="735">
        <f t="shared" si="19"/>
        <v>6</v>
      </c>
      <c r="O212" s="736">
        <f t="shared" si="20"/>
        <v>0.5</v>
      </c>
      <c r="P212" s="737">
        <f t="shared" si="23"/>
        <v>1.0385114668974469E-2</v>
      </c>
    </row>
    <row r="213" spans="1:16" s="738" customFormat="1">
      <c r="A213" s="806" t="s">
        <v>195</v>
      </c>
      <c r="B213" s="732">
        <v>1</v>
      </c>
      <c r="C213" s="678">
        <v>4</v>
      </c>
      <c r="D213" s="733">
        <v>0</v>
      </c>
      <c r="E213" s="733">
        <v>1</v>
      </c>
      <c r="F213" s="733">
        <v>1</v>
      </c>
      <c r="G213" s="734">
        <v>0</v>
      </c>
      <c r="H213" s="734">
        <v>4</v>
      </c>
      <c r="I213" s="734">
        <v>14</v>
      </c>
      <c r="J213" s="733">
        <v>5</v>
      </c>
      <c r="K213" s="678">
        <v>5</v>
      </c>
      <c r="L213" s="678">
        <v>4</v>
      </c>
      <c r="M213" s="678">
        <v>0</v>
      </c>
      <c r="N213" s="735">
        <f t="shared" si="19"/>
        <v>39</v>
      </c>
      <c r="O213" s="736">
        <f t="shared" si="20"/>
        <v>3.25</v>
      </c>
      <c r="P213" s="737">
        <f t="shared" si="23"/>
        <v>6.7503245348334046E-2</v>
      </c>
    </row>
    <row r="214" spans="1:16" s="738" customFormat="1">
      <c r="A214" s="806" t="s">
        <v>196</v>
      </c>
      <c r="B214" s="732">
        <v>72</v>
      </c>
      <c r="C214" s="678">
        <v>54</v>
      </c>
      <c r="D214" s="733">
        <v>41</v>
      </c>
      <c r="E214" s="733">
        <v>54</v>
      </c>
      <c r="F214" s="733">
        <v>65</v>
      </c>
      <c r="G214" s="734">
        <v>40</v>
      </c>
      <c r="H214" s="734">
        <v>54</v>
      </c>
      <c r="I214" s="734">
        <v>50</v>
      </c>
      <c r="J214" s="733">
        <v>38</v>
      </c>
      <c r="K214" s="678">
        <v>48</v>
      </c>
      <c r="L214" s="678">
        <v>33</v>
      </c>
      <c r="M214" s="678">
        <v>22</v>
      </c>
      <c r="N214" s="735">
        <f t="shared" si="19"/>
        <v>571</v>
      </c>
      <c r="O214" s="736">
        <f t="shared" si="20"/>
        <v>47.583333333333336</v>
      </c>
      <c r="P214" s="737">
        <f t="shared" si="23"/>
        <v>0.98831674599740382</v>
      </c>
    </row>
    <row r="215" spans="1:16" s="738" customFormat="1">
      <c r="A215" s="806" t="s">
        <v>197</v>
      </c>
      <c r="B215" s="732">
        <v>99</v>
      </c>
      <c r="C215" s="678">
        <v>136</v>
      </c>
      <c r="D215" s="733">
        <v>165</v>
      </c>
      <c r="E215" s="733">
        <v>133</v>
      </c>
      <c r="F215" s="733">
        <v>134</v>
      </c>
      <c r="G215" s="734">
        <v>133</v>
      </c>
      <c r="H215" s="734">
        <v>118</v>
      </c>
      <c r="I215" s="734">
        <v>166</v>
      </c>
      <c r="J215" s="733">
        <v>116</v>
      </c>
      <c r="K215" s="678">
        <v>108</v>
      </c>
      <c r="L215" s="678">
        <v>122</v>
      </c>
      <c r="M215" s="678">
        <v>107</v>
      </c>
      <c r="N215" s="735">
        <f t="shared" si="19"/>
        <v>1537</v>
      </c>
      <c r="O215" s="736">
        <f t="shared" si="20"/>
        <v>128.08333333333334</v>
      </c>
      <c r="P215" s="848">
        <f t="shared" si="23"/>
        <v>2.6603202077022932</v>
      </c>
    </row>
    <row r="216" spans="1:16" s="738" customFormat="1">
      <c r="A216" s="806" t="s">
        <v>452</v>
      </c>
      <c r="B216" s="732">
        <v>1</v>
      </c>
      <c r="C216" s="678">
        <v>0</v>
      </c>
      <c r="D216" s="733">
        <v>4</v>
      </c>
      <c r="E216" s="733">
        <v>1</v>
      </c>
      <c r="F216" s="733">
        <v>0</v>
      </c>
      <c r="G216" s="734">
        <v>0</v>
      </c>
      <c r="H216" s="849">
        <v>0</v>
      </c>
      <c r="I216" s="849">
        <v>0</v>
      </c>
      <c r="J216" s="850">
        <v>0</v>
      </c>
      <c r="K216" s="678">
        <v>0</v>
      </c>
      <c r="L216" s="678">
        <v>0</v>
      </c>
      <c r="M216" s="678">
        <v>0</v>
      </c>
      <c r="N216" s="851">
        <f t="shared" ref="N216:N219" si="24">SUM(B216:M216)</f>
        <v>6</v>
      </c>
      <c r="O216" s="852">
        <f t="shared" si="20"/>
        <v>0.5</v>
      </c>
      <c r="P216" s="853">
        <f t="shared" si="23"/>
        <v>1.0385114668974469E-2</v>
      </c>
    </row>
    <row r="217" spans="1:16" s="738" customFormat="1">
      <c r="A217" s="806" t="s">
        <v>453</v>
      </c>
      <c r="B217" s="732">
        <v>2</v>
      </c>
      <c r="C217" s="678">
        <v>0</v>
      </c>
      <c r="D217" s="733">
        <v>4</v>
      </c>
      <c r="E217" s="733">
        <v>1</v>
      </c>
      <c r="F217" s="733">
        <v>0</v>
      </c>
      <c r="G217" s="734">
        <v>0</v>
      </c>
      <c r="H217" s="849">
        <v>0</v>
      </c>
      <c r="I217" s="849">
        <v>0</v>
      </c>
      <c r="J217" s="850">
        <v>0</v>
      </c>
      <c r="K217" s="678">
        <v>0</v>
      </c>
      <c r="L217" s="678">
        <v>0</v>
      </c>
      <c r="M217" s="678">
        <v>0</v>
      </c>
      <c r="N217" s="851">
        <f t="shared" si="24"/>
        <v>7</v>
      </c>
      <c r="O217" s="852">
        <f t="shared" si="20"/>
        <v>0.58333333333333337</v>
      </c>
      <c r="P217" s="853">
        <f t="shared" si="23"/>
        <v>1.2115967113803548E-2</v>
      </c>
    </row>
    <row r="218" spans="1:16" s="738" customFormat="1">
      <c r="A218" s="808" t="s">
        <v>199</v>
      </c>
      <c r="B218" s="854">
        <v>0</v>
      </c>
      <c r="C218" s="855">
        <v>0</v>
      </c>
      <c r="D218" s="850">
        <v>0</v>
      </c>
      <c r="E218" s="850">
        <v>0</v>
      </c>
      <c r="F218" s="850">
        <v>0</v>
      </c>
      <c r="G218" s="849">
        <v>0</v>
      </c>
      <c r="H218" s="849">
        <v>1</v>
      </c>
      <c r="I218" s="849">
        <v>0</v>
      </c>
      <c r="J218" s="850">
        <v>0</v>
      </c>
      <c r="K218" s="678">
        <v>0</v>
      </c>
      <c r="L218" s="855">
        <v>0</v>
      </c>
      <c r="M218" s="678">
        <v>0</v>
      </c>
      <c r="N218" s="851">
        <f t="shared" si="24"/>
        <v>1</v>
      </c>
      <c r="O218" s="852">
        <f t="shared" si="20"/>
        <v>8.3333333333333329E-2</v>
      </c>
      <c r="P218" s="853">
        <f t="shared" si="23"/>
        <v>1.7308524448290783E-3</v>
      </c>
    </row>
    <row r="219" spans="1:16" s="738" customFormat="1" ht="15.75" thickBot="1">
      <c r="A219" s="809" t="s">
        <v>198</v>
      </c>
      <c r="B219" s="854">
        <v>4</v>
      </c>
      <c r="C219" s="855">
        <v>2</v>
      </c>
      <c r="D219" s="850">
        <v>0</v>
      </c>
      <c r="E219" s="850">
        <v>3</v>
      </c>
      <c r="F219" s="850">
        <v>10</v>
      </c>
      <c r="G219" s="849">
        <v>12</v>
      </c>
      <c r="H219" s="849">
        <v>10</v>
      </c>
      <c r="I219" s="849">
        <v>4</v>
      </c>
      <c r="J219" s="850">
        <v>3</v>
      </c>
      <c r="K219" s="678">
        <v>4</v>
      </c>
      <c r="L219" s="855">
        <v>5</v>
      </c>
      <c r="M219" s="678">
        <v>4</v>
      </c>
      <c r="N219" s="851">
        <f t="shared" si="24"/>
        <v>61</v>
      </c>
      <c r="O219" s="852">
        <f t="shared" si="20"/>
        <v>5.083333333333333</v>
      </c>
      <c r="P219" s="856">
        <f t="shared" si="23"/>
        <v>0.10558199913457379</v>
      </c>
    </row>
    <row r="220" spans="1:16" ht="16.5" customHeight="1" thickBot="1">
      <c r="A220" s="99" t="s">
        <v>5</v>
      </c>
      <c r="B220" s="100">
        <f t="shared" ref="B220:M220" si="25">SUM(B5:B219)</f>
        <v>4119</v>
      </c>
      <c r="C220" s="100">
        <f t="shared" si="25"/>
        <v>5058</v>
      </c>
      <c r="D220" s="100">
        <f t="shared" si="25"/>
        <v>5232</v>
      </c>
      <c r="E220" s="100">
        <f t="shared" si="25"/>
        <v>4624</v>
      </c>
      <c r="F220" s="100">
        <f t="shared" si="25"/>
        <v>4895</v>
      </c>
      <c r="G220" s="100">
        <f t="shared" si="25"/>
        <v>4703</v>
      </c>
      <c r="H220" s="100">
        <f t="shared" si="25"/>
        <v>4685</v>
      </c>
      <c r="I220" s="100">
        <f t="shared" si="25"/>
        <v>5353</v>
      </c>
      <c r="J220" s="100">
        <f t="shared" si="25"/>
        <v>4687</v>
      </c>
      <c r="K220" s="100">
        <f t="shared" si="25"/>
        <v>5517</v>
      </c>
      <c r="L220" s="100">
        <f t="shared" si="25"/>
        <v>4645</v>
      </c>
      <c r="M220" s="101">
        <f t="shared" si="25"/>
        <v>4257</v>
      </c>
      <c r="N220" s="102">
        <f t="shared" ref="N220" si="26">SUM(B220:M220)</f>
        <v>57775</v>
      </c>
      <c r="O220" s="103">
        <f t="shared" ref="O220" si="27">AVERAGE(B220:M220)</f>
        <v>4814.583333333333</v>
      </c>
      <c r="P220" s="730">
        <f t="shared" si="23"/>
        <v>100</v>
      </c>
    </row>
    <row r="221" spans="1:16" ht="65.25" customHeight="1">
      <c r="A221" s="106" t="s">
        <v>200</v>
      </c>
      <c r="B221" s="107"/>
      <c r="C221" s="107"/>
      <c r="D221" s="107"/>
      <c r="E221" s="107"/>
      <c r="F221" s="107"/>
      <c r="G221" s="107"/>
      <c r="H221" s="107"/>
      <c r="I221" s="107"/>
      <c r="J221" s="107"/>
      <c r="K221" s="107"/>
    </row>
    <row r="222" spans="1:16">
      <c r="A222" s="108"/>
      <c r="B222" s="107"/>
      <c r="C222" s="107"/>
      <c r="D222" s="107"/>
      <c r="E222" s="107"/>
      <c r="F222" s="107"/>
      <c r="G222" s="107"/>
      <c r="H222" s="107"/>
      <c r="I222" s="107"/>
      <c r="J222" s="107"/>
      <c r="K222" s="107"/>
    </row>
    <row r="223" spans="1:16" ht="45">
      <c r="A223" s="108" t="s">
        <v>201</v>
      </c>
      <c r="B223" s="107"/>
      <c r="C223" s="107"/>
      <c r="D223" s="107"/>
      <c r="E223" s="107"/>
      <c r="F223" s="107"/>
      <c r="G223" s="107"/>
      <c r="H223" s="107"/>
      <c r="I223" s="107"/>
      <c r="J223" s="107"/>
      <c r="K223" s="107"/>
    </row>
    <row r="224" spans="1:16">
      <c r="A224" s="108"/>
      <c r="B224" s="107"/>
      <c r="C224" s="107"/>
      <c r="D224" s="107"/>
      <c r="E224" s="107"/>
      <c r="F224" s="107"/>
      <c r="G224" s="107"/>
      <c r="H224" s="107"/>
      <c r="I224" s="107"/>
      <c r="J224" s="107"/>
      <c r="K224" s="107"/>
    </row>
    <row r="225" spans="1:16" ht="31.5" customHeight="1">
      <c r="A225" s="776" t="s">
        <v>202</v>
      </c>
      <c r="B225" s="107"/>
      <c r="C225" s="107"/>
      <c r="D225" s="107"/>
      <c r="E225" s="107"/>
      <c r="F225" s="107"/>
      <c r="G225" s="107"/>
      <c r="H225" s="107"/>
      <c r="I225" s="107"/>
      <c r="J225" s="107"/>
      <c r="K225" s="107"/>
    </row>
    <row r="226" spans="1:16" ht="45">
      <c r="A226" s="108" t="s">
        <v>203</v>
      </c>
    </row>
    <row r="227" spans="1:16" ht="30">
      <c r="A227" s="108" t="s">
        <v>204</v>
      </c>
      <c r="B227" s="107"/>
      <c r="C227" s="107"/>
      <c r="D227" s="107"/>
      <c r="E227" s="107"/>
      <c r="F227" s="107"/>
    </row>
    <row r="229" spans="1:16" ht="30">
      <c r="A229" s="108" t="s">
        <v>467</v>
      </c>
      <c r="B229"/>
      <c r="C229"/>
      <c r="D229"/>
      <c r="E229"/>
      <c r="F229"/>
      <c r="G229"/>
      <c r="H229"/>
      <c r="I229"/>
      <c r="J229"/>
      <c r="K229"/>
      <c r="L229"/>
      <c r="M229" s="109"/>
      <c r="N229"/>
      <c r="O229"/>
      <c r="P229"/>
    </row>
  </sheetData>
  <sortState ref="A5:P200">
    <sortCondition ref="A4"/>
  </sortState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220:M22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/>
  </sheetViews>
  <sheetFormatPr defaultRowHeight="15"/>
  <cols>
    <col min="1" max="1" width="70.140625" customWidth="1"/>
  </cols>
  <sheetData>
    <row r="1" spans="1:2">
      <c r="A1" s="1" t="s">
        <v>0</v>
      </c>
      <c r="B1" s="88"/>
    </row>
    <row r="2" spans="1:2">
      <c r="A2" s="1" t="s">
        <v>1</v>
      </c>
      <c r="B2" s="88"/>
    </row>
    <row r="3" spans="1:2" ht="15.75" thickBot="1">
      <c r="B3" s="89"/>
    </row>
    <row r="4" spans="1:2">
      <c r="A4" s="824" t="s">
        <v>464</v>
      </c>
      <c r="B4" s="828">
        <v>45261</v>
      </c>
    </row>
    <row r="5" spans="1:2">
      <c r="A5" s="825" t="s">
        <v>231</v>
      </c>
      <c r="B5" s="861">
        <v>268</v>
      </c>
    </row>
    <row r="6" spans="1:2">
      <c r="A6" s="825" t="s">
        <v>471</v>
      </c>
      <c r="B6" s="861">
        <v>4</v>
      </c>
    </row>
    <row r="7" spans="1:2">
      <c r="A7" s="825" t="s">
        <v>240</v>
      </c>
      <c r="B7" s="861">
        <v>6</v>
      </c>
    </row>
    <row r="8" spans="1:2" ht="15.75" thickBot="1">
      <c r="A8" s="826" t="s">
        <v>472</v>
      </c>
      <c r="B8" s="862">
        <v>13</v>
      </c>
    </row>
    <row r="9" spans="1:2" ht="15.75" thickBot="1">
      <c r="A9" s="827" t="s">
        <v>465</v>
      </c>
      <c r="B9" s="863">
        <f>SUM(B5:B8)</f>
        <v>291</v>
      </c>
    </row>
    <row r="10" spans="1:2">
      <c r="A10" s="775"/>
      <c r="B10" s="775"/>
    </row>
    <row r="11" spans="1:2" ht="30">
      <c r="A11" s="777" t="s">
        <v>469</v>
      </c>
    </row>
    <row r="14" spans="1:2" ht="45">
      <c r="A14" s="777" t="s">
        <v>473</v>
      </c>
    </row>
    <row r="16" spans="1:2" ht="60">
      <c r="A16" s="777" t="s">
        <v>470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  <ignoredErrors>
    <ignoredError sqref="B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Normal="100" workbookViewId="0">
      <selection activeCell="P7" sqref="P7"/>
    </sheetView>
  </sheetViews>
  <sheetFormatPr defaultColWidth="5.5703125" defaultRowHeight="14.25"/>
  <cols>
    <col min="1" max="1" width="51.5703125" style="13" customWidth="1"/>
    <col min="2" max="2" width="7.5703125" style="13" bestFit="1" customWidth="1"/>
    <col min="3" max="3" width="7.7109375" style="114" bestFit="1" customWidth="1"/>
    <col min="4" max="4" width="7.140625" style="13" bestFit="1" customWidth="1"/>
    <col min="5" max="5" width="7" style="112" bestFit="1" customWidth="1"/>
    <col min="6" max="6" width="7.5703125" style="13" bestFit="1" customWidth="1"/>
    <col min="7" max="7" width="6.28515625" style="112" customWidth="1"/>
    <col min="8" max="8" width="7" style="13" bestFit="1" customWidth="1"/>
    <col min="9" max="9" width="7.5703125" style="13" customWidth="1"/>
    <col min="10" max="10" width="7.140625" style="13" bestFit="1" customWidth="1"/>
    <col min="11" max="11" width="7.5703125" style="13" bestFit="1" customWidth="1"/>
    <col min="12" max="12" width="7.140625" style="13" bestFit="1" customWidth="1"/>
    <col min="13" max="13" width="6.85546875" style="13" bestFit="1" customWidth="1"/>
    <col min="14" max="14" width="6.7109375" style="13" bestFit="1" customWidth="1"/>
    <col min="15" max="15" width="7.140625" style="13" bestFit="1" customWidth="1"/>
    <col min="16" max="16" width="14.85546875" style="13" customWidth="1"/>
    <col min="17" max="215" width="9.140625" style="13" customWidth="1"/>
    <col min="216" max="216" width="58.28515625" style="13" customWidth="1"/>
    <col min="217" max="217" width="3.7109375" style="13" bestFit="1" customWidth="1"/>
    <col min="218" max="218" width="5.5703125" style="13" bestFit="1" customWidth="1"/>
    <col min="219" max="219" width="5.5703125" style="13" customWidth="1"/>
    <col min="220" max="16384" width="5.5703125" style="13"/>
  </cols>
  <sheetData>
    <row r="1" spans="1:20" ht="15">
      <c r="A1" s="110" t="s">
        <v>0</v>
      </c>
      <c r="B1" s="110"/>
      <c r="C1" s="111"/>
      <c r="D1" s="110"/>
      <c r="H1" s="647"/>
      <c r="I1" s="647"/>
      <c r="J1" s="647"/>
      <c r="K1" s="647"/>
      <c r="L1" s="647"/>
      <c r="M1" s="647"/>
      <c r="N1" s="647"/>
      <c r="O1" s="647"/>
      <c r="P1" s="647">
        <f>Assuntos!B220</f>
        <v>4119</v>
      </c>
    </row>
    <row r="2" spans="1:20" ht="15">
      <c r="A2" s="1" t="s">
        <v>1</v>
      </c>
      <c r="B2" s="1"/>
      <c r="C2" s="88"/>
      <c r="D2" s="1"/>
      <c r="H2" s="647"/>
      <c r="I2" s="647"/>
      <c r="J2" s="647"/>
      <c r="K2" s="647"/>
      <c r="L2" s="647"/>
      <c r="M2" s="647"/>
      <c r="N2" s="647"/>
      <c r="O2" s="647"/>
      <c r="P2" s="647"/>
    </row>
    <row r="3" spans="1:20" ht="15">
      <c r="A3" s="1"/>
      <c r="B3" s="1"/>
      <c r="C3" s="88"/>
      <c r="D3" s="1"/>
      <c r="H3" s="647"/>
      <c r="I3" s="647"/>
      <c r="J3" s="647"/>
      <c r="K3" s="647"/>
      <c r="L3" s="647"/>
      <c r="M3" s="647"/>
      <c r="N3" s="647"/>
      <c r="O3" s="647"/>
      <c r="P3" s="647"/>
    </row>
    <row r="4" spans="1:20" ht="15">
      <c r="A4" s="1" t="s">
        <v>205</v>
      </c>
      <c r="B4" s="1"/>
      <c r="C4" s="88"/>
      <c r="D4" s="1"/>
      <c r="H4" s="647"/>
      <c r="I4" s="647"/>
      <c r="J4" s="647"/>
      <c r="K4" s="647"/>
      <c r="L4" s="647"/>
      <c r="M4" s="647"/>
      <c r="N4" s="647"/>
      <c r="O4" s="647"/>
      <c r="P4" s="864"/>
    </row>
    <row r="5" spans="1:20">
      <c r="E5" s="13"/>
      <c r="F5" s="112"/>
      <c r="G5" s="13"/>
      <c r="H5" s="648"/>
      <c r="I5" s="647"/>
      <c r="J5" s="647"/>
      <c r="K5" s="647"/>
      <c r="L5" s="647"/>
      <c r="M5" s="647"/>
      <c r="N5" s="647"/>
      <c r="O5" s="647"/>
      <c r="P5" s="647"/>
    </row>
    <row r="6" spans="1:20" ht="64.5" thickBot="1">
      <c r="A6" s="56" t="s">
        <v>206</v>
      </c>
      <c r="B6" s="23">
        <v>45261</v>
      </c>
      <c r="C6" s="96">
        <v>45231</v>
      </c>
      <c r="D6" s="96">
        <v>45200</v>
      </c>
      <c r="E6" s="96">
        <v>45170</v>
      </c>
      <c r="F6" s="96">
        <v>45139</v>
      </c>
      <c r="G6" s="96">
        <v>45108</v>
      </c>
      <c r="H6" s="96">
        <v>45078</v>
      </c>
      <c r="I6" s="96">
        <v>45047</v>
      </c>
      <c r="J6" s="96">
        <v>45017</v>
      </c>
      <c r="K6" s="96">
        <v>44986</v>
      </c>
      <c r="L6" s="96">
        <v>44958</v>
      </c>
      <c r="M6" s="96">
        <v>44927</v>
      </c>
      <c r="N6" s="96" t="s">
        <v>5</v>
      </c>
      <c r="O6" s="96" t="s">
        <v>6</v>
      </c>
      <c r="P6" s="115" t="s">
        <v>496</v>
      </c>
    </row>
    <row r="7" spans="1:20" ht="14.25" customHeight="1" thickBot="1">
      <c r="A7" s="686" t="s">
        <v>57</v>
      </c>
      <c r="B7" s="683">
        <v>242</v>
      </c>
      <c r="C7" s="684">
        <v>489</v>
      </c>
      <c r="D7" s="44">
        <v>708</v>
      </c>
      <c r="E7" s="44">
        <v>447</v>
      </c>
      <c r="F7" s="44">
        <v>489</v>
      </c>
      <c r="G7" s="550">
        <v>369</v>
      </c>
      <c r="H7" s="596">
        <v>727</v>
      </c>
      <c r="I7" s="597">
        <v>801</v>
      </c>
      <c r="J7" s="551">
        <v>981</v>
      </c>
      <c r="K7" s="551">
        <v>844</v>
      </c>
      <c r="L7" s="551">
        <v>484</v>
      </c>
      <c r="M7" s="551">
        <v>501</v>
      </c>
      <c r="N7" s="116">
        <f t="shared" ref="N7:N16" si="0">SUM(B7:M7)</f>
        <v>7082</v>
      </c>
      <c r="O7" s="117">
        <f t="shared" ref="O7:O17" si="1">AVERAGE(B7:M7)</f>
        <v>590.16666666666663</v>
      </c>
      <c r="P7" s="118">
        <f>(B7*100)/$P$1</f>
        <v>5.875212430201505</v>
      </c>
      <c r="S7" s="112"/>
      <c r="T7" s="112"/>
    </row>
    <row r="8" spans="1:20" ht="15" customHeight="1" thickBot="1">
      <c r="A8" s="686" t="s">
        <v>466</v>
      </c>
      <c r="B8" s="683">
        <v>291</v>
      </c>
      <c r="C8" s="684">
        <v>317</v>
      </c>
      <c r="D8" s="44">
        <v>407</v>
      </c>
      <c r="E8" s="44">
        <v>420</v>
      </c>
      <c r="F8" s="44">
        <v>467</v>
      </c>
      <c r="G8" s="550">
        <v>523</v>
      </c>
      <c r="H8" s="596">
        <v>529</v>
      </c>
      <c r="I8" s="597">
        <v>460</v>
      </c>
      <c r="J8" s="551">
        <v>379</v>
      </c>
      <c r="K8" s="551">
        <v>313</v>
      </c>
      <c r="L8" s="551">
        <v>290</v>
      </c>
      <c r="M8" s="551">
        <v>263</v>
      </c>
      <c r="N8" s="119">
        <f t="shared" si="0"/>
        <v>4659</v>
      </c>
      <c r="O8" s="120">
        <f t="shared" si="1"/>
        <v>388.25</v>
      </c>
      <c r="P8" s="118">
        <f t="shared" ref="P8:P17" si="2">(B8*100)/$P$1</f>
        <v>7.0648215586307357</v>
      </c>
      <c r="S8" s="112"/>
      <c r="T8" s="112"/>
    </row>
    <row r="9" spans="1:20" ht="15.75" thickBot="1">
      <c r="A9" s="686" t="s">
        <v>168</v>
      </c>
      <c r="B9" s="683">
        <v>175</v>
      </c>
      <c r="C9" s="684">
        <v>245</v>
      </c>
      <c r="D9" s="44">
        <v>383</v>
      </c>
      <c r="E9" s="44">
        <v>339</v>
      </c>
      <c r="F9" s="44">
        <v>351</v>
      </c>
      <c r="G9" s="550">
        <v>291</v>
      </c>
      <c r="H9" s="596">
        <v>320</v>
      </c>
      <c r="I9" s="597">
        <v>333</v>
      </c>
      <c r="J9" s="598">
        <v>253</v>
      </c>
      <c r="K9" s="551">
        <v>347</v>
      </c>
      <c r="L9" s="551">
        <v>325</v>
      </c>
      <c r="M9" s="551">
        <v>337</v>
      </c>
      <c r="N9" s="119">
        <f t="shared" si="0"/>
        <v>3699</v>
      </c>
      <c r="O9" s="120">
        <f t="shared" si="1"/>
        <v>308.25</v>
      </c>
      <c r="P9" s="118">
        <f t="shared" si="2"/>
        <v>4.2486040301043939</v>
      </c>
      <c r="S9" s="112"/>
      <c r="T9" s="112"/>
    </row>
    <row r="10" spans="1:20" ht="15.75" thickBot="1">
      <c r="A10" s="686" t="s">
        <v>43</v>
      </c>
      <c r="B10" s="683">
        <v>218</v>
      </c>
      <c r="C10" s="684">
        <v>293</v>
      </c>
      <c r="D10" s="44">
        <v>293</v>
      </c>
      <c r="E10" s="44">
        <v>229</v>
      </c>
      <c r="F10" s="44">
        <v>298</v>
      </c>
      <c r="G10" s="550">
        <v>300</v>
      </c>
      <c r="H10" s="596">
        <v>282</v>
      </c>
      <c r="I10" s="597">
        <v>252</v>
      </c>
      <c r="J10" s="551">
        <v>231</v>
      </c>
      <c r="K10" s="551">
        <v>270</v>
      </c>
      <c r="L10" s="551">
        <v>265</v>
      </c>
      <c r="M10" s="551">
        <v>301</v>
      </c>
      <c r="N10" s="119">
        <f t="shared" si="0"/>
        <v>3232</v>
      </c>
      <c r="O10" s="120">
        <f t="shared" si="1"/>
        <v>269.33333333333331</v>
      </c>
      <c r="P10" s="118">
        <f t="shared" si="2"/>
        <v>5.2925467346443309</v>
      </c>
      <c r="S10" s="112"/>
      <c r="T10" s="112"/>
    </row>
    <row r="11" spans="1:20" ht="15.75" thickBot="1">
      <c r="A11" s="687" t="s">
        <v>98</v>
      </c>
      <c r="B11" s="683">
        <v>170</v>
      </c>
      <c r="C11" s="684">
        <v>529</v>
      </c>
      <c r="D11" s="44">
        <v>239</v>
      </c>
      <c r="E11" s="44">
        <v>302</v>
      </c>
      <c r="F11" s="44">
        <v>122</v>
      </c>
      <c r="G11" s="550">
        <v>151</v>
      </c>
      <c r="H11" s="596">
        <v>104</v>
      </c>
      <c r="I11" s="597">
        <v>298</v>
      </c>
      <c r="J11" s="551">
        <v>101</v>
      </c>
      <c r="K11" s="551">
        <v>164</v>
      </c>
      <c r="L11" s="551">
        <v>93</v>
      </c>
      <c r="M11" s="551">
        <v>113</v>
      </c>
      <c r="N11" s="119">
        <f t="shared" si="0"/>
        <v>2386</v>
      </c>
      <c r="O11" s="120">
        <f t="shared" si="1"/>
        <v>198.83333333333334</v>
      </c>
      <c r="P11" s="118">
        <f t="shared" si="2"/>
        <v>4.1272153435299828</v>
      </c>
      <c r="S11" s="112"/>
      <c r="T11" s="112"/>
    </row>
    <row r="12" spans="1:20" ht="15" customHeight="1" thickBot="1">
      <c r="A12" s="686" t="s">
        <v>153</v>
      </c>
      <c r="B12" s="683">
        <v>173</v>
      </c>
      <c r="C12" s="684">
        <v>210</v>
      </c>
      <c r="D12" s="44">
        <v>216</v>
      </c>
      <c r="E12" s="44">
        <v>200</v>
      </c>
      <c r="F12" s="44">
        <v>207</v>
      </c>
      <c r="G12" s="550">
        <v>204</v>
      </c>
      <c r="H12" s="596">
        <v>171</v>
      </c>
      <c r="I12" s="597">
        <v>196</v>
      </c>
      <c r="J12" s="598">
        <v>160</v>
      </c>
      <c r="K12" s="551">
        <v>215</v>
      </c>
      <c r="L12" s="551">
        <v>193</v>
      </c>
      <c r="M12" s="551">
        <v>239</v>
      </c>
      <c r="N12" s="119">
        <f t="shared" si="0"/>
        <v>2384</v>
      </c>
      <c r="O12" s="120">
        <f t="shared" si="1"/>
        <v>198.66666666666666</v>
      </c>
      <c r="P12" s="118">
        <f t="shared" si="2"/>
        <v>4.2000485554746296</v>
      </c>
      <c r="S12" s="112"/>
      <c r="T12" s="112"/>
    </row>
    <row r="13" spans="1:20" ht="15.75" thickBot="1">
      <c r="A13" s="686" t="s">
        <v>184</v>
      </c>
      <c r="B13" s="683">
        <v>135</v>
      </c>
      <c r="C13" s="684">
        <v>130</v>
      </c>
      <c r="D13" s="44">
        <v>140</v>
      </c>
      <c r="E13" s="44">
        <v>137</v>
      </c>
      <c r="F13" s="44">
        <v>176</v>
      </c>
      <c r="G13" s="550">
        <v>139</v>
      </c>
      <c r="H13" s="596">
        <v>137</v>
      </c>
      <c r="I13" s="597">
        <v>158</v>
      </c>
      <c r="J13" s="598">
        <v>128</v>
      </c>
      <c r="K13" s="551">
        <v>164</v>
      </c>
      <c r="L13" s="551">
        <v>149</v>
      </c>
      <c r="M13" s="551">
        <v>129</v>
      </c>
      <c r="N13" s="119">
        <f t="shared" si="0"/>
        <v>1722</v>
      </c>
      <c r="O13" s="120">
        <f t="shared" si="1"/>
        <v>143.5</v>
      </c>
      <c r="P13" s="118">
        <f t="shared" si="2"/>
        <v>3.2774945375091042</v>
      </c>
      <c r="S13" s="112"/>
      <c r="T13" s="112"/>
    </row>
    <row r="14" spans="1:20" ht="15.75" thickBot="1">
      <c r="A14" s="686" t="s">
        <v>59</v>
      </c>
      <c r="B14" s="683">
        <v>136</v>
      </c>
      <c r="C14" s="684">
        <v>117</v>
      </c>
      <c r="D14" s="44">
        <v>125</v>
      </c>
      <c r="E14" s="44">
        <v>132</v>
      </c>
      <c r="F14" s="44">
        <v>146</v>
      </c>
      <c r="G14" s="550">
        <v>168</v>
      </c>
      <c r="H14" s="596">
        <v>153</v>
      </c>
      <c r="I14" s="597">
        <v>136</v>
      </c>
      <c r="J14" s="551">
        <v>116</v>
      </c>
      <c r="K14" s="551">
        <v>157</v>
      </c>
      <c r="L14" s="551">
        <v>139</v>
      </c>
      <c r="M14" s="551">
        <v>91</v>
      </c>
      <c r="N14" s="119">
        <f t="shared" si="0"/>
        <v>1616</v>
      </c>
      <c r="O14" s="120">
        <f t="shared" si="1"/>
        <v>134.66666666666666</v>
      </c>
      <c r="P14" s="118">
        <f t="shared" si="2"/>
        <v>3.3017722748239864</v>
      </c>
      <c r="S14" s="112"/>
      <c r="T14" s="112"/>
    </row>
    <row r="15" spans="1:20" ht="15.75" thickBot="1">
      <c r="A15" s="686" t="s">
        <v>197</v>
      </c>
      <c r="B15" s="683">
        <v>99</v>
      </c>
      <c r="C15" s="684">
        <v>136</v>
      </c>
      <c r="D15" s="44">
        <v>165</v>
      </c>
      <c r="E15" s="44">
        <v>133</v>
      </c>
      <c r="F15" s="44">
        <v>134</v>
      </c>
      <c r="G15" s="550">
        <v>133</v>
      </c>
      <c r="H15" s="596">
        <v>118</v>
      </c>
      <c r="I15" s="597">
        <v>166</v>
      </c>
      <c r="J15" s="598">
        <v>116</v>
      </c>
      <c r="K15" s="551">
        <v>108</v>
      </c>
      <c r="L15" s="551">
        <v>122</v>
      </c>
      <c r="M15" s="551">
        <v>107</v>
      </c>
      <c r="N15" s="119">
        <f t="shared" si="0"/>
        <v>1537</v>
      </c>
      <c r="O15" s="120">
        <f t="shared" si="1"/>
        <v>128.08333333333334</v>
      </c>
      <c r="P15" s="118">
        <f t="shared" si="2"/>
        <v>2.4034959941733431</v>
      </c>
      <c r="S15" s="112"/>
      <c r="T15" s="112"/>
    </row>
    <row r="16" spans="1:20" ht="15.75" thickBot="1">
      <c r="A16" s="686" t="s">
        <v>159</v>
      </c>
      <c r="B16" s="685">
        <v>157</v>
      </c>
      <c r="C16" s="684">
        <v>148</v>
      </c>
      <c r="D16" s="44">
        <v>145</v>
      </c>
      <c r="E16" s="44">
        <v>126</v>
      </c>
      <c r="F16" s="44">
        <v>140</v>
      </c>
      <c r="G16" s="550">
        <v>126</v>
      </c>
      <c r="H16" s="596">
        <v>137</v>
      </c>
      <c r="I16" s="597">
        <v>132</v>
      </c>
      <c r="J16" s="551">
        <v>91</v>
      </c>
      <c r="K16" s="551">
        <v>86</v>
      </c>
      <c r="L16" s="551">
        <v>98</v>
      </c>
      <c r="M16" s="551">
        <v>138</v>
      </c>
      <c r="N16" s="121">
        <f t="shared" si="0"/>
        <v>1524</v>
      </c>
      <c r="O16" s="122">
        <f t="shared" si="1"/>
        <v>127</v>
      </c>
      <c r="P16" s="552">
        <f t="shared" si="2"/>
        <v>3.8116047584365136</v>
      </c>
      <c r="S16" s="112"/>
      <c r="T16" s="112"/>
    </row>
    <row r="17" spans="1:41" ht="15.75" customHeight="1" thickBot="1">
      <c r="A17" s="123" t="s">
        <v>5</v>
      </c>
      <c r="B17" s="56">
        <f t="shared" ref="B17:N17" si="3">SUM(B7:B16)</f>
        <v>1796</v>
      </c>
      <c r="C17" s="56">
        <f t="shared" si="3"/>
        <v>2614</v>
      </c>
      <c r="D17" s="56">
        <f t="shared" si="3"/>
        <v>2821</v>
      </c>
      <c r="E17" s="56">
        <f t="shared" si="3"/>
        <v>2465</v>
      </c>
      <c r="F17" s="56">
        <f t="shared" si="3"/>
        <v>2530</v>
      </c>
      <c r="G17" s="56">
        <f t="shared" si="3"/>
        <v>2404</v>
      </c>
      <c r="H17" s="56">
        <f t="shared" si="3"/>
        <v>2678</v>
      </c>
      <c r="I17" s="56">
        <f t="shared" si="3"/>
        <v>2932</v>
      </c>
      <c r="J17" s="56">
        <f t="shared" si="3"/>
        <v>2556</v>
      </c>
      <c r="K17" s="56">
        <f t="shared" si="3"/>
        <v>2668</v>
      </c>
      <c r="L17" s="56">
        <f t="shared" si="3"/>
        <v>2158</v>
      </c>
      <c r="M17" s="56">
        <f t="shared" si="3"/>
        <v>2219</v>
      </c>
      <c r="N17" s="124">
        <f t="shared" si="3"/>
        <v>29841</v>
      </c>
      <c r="O17" s="124">
        <f t="shared" si="1"/>
        <v>2486.75</v>
      </c>
      <c r="P17" s="553">
        <f t="shared" si="2"/>
        <v>43.602816217528527</v>
      </c>
      <c r="S17" s="112"/>
      <c r="T17" s="112"/>
    </row>
    <row r="18" spans="1:41" s="569" customFormat="1" ht="23.25" customHeight="1">
      <c r="A18" s="569" t="s">
        <v>207</v>
      </c>
      <c r="C18" s="570"/>
      <c r="O18" s="569" t="s">
        <v>208</v>
      </c>
      <c r="P18" s="571">
        <f>100-P17</f>
        <v>56.397183782471473</v>
      </c>
    </row>
    <row r="19" spans="1:41" s="556" customFormat="1" ht="54.75" customHeight="1">
      <c r="A19" s="559"/>
      <c r="B19" s="559"/>
      <c r="C19" s="560"/>
      <c r="D19" s="925"/>
      <c r="E19" s="925"/>
      <c r="F19" s="925"/>
      <c r="G19" s="925"/>
      <c r="H19" s="925"/>
      <c r="W19" s="558"/>
    </row>
    <row r="20" spans="1:41" s="556" customFormat="1">
      <c r="A20" s="561"/>
      <c r="B20" s="561"/>
      <c r="C20" s="562"/>
      <c r="E20" s="558"/>
      <c r="O20" s="558"/>
      <c r="W20" s="558"/>
      <c r="AC20" s="563"/>
      <c r="AD20" s="564"/>
      <c r="AE20" s="564"/>
      <c r="AF20" s="564"/>
      <c r="AG20" s="564"/>
      <c r="AH20" s="564"/>
      <c r="AI20" s="564"/>
      <c r="AJ20" s="557"/>
      <c r="AK20" s="564"/>
      <c r="AL20" s="564"/>
      <c r="AM20" s="564"/>
      <c r="AN20" s="564"/>
      <c r="AO20" s="565"/>
    </row>
    <row r="21" spans="1:41" s="556" customFormat="1" ht="92.25" customHeight="1">
      <c r="A21" s="559"/>
      <c r="B21" s="559"/>
      <c r="C21" s="560"/>
      <c r="D21" s="925"/>
      <c r="E21" s="925"/>
      <c r="F21" s="925"/>
      <c r="G21" s="925"/>
      <c r="H21" s="925"/>
      <c r="L21" s="566"/>
      <c r="P21" s="774"/>
      <c r="W21" s="558"/>
      <c r="AC21" s="563"/>
      <c r="AD21" s="564"/>
      <c r="AE21" s="564"/>
      <c r="AF21" s="564"/>
      <c r="AG21" s="564"/>
      <c r="AH21" s="564"/>
      <c r="AI21" s="564"/>
      <c r="AJ21" s="557"/>
      <c r="AK21" s="564"/>
      <c r="AL21" s="564"/>
      <c r="AM21" s="564"/>
      <c r="AN21" s="564"/>
      <c r="AO21" s="565"/>
    </row>
    <row r="22" spans="1:41" s="556" customFormat="1">
      <c r="A22" s="559"/>
      <c r="B22" s="559"/>
      <c r="C22" s="560"/>
      <c r="E22" s="558"/>
      <c r="O22" s="558"/>
      <c r="W22" s="567"/>
      <c r="AC22" s="563"/>
      <c r="AD22" s="564"/>
      <c r="AE22" s="564"/>
      <c r="AF22" s="564"/>
      <c r="AG22" s="564"/>
      <c r="AH22" s="564"/>
      <c r="AI22" s="564"/>
      <c r="AJ22" s="557"/>
      <c r="AK22" s="564"/>
      <c r="AL22" s="564"/>
      <c r="AM22" s="564"/>
      <c r="AN22" s="564"/>
      <c r="AO22" s="565"/>
    </row>
    <row r="23" spans="1:41" s="556" customFormat="1" ht="66.75" customHeight="1">
      <c r="A23" s="559"/>
      <c r="B23" s="559"/>
      <c r="C23" s="560"/>
      <c r="D23" s="925"/>
      <c r="E23" s="925"/>
      <c r="F23" s="925"/>
      <c r="G23" s="925"/>
      <c r="H23" s="925"/>
      <c r="W23" s="558"/>
      <c r="AC23" s="563"/>
      <c r="AD23" s="564"/>
      <c r="AE23" s="564"/>
      <c r="AF23" s="564"/>
      <c r="AG23" s="564"/>
      <c r="AH23" s="564"/>
      <c r="AI23" s="564"/>
      <c r="AJ23" s="557"/>
      <c r="AK23" s="564"/>
      <c r="AL23" s="564"/>
      <c r="AM23" s="564"/>
      <c r="AN23" s="564"/>
      <c r="AO23" s="565"/>
    </row>
    <row r="24" spans="1:41" s="556" customFormat="1">
      <c r="A24" s="561"/>
      <c r="B24" s="561"/>
      <c r="C24" s="562"/>
      <c r="E24" s="558"/>
      <c r="W24" s="558"/>
      <c r="AC24" s="563"/>
      <c r="AD24" s="564"/>
      <c r="AE24" s="564"/>
      <c r="AF24" s="564"/>
      <c r="AG24" s="564"/>
      <c r="AH24" s="564"/>
      <c r="AI24" s="564"/>
      <c r="AJ24" s="557"/>
      <c r="AK24" s="564"/>
      <c r="AL24" s="564"/>
      <c r="AM24" s="564"/>
      <c r="AN24" s="564"/>
      <c r="AO24" s="565"/>
    </row>
    <row r="25" spans="1:41" s="556" customFormat="1">
      <c r="A25" s="559"/>
      <c r="B25" s="559"/>
      <c r="C25" s="560"/>
      <c r="E25" s="558"/>
      <c r="W25" s="558"/>
      <c r="AC25" s="563"/>
      <c r="AD25" s="564"/>
      <c r="AE25" s="564"/>
      <c r="AF25" s="564"/>
      <c r="AG25" s="564"/>
      <c r="AH25" s="564"/>
      <c r="AI25" s="564"/>
      <c r="AJ25" s="557"/>
      <c r="AK25" s="564"/>
      <c r="AL25" s="564"/>
      <c r="AM25" s="564"/>
      <c r="AN25" s="564"/>
      <c r="AO25" s="565"/>
    </row>
    <row r="26" spans="1:41" s="556" customFormat="1">
      <c r="C26" s="557"/>
      <c r="E26" s="558"/>
      <c r="G26" s="558"/>
      <c r="AC26" s="563"/>
      <c r="AD26" s="564"/>
      <c r="AE26" s="564"/>
      <c r="AF26" s="564"/>
      <c r="AG26" s="564"/>
      <c r="AH26" s="564"/>
      <c r="AI26" s="564"/>
      <c r="AJ26" s="557"/>
      <c r="AK26" s="564"/>
      <c r="AL26" s="564"/>
      <c r="AM26" s="564"/>
      <c r="AN26" s="564"/>
      <c r="AO26" s="565"/>
    </row>
    <row r="27" spans="1:41" s="556" customFormat="1">
      <c r="C27" s="557"/>
      <c r="E27" s="558"/>
      <c r="G27" s="558"/>
      <c r="R27" s="563"/>
      <c r="S27" s="564"/>
      <c r="T27" s="565"/>
      <c r="U27" s="565"/>
      <c r="V27" s="565"/>
      <c r="W27" s="568"/>
      <c r="AC27" s="563"/>
      <c r="AD27" s="564"/>
      <c r="AE27" s="564"/>
      <c r="AF27" s="564"/>
      <c r="AG27" s="564"/>
      <c r="AH27" s="564"/>
      <c r="AI27" s="564"/>
      <c r="AJ27" s="557"/>
      <c r="AK27" s="564"/>
      <c r="AL27" s="564"/>
      <c r="AM27" s="564"/>
      <c r="AN27" s="564"/>
      <c r="AO27" s="565"/>
    </row>
    <row r="28" spans="1:41" s="556" customFormat="1">
      <c r="C28" s="557"/>
      <c r="E28" s="558"/>
      <c r="G28" s="558"/>
      <c r="R28" s="563"/>
      <c r="S28" s="564"/>
      <c r="T28" s="565"/>
      <c r="U28" s="565"/>
      <c r="V28" s="565"/>
      <c r="W28" s="568"/>
      <c r="AC28" s="563"/>
      <c r="AD28" s="564"/>
      <c r="AE28" s="564"/>
      <c r="AF28" s="564"/>
      <c r="AG28" s="564"/>
      <c r="AH28" s="564"/>
      <c r="AI28" s="564"/>
      <c r="AJ28" s="557"/>
      <c r="AK28" s="564"/>
      <c r="AL28" s="564"/>
      <c r="AM28" s="564"/>
      <c r="AN28" s="564"/>
      <c r="AO28" s="565"/>
    </row>
    <row r="29" spans="1:41" s="556" customFormat="1">
      <c r="C29" s="557"/>
      <c r="E29" s="558"/>
      <c r="G29" s="558"/>
      <c r="R29" s="563"/>
      <c r="S29" s="564"/>
      <c r="T29" s="565"/>
      <c r="U29" s="565"/>
      <c r="V29" s="565"/>
      <c r="W29" s="568"/>
      <c r="AC29" s="563"/>
      <c r="AD29" s="564"/>
      <c r="AE29" s="564"/>
      <c r="AF29" s="564"/>
      <c r="AG29" s="564"/>
      <c r="AH29" s="564"/>
      <c r="AI29" s="564"/>
      <c r="AJ29" s="557"/>
      <c r="AK29" s="564"/>
      <c r="AL29" s="564"/>
      <c r="AM29" s="564"/>
      <c r="AN29" s="564"/>
      <c r="AO29" s="565"/>
    </row>
    <row r="30" spans="1:41" s="556" customFormat="1">
      <c r="C30" s="557"/>
      <c r="E30" s="558"/>
      <c r="G30" s="558"/>
      <c r="R30" s="563"/>
      <c r="S30" s="564"/>
      <c r="T30" s="565"/>
      <c r="U30" s="565"/>
      <c r="V30" s="565"/>
      <c r="W30" s="568"/>
      <c r="AO30" s="558"/>
    </row>
    <row r="31" spans="1:41" s="556" customFormat="1">
      <c r="C31" s="557"/>
      <c r="E31" s="558"/>
      <c r="G31" s="558"/>
      <c r="R31" s="563"/>
      <c r="S31" s="564"/>
      <c r="T31" s="565"/>
      <c r="U31" s="565"/>
      <c r="V31" s="565"/>
      <c r="W31" s="568"/>
    </row>
    <row r="32" spans="1:41" s="556" customFormat="1">
      <c r="C32" s="557"/>
      <c r="E32" s="558"/>
      <c r="G32" s="558"/>
      <c r="R32" s="563"/>
      <c r="S32" s="564"/>
      <c r="T32" s="565"/>
      <c r="U32" s="565"/>
      <c r="V32" s="565"/>
      <c r="W32" s="568"/>
    </row>
    <row r="33" spans="1:23" s="556" customFormat="1">
      <c r="C33" s="557"/>
      <c r="E33" s="558"/>
      <c r="G33" s="558"/>
      <c r="R33" s="563"/>
      <c r="S33" s="564"/>
      <c r="T33" s="565"/>
      <c r="U33" s="565"/>
      <c r="V33" s="565"/>
      <c r="W33" s="568"/>
    </row>
    <row r="34" spans="1:23" s="556" customFormat="1">
      <c r="C34" s="557"/>
      <c r="E34" s="558"/>
      <c r="G34" s="558"/>
      <c r="R34" s="563"/>
      <c r="S34" s="564"/>
      <c r="T34" s="565"/>
      <c r="U34" s="565"/>
      <c r="V34" s="565"/>
      <c r="W34" s="568"/>
    </row>
    <row r="35" spans="1:23" s="556" customFormat="1">
      <c r="C35" s="557"/>
      <c r="E35" s="558"/>
      <c r="G35" s="558"/>
      <c r="R35" s="563"/>
      <c r="S35" s="564"/>
      <c r="T35" s="565"/>
      <c r="U35" s="565"/>
      <c r="V35" s="565"/>
      <c r="W35" s="568"/>
    </row>
    <row r="36" spans="1:23" s="556" customFormat="1">
      <c r="C36" s="557"/>
      <c r="E36" s="558"/>
      <c r="G36" s="558"/>
      <c r="R36" s="563"/>
      <c r="S36" s="564"/>
      <c r="T36" s="565"/>
      <c r="U36" s="565"/>
      <c r="V36" s="565"/>
      <c r="W36" s="568"/>
    </row>
    <row r="37" spans="1:23">
      <c r="A37" s="556"/>
      <c r="B37" s="556"/>
      <c r="C37" s="557"/>
      <c r="D37" s="556"/>
      <c r="E37" s="558"/>
      <c r="F37" s="556"/>
      <c r="G37" s="558"/>
      <c r="H37" s="556"/>
      <c r="I37" s="556"/>
      <c r="J37" s="556"/>
      <c r="K37" s="556"/>
    </row>
    <row r="38" spans="1:23">
      <c r="A38" s="556"/>
      <c r="B38" s="556"/>
      <c r="C38" s="557"/>
      <c r="D38" s="556"/>
      <c r="E38" s="558"/>
      <c r="F38" s="556"/>
      <c r="G38" s="558"/>
      <c r="H38" s="556"/>
      <c r="I38" s="556"/>
      <c r="J38" s="556"/>
      <c r="K38" s="556"/>
    </row>
    <row r="39" spans="1:23">
      <c r="A39" s="556"/>
      <c r="B39" s="556"/>
      <c r="C39" s="557"/>
      <c r="D39" s="556"/>
      <c r="E39" s="558"/>
      <c r="F39" s="556"/>
      <c r="G39" s="558"/>
      <c r="H39" s="556"/>
      <c r="I39" s="556"/>
      <c r="J39" s="556"/>
      <c r="K39" s="556"/>
    </row>
    <row r="40" spans="1:23">
      <c r="A40" s="556"/>
      <c r="B40" s="556"/>
      <c r="C40" s="557"/>
      <c r="D40" s="556"/>
      <c r="E40" s="558"/>
      <c r="F40" s="556"/>
      <c r="G40" s="558"/>
      <c r="H40" s="556"/>
      <c r="I40" s="556"/>
      <c r="J40" s="556"/>
      <c r="K40" s="556"/>
    </row>
    <row r="41" spans="1:23">
      <c r="A41" s="556"/>
      <c r="B41" s="556"/>
      <c r="C41" s="557"/>
      <c r="D41" s="556"/>
      <c r="E41" s="558"/>
      <c r="F41" s="556"/>
      <c r="G41" s="558"/>
      <c r="H41" s="556"/>
      <c r="I41" s="556"/>
      <c r="J41" s="556"/>
      <c r="K41" s="556"/>
    </row>
    <row r="42" spans="1:23" ht="14.25" customHeight="1">
      <c r="A42" s="186"/>
      <c r="B42" s="186"/>
      <c r="C42" s="207"/>
      <c r="D42" s="186"/>
      <c r="E42" s="554"/>
      <c r="F42" s="186"/>
      <c r="G42" s="554"/>
      <c r="H42" s="186"/>
      <c r="I42" s="186"/>
      <c r="J42" s="186"/>
      <c r="K42" s="186"/>
    </row>
    <row r="43" spans="1:23">
      <c r="A43" s="204"/>
      <c r="B43" s="204"/>
      <c r="C43" s="555"/>
      <c r="D43" s="204"/>
      <c r="E43" s="554"/>
      <c r="F43" s="186"/>
      <c r="G43" s="554"/>
      <c r="H43" s="186"/>
      <c r="I43" s="186"/>
      <c r="J43" s="186"/>
      <c r="K43" s="186"/>
    </row>
    <row r="44" spans="1:23" ht="14.25" customHeight="1">
      <c r="A44" s="186"/>
      <c r="B44" s="186"/>
      <c r="C44" s="207"/>
      <c r="D44" s="186"/>
      <c r="E44" s="554"/>
      <c r="F44" s="186"/>
      <c r="G44" s="554"/>
      <c r="H44" s="186"/>
      <c r="I44" s="186"/>
      <c r="J44" s="186"/>
      <c r="K44" s="186"/>
    </row>
    <row r="45" spans="1:23">
      <c r="A45" s="126"/>
      <c r="B45" s="126"/>
      <c r="C45" s="127"/>
      <c r="D45" s="126"/>
    </row>
    <row r="46" spans="1:23" ht="14.25" customHeight="1"/>
  </sheetData>
  <mergeCells count="3">
    <mergeCell ref="D19:H19"/>
    <mergeCell ref="D21:H21"/>
    <mergeCell ref="D23:H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:M17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opLeftCell="A13" workbookViewId="0"/>
  </sheetViews>
  <sheetFormatPr defaultRowHeight="14.25"/>
  <cols>
    <col min="1" max="1" width="14" style="13" customWidth="1"/>
    <col min="2" max="2" width="16.5703125" style="112" customWidth="1"/>
    <col min="3" max="3" width="13.85546875" style="112" bestFit="1" customWidth="1"/>
    <col min="4" max="4" width="6.28515625" style="13" bestFit="1" customWidth="1"/>
    <col min="5" max="5" width="12" style="13" bestFit="1" customWidth="1"/>
    <col min="6" max="6" width="15" style="13" bestFit="1" customWidth="1"/>
    <col min="7" max="7" width="13.85546875" style="13" bestFit="1" customWidth="1"/>
    <col min="8" max="8" width="5.42578125" style="13" customWidth="1"/>
    <col min="9" max="9" width="11.85546875" style="13" customWidth="1"/>
    <col min="10" max="10" width="15" style="13" bestFit="1" customWidth="1"/>
    <col min="11" max="11" width="13.85546875" style="13" bestFit="1" customWidth="1"/>
    <col min="12" max="12" width="7.140625" style="13" customWidth="1"/>
    <col min="13" max="13" width="12.7109375" style="13" customWidth="1"/>
    <col min="14" max="14" width="15" style="13" bestFit="1" customWidth="1"/>
    <col min="15" max="15" width="13.85546875" style="13" bestFit="1" customWidth="1"/>
    <col min="16" max="16" width="9.140625" style="13" customWidth="1"/>
    <col min="17" max="17" width="5.5703125" style="13" customWidth="1"/>
    <col min="18" max="18" width="9.140625" style="13" customWidth="1"/>
    <col min="19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209</v>
      </c>
    </row>
    <row r="5" spans="1:15" ht="15.75" thickBot="1">
      <c r="A5" s="1"/>
    </row>
    <row r="6" spans="1:15" ht="15">
      <c r="A6" s="935" t="s">
        <v>210</v>
      </c>
      <c r="B6" s="935"/>
      <c r="C6" s="935"/>
      <c r="D6" s="935"/>
      <c r="E6" s="935"/>
      <c r="F6" s="1"/>
    </row>
    <row r="7" spans="1:15" ht="15">
      <c r="A7" s="131" t="s">
        <v>211</v>
      </c>
      <c r="B7" s="132"/>
      <c r="C7" s="132"/>
      <c r="D7" s="133"/>
      <c r="E7" s="134"/>
      <c r="F7" s="1"/>
    </row>
    <row r="8" spans="1:15" ht="15" thickBot="1">
      <c r="B8" s="13"/>
      <c r="C8" s="13"/>
    </row>
    <row r="9" spans="1:15" s="135" customFormat="1" ht="30.75" customHeight="1" thickBot="1">
      <c r="A9" s="929" t="str">
        <f>'10_Assuntos_+_demadados_2023'!A7</f>
        <v>Cadastro Único (CadÚnico)</v>
      </c>
      <c r="B9" s="930"/>
      <c r="C9" s="931"/>
      <c r="E9" s="929" t="str">
        <f>'10_Assuntos_+_demadados_2023'!A8</f>
        <v>Buraco e Pavimentação</v>
      </c>
      <c r="F9" s="930"/>
      <c r="G9" s="931"/>
      <c r="I9" s="926" t="str">
        <f>'10_Assuntos_+_demadados_2023'!A9</f>
        <v>Qualidade de atendimento</v>
      </c>
      <c r="J9" s="927"/>
      <c r="K9" s="928"/>
      <c r="M9" s="929" t="str">
        <f>'10_Assuntos_+_demadados_2023'!A10</f>
        <v>Árvore</v>
      </c>
      <c r="N9" s="930"/>
      <c r="O9" s="931"/>
    </row>
    <row r="10" spans="1:15" ht="15.75" thickBot="1">
      <c r="A10" s="882" t="s">
        <v>2</v>
      </c>
      <c r="B10" s="4" t="s">
        <v>212</v>
      </c>
      <c r="C10" s="881" t="s">
        <v>213</v>
      </c>
      <c r="E10" s="882" t="s">
        <v>2</v>
      </c>
      <c r="F10" s="136" t="s">
        <v>212</v>
      </c>
      <c r="G10" s="884" t="s">
        <v>213</v>
      </c>
      <c r="I10" s="882" t="s">
        <v>2</v>
      </c>
      <c r="J10" s="136" t="s">
        <v>212</v>
      </c>
      <c r="K10" s="884" t="s">
        <v>213</v>
      </c>
      <c r="M10" s="882" t="s">
        <v>2</v>
      </c>
      <c r="N10" s="136" t="s">
        <v>212</v>
      </c>
      <c r="O10" s="884" t="s">
        <v>213</v>
      </c>
    </row>
    <row r="11" spans="1:15" ht="15">
      <c r="A11" s="868">
        <v>44927</v>
      </c>
      <c r="B11" s="8">
        <f>'10_Assuntos_+_demadados_2023'!M7</f>
        <v>501</v>
      </c>
      <c r="C11" s="878">
        <f>((B11-372)/372)*100</f>
        <v>34.677419354838712</v>
      </c>
      <c r="E11" s="868">
        <v>44927</v>
      </c>
      <c r="F11" s="137">
        <f>'10_Assuntos_+_demadados_2023'!M8</f>
        <v>263</v>
      </c>
      <c r="G11" s="869">
        <f>((F11-286)/286)*100</f>
        <v>-8.0419580419580416</v>
      </c>
      <c r="I11" s="868">
        <v>44927</v>
      </c>
      <c r="J11" s="137">
        <f>'10_Assuntos_+_demadados_2023'!M9</f>
        <v>337</v>
      </c>
      <c r="K11" s="869">
        <f>((J11-182)/182)*100</f>
        <v>85.164835164835168</v>
      </c>
      <c r="M11" s="868">
        <v>44927</v>
      </c>
      <c r="N11" s="137">
        <f>'10_Assuntos_+_demadados_2023'!M10</f>
        <v>301</v>
      </c>
      <c r="O11" s="869">
        <f>((N11-196)/196)*100</f>
        <v>53.571428571428569</v>
      </c>
    </row>
    <row r="12" spans="1:15" ht="15">
      <c r="A12" s="870">
        <v>44958</v>
      </c>
      <c r="B12" s="15">
        <f>'10_Assuntos_+_demadados_2023'!L7</f>
        <v>484</v>
      </c>
      <c r="C12" s="878">
        <f t="shared" ref="C12:C18" si="0">((B12-B11)/B11)*100</f>
        <v>-3.3932135728542914</v>
      </c>
      <c r="E12" s="870">
        <v>44958</v>
      </c>
      <c r="F12" s="138">
        <f>'10_Assuntos_+_demadados_2023'!L8</f>
        <v>290</v>
      </c>
      <c r="G12" s="869">
        <f t="shared" ref="G12:G18" si="1">((F12-F11)/F11)*100</f>
        <v>10.266159695817491</v>
      </c>
      <c r="I12" s="870">
        <v>44958</v>
      </c>
      <c r="J12" s="138">
        <f>'10_Assuntos_+_demadados_2023'!L9</f>
        <v>325</v>
      </c>
      <c r="K12" s="869">
        <f t="shared" ref="K12:K18" si="2">((J12-J11)/J11)*100</f>
        <v>-3.5608308605341246</v>
      </c>
      <c r="M12" s="870">
        <v>44958</v>
      </c>
      <c r="N12" s="138">
        <f>'10_Assuntos_+_demadados_2023'!L10</f>
        <v>265</v>
      </c>
      <c r="O12" s="869">
        <f t="shared" ref="O12:O18" si="3">((N12-N11)/N11)*100</f>
        <v>-11.960132890365449</v>
      </c>
    </row>
    <row r="13" spans="1:15" ht="15">
      <c r="A13" s="870">
        <v>44986</v>
      </c>
      <c r="B13" s="15">
        <f>'10_Assuntos_+_demadados_2023'!K7</f>
        <v>844</v>
      </c>
      <c r="C13" s="878">
        <f t="shared" si="0"/>
        <v>74.380165289256198</v>
      </c>
      <c r="E13" s="870">
        <v>44986</v>
      </c>
      <c r="F13" s="138">
        <f>'10_Assuntos_+_demadados_2023'!K8</f>
        <v>313</v>
      </c>
      <c r="G13" s="869">
        <f t="shared" si="1"/>
        <v>7.931034482758621</v>
      </c>
      <c r="I13" s="870">
        <v>44986</v>
      </c>
      <c r="J13" s="138">
        <f>'10_Assuntos_+_demadados_2023'!K9</f>
        <v>347</v>
      </c>
      <c r="K13" s="869">
        <f t="shared" si="2"/>
        <v>6.7692307692307692</v>
      </c>
      <c r="M13" s="870">
        <v>44986</v>
      </c>
      <c r="N13" s="138">
        <f>'10_Assuntos_+_demadados_2023'!K10</f>
        <v>270</v>
      </c>
      <c r="O13" s="869">
        <f t="shared" si="3"/>
        <v>1.8867924528301887</v>
      </c>
    </row>
    <row r="14" spans="1:15" ht="15">
      <c r="A14" s="870">
        <v>45017</v>
      </c>
      <c r="B14" s="15">
        <f>'10_Assuntos_+_demadados_2023'!J$7</f>
        <v>981</v>
      </c>
      <c r="C14" s="878">
        <f t="shared" si="0"/>
        <v>16.232227488151661</v>
      </c>
      <c r="E14" s="870">
        <v>45017</v>
      </c>
      <c r="F14" s="138">
        <f>'10_Assuntos_+_demadados_2023'!J$8</f>
        <v>379</v>
      </c>
      <c r="G14" s="869">
        <f t="shared" si="1"/>
        <v>21.08626198083067</v>
      </c>
      <c r="I14" s="870">
        <v>45017</v>
      </c>
      <c r="J14" s="138">
        <f>'10_Assuntos_+_demadados_2023'!J$9</f>
        <v>253</v>
      </c>
      <c r="K14" s="869">
        <f t="shared" si="2"/>
        <v>-27.089337175792505</v>
      </c>
      <c r="M14" s="870">
        <v>45017</v>
      </c>
      <c r="N14" s="138">
        <f>'10_Assuntos_+_demadados_2023'!J$10</f>
        <v>231</v>
      </c>
      <c r="O14" s="869">
        <f t="shared" si="3"/>
        <v>-14.444444444444443</v>
      </c>
    </row>
    <row r="15" spans="1:15" ht="15">
      <c r="A15" s="870">
        <v>45047</v>
      </c>
      <c r="B15" s="15">
        <f>'10_Assuntos_+_demadados_2023'!I$7</f>
        <v>801</v>
      </c>
      <c r="C15" s="878">
        <f t="shared" si="0"/>
        <v>-18.348623853211009</v>
      </c>
      <c r="E15" s="870">
        <v>45047</v>
      </c>
      <c r="F15" s="138">
        <f>'10_Assuntos_+_demadados_2023'!I$8</f>
        <v>460</v>
      </c>
      <c r="G15" s="869">
        <f t="shared" si="1"/>
        <v>21.372031662269126</v>
      </c>
      <c r="I15" s="870">
        <v>45047</v>
      </c>
      <c r="J15" s="138">
        <f>'10_Assuntos_+_demadados_2023'!I$9</f>
        <v>333</v>
      </c>
      <c r="K15" s="869">
        <f t="shared" si="2"/>
        <v>31.620553359683797</v>
      </c>
      <c r="M15" s="870">
        <v>45047</v>
      </c>
      <c r="N15" s="138">
        <f>'10_Assuntos_+_demadados_2023'!I$10</f>
        <v>252</v>
      </c>
      <c r="O15" s="869">
        <f t="shared" si="3"/>
        <v>9.0909090909090917</v>
      </c>
    </row>
    <row r="16" spans="1:15" ht="15">
      <c r="A16" s="870">
        <v>45078</v>
      </c>
      <c r="B16" s="15">
        <f>'10_Assuntos_+_demadados_2023'!H$7</f>
        <v>727</v>
      </c>
      <c r="C16" s="878">
        <f t="shared" si="0"/>
        <v>-9.238451935081148</v>
      </c>
      <c r="E16" s="870">
        <v>45078</v>
      </c>
      <c r="F16" s="138">
        <f>'10_Assuntos_+_demadados_2023'!H$8</f>
        <v>529</v>
      </c>
      <c r="G16" s="869">
        <f t="shared" si="1"/>
        <v>15</v>
      </c>
      <c r="I16" s="870">
        <v>45078</v>
      </c>
      <c r="J16" s="138">
        <f>'10_Assuntos_+_demadados_2023'!H$9</f>
        <v>320</v>
      </c>
      <c r="K16" s="869">
        <f t="shared" si="2"/>
        <v>-3.9039039039039038</v>
      </c>
      <c r="M16" s="870">
        <v>45078</v>
      </c>
      <c r="N16" s="138">
        <f>'10_Assuntos_+_demadados_2023'!H$10</f>
        <v>282</v>
      </c>
      <c r="O16" s="869">
        <f t="shared" si="3"/>
        <v>11.904761904761903</v>
      </c>
    </row>
    <row r="17" spans="1:15" ht="15">
      <c r="A17" s="870">
        <v>45108</v>
      </c>
      <c r="B17" s="15">
        <f>'10_Assuntos_+_demadados_2023'!G$7</f>
        <v>369</v>
      </c>
      <c r="C17" s="878">
        <f t="shared" si="0"/>
        <v>-49.243466299862447</v>
      </c>
      <c r="E17" s="870">
        <v>45108</v>
      </c>
      <c r="F17" s="138">
        <f>'10_Assuntos_+_demadados_2023'!G$8</f>
        <v>523</v>
      </c>
      <c r="G17" s="869">
        <f t="shared" si="1"/>
        <v>-1.1342155009451798</v>
      </c>
      <c r="I17" s="870">
        <v>45108</v>
      </c>
      <c r="J17" s="138">
        <f>'10_Assuntos_+_demadados_2023'!G$9</f>
        <v>291</v>
      </c>
      <c r="K17" s="869">
        <f t="shared" si="2"/>
        <v>-9.0625</v>
      </c>
      <c r="M17" s="870">
        <v>45108</v>
      </c>
      <c r="N17" s="138">
        <f>'10_Assuntos_+_demadados_2023'!G$10</f>
        <v>300</v>
      </c>
      <c r="O17" s="869">
        <f t="shared" si="3"/>
        <v>6.3829787234042552</v>
      </c>
    </row>
    <row r="18" spans="1:15" ht="15">
      <c r="A18" s="870">
        <v>45139</v>
      </c>
      <c r="B18" s="15">
        <f>'10_Assuntos_+_demadados_2023'!F$7</f>
        <v>489</v>
      </c>
      <c r="C18" s="878">
        <f t="shared" si="0"/>
        <v>32.520325203252028</v>
      </c>
      <c r="E18" s="870">
        <v>45139</v>
      </c>
      <c r="F18" s="138">
        <f>'10_Assuntos_+_demadados_2023'!F$8</f>
        <v>467</v>
      </c>
      <c r="G18" s="869">
        <f t="shared" si="1"/>
        <v>-10.707456978967496</v>
      </c>
      <c r="I18" s="870">
        <v>45139</v>
      </c>
      <c r="J18" s="138">
        <f>'10_Assuntos_+_demadados_2023'!F$9</f>
        <v>351</v>
      </c>
      <c r="K18" s="869">
        <f t="shared" si="2"/>
        <v>20.618556701030926</v>
      </c>
      <c r="M18" s="870">
        <v>45139</v>
      </c>
      <c r="N18" s="138">
        <f>'10_Assuntos_+_demadados_2023'!F$10</f>
        <v>298</v>
      </c>
      <c r="O18" s="869">
        <f t="shared" si="3"/>
        <v>-0.66666666666666674</v>
      </c>
    </row>
    <row r="19" spans="1:15" ht="15">
      <c r="A19" s="870">
        <v>45170</v>
      </c>
      <c r="B19" s="15">
        <f>'10_Assuntos_+_demadados_2023'!E$7</f>
        <v>447</v>
      </c>
      <c r="C19" s="878">
        <f t="shared" ref="C19:C22" si="4">((B19-B18)/B18)*100</f>
        <v>-8.5889570552147241</v>
      </c>
      <c r="E19" s="870">
        <v>45170</v>
      </c>
      <c r="F19" s="138">
        <f>'10_Assuntos_+_demadados_2023'!E$8</f>
        <v>420</v>
      </c>
      <c r="G19" s="869">
        <f t="shared" ref="G19:G22" si="5">((F19-F18)/F18)*100</f>
        <v>-10.06423982869379</v>
      </c>
      <c r="I19" s="870">
        <v>45170</v>
      </c>
      <c r="J19" s="138">
        <f>'10_Assuntos_+_demadados_2023'!E$9</f>
        <v>339</v>
      </c>
      <c r="K19" s="869">
        <f t="shared" ref="K19:K22" si="6">((J19-J18)/J18)*100</f>
        <v>-3.4188034188034191</v>
      </c>
      <c r="M19" s="870">
        <v>45170</v>
      </c>
      <c r="N19" s="138">
        <f>'10_Assuntos_+_demadados_2023'!E$10</f>
        <v>229</v>
      </c>
      <c r="O19" s="869">
        <f t="shared" ref="O19:O22" si="7">((N19-N18)/N18)*100</f>
        <v>-23.154362416107382</v>
      </c>
    </row>
    <row r="20" spans="1:15" ht="15">
      <c r="A20" s="870">
        <v>45200</v>
      </c>
      <c r="B20" s="15">
        <f>'10_Assuntos_+_demadados_2023'!D$7</f>
        <v>708</v>
      </c>
      <c r="C20" s="878">
        <f t="shared" si="4"/>
        <v>58.389261744966447</v>
      </c>
      <c r="E20" s="870">
        <v>45200</v>
      </c>
      <c r="F20" s="15">
        <f>'10_Assuntos_+_demadados_2023'!D$8</f>
        <v>407</v>
      </c>
      <c r="G20" s="878">
        <f t="shared" si="5"/>
        <v>-3.0952380952380953</v>
      </c>
      <c r="I20" s="870">
        <v>45200</v>
      </c>
      <c r="J20" s="138">
        <f>'10_Assuntos_+_demadados_2023'!D$9</f>
        <v>383</v>
      </c>
      <c r="K20" s="869">
        <f t="shared" si="6"/>
        <v>12.979351032448378</v>
      </c>
      <c r="M20" s="870">
        <v>45200</v>
      </c>
      <c r="N20" s="138">
        <f>'10_Assuntos_+_demadados_2023'!D$10</f>
        <v>293</v>
      </c>
      <c r="O20" s="869">
        <f t="shared" si="7"/>
        <v>27.947598253275107</v>
      </c>
    </row>
    <row r="21" spans="1:15" ht="15">
      <c r="A21" s="870">
        <v>45231</v>
      </c>
      <c r="B21" s="15">
        <f>'10_Assuntos_+_demadados_2023'!C$7</f>
        <v>489</v>
      </c>
      <c r="C21" s="878">
        <f t="shared" si="4"/>
        <v>-30.932203389830509</v>
      </c>
      <c r="E21" s="870">
        <v>45231</v>
      </c>
      <c r="F21" s="15">
        <f>'10_Assuntos_+_demadados_2023'!C$8</f>
        <v>317</v>
      </c>
      <c r="G21" s="878">
        <f t="shared" si="5"/>
        <v>-22.113022113022112</v>
      </c>
      <c r="I21" s="870">
        <v>45231</v>
      </c>
      <c r="J21" s="138">
        <f>'10_Assuntos_+_demadados_2023'!C$9</f>
        <v>245</v>
      </c>
      <c r="K21" s="869">
        <f t="shared" si="6"/>
        <v>-36.031331592689298</v>
      </c>
      <c r="M21" s="870">
        <v>45231</v>
      </c>
      <c r="N21" s="138">
        <f>'10_Assuntos_+_demadados_2023'!C$10</f>
        <v>293</v>
      </c>
      <c r="O21" s="869">
        <f t="shared" si="7"/>
        <v>0</v>
      </c>
    </row>
    <row r="22" spans="1:15" ht="15.75" thickBot="1">
      <c r="A22" s="871">
        <v>45261</v>
      </c>
      <c r="B22" s="885">
        <f>'10_Assuntos_+_demadados_2023'!B$7</f>
        <v>242</v>
      </c>
      <c r="C22" s="879">
        <f t="shared" si="4"/>
        <v>-50.511247443762784</v>
      </c>
      <c r="E22" s="871">
        <v>45261</v>
      </c>
      <c r="F22" s="885">
        <f>'10_Assuntos_+_demadados_2023'!B$8</f>
        <v>291</v>
      </c>
      <c r="G22" s="879">
        <f t="shared" si="5"/>
        <v>-8.2018927444794958</v>
      </c>
      <c r="I22" s="871">
        <v>45261</v>
      </c>
      <c r="J22" s="872">
        <f>'10_Assuntos_+_demadados_2023'!B$9</f>
        <v>175</v>
      </c>
      <c r="K22" s="873">
        <f t="shared" si="6"/>
        <v>-28.571428571428569</v>
      </c>
      <c r="M22" s="871">
        <v>45261</v>
      </c>
      <c r="N22" s="872">
        <f>'10_Assuntos_+_demadados_2023'!B$10</f>
        <v>218</v>
      </c>
      <c r="O22" s="873">
        <f t="shared" si="7"/>
        <v>-25.597269624573375</v>
      </c>
    </row>
    <row r="23" spans="1:15">
      <c r="B23" s="13"/>
      <c r="C23" s="13"/>
    </row>
    <row r="24" spans="1:15" ht="15" thickBot="1">
      <c r="B24" s="13"/>
      <c r="C24" s="13"/>
    </row>
    <row r="25" spans="1:15" s="135" customFormat="1" ht="30.75" customHeight="1" thickBot="1">
      <c r="A25" s="929" t="str">
        <f>'10_Assuntos_+_demadados_2023'!A11</f>
        <v>Estabelecimentos comerciais, indústrias e serviços</v>
      </c>
      <c r="B25" s="930"/>
      <c r="C25" s="931"/>
      <c r="E25" s="926" t="str">
        <f>'10_Assuntos_+_demadados_2023'!A12</f>
        <v>Poluição sonora - PSIU</v>
      </c>
      <c r="F25" s="927"/>
      <c r="G25" s="928"/>
      <c r="I25" s="932" t="str">
        <f>'10_Assuntos_+_demadados_2023'!A13</f>
        <v>Sinalização e Circulação de veículos e Pedestres</v>
      </c>
      <c r="J25" s="932"/>
      <c r="K25" s="932"/>
      <c r="M25" s="933" t="str">
        <f>'10_Assuntos_+_demadados_2023'!A14</f>
        <v>Calçadas, guias e postes</v>
      </c>
      <c r="N25" s="933"/>
      <c r="O25" s="933"/>
    </row>
    <row r="26" spans="1:15" ht="15.75" thickBot="1">
      <c r="A26" s="882" t="s">
        <v>2</v>
      </c>
      <c r="B26" s="139" t="s">
        <v>212</v>
      </c>
      <c r="C26" s="883" t="s">
        <v>213</v>
      </c>
      <c r="E26" s="880" t="s">
        <v>2</v>
      </c>
      <c r="F26" s="5" t="s">
        <v>212</v>
      </c>
      <c r="G26" s="881" t="s">
        <v>213</v>
      </c>
      <c r="I26" s="865" t="s">
        <v>2</v>
      </c>
      <c r="J26" s="866" t="s">
        <v>212</v>
      </c>
      <c r="K26" s="867" t="s">
        <v>213</v>
      </c>
      <c r="M26" s="865" t="s">
        <v>2</v>
      </c>
      <c r="N26" s="877" t="s">
        <v>212</v>
      </c>
      <c r="O26" s="867" t="s">
        <v>213</v>
      </c>
    </row>
    <row r="27" spans="1:15" ht="15">
      <c r="A27" s="868">
        <v>44927</v>
      </c>
      <c r="B27" s="137">
        <f>'10_Assuntos_+_demadados_2023'!M11</f>
        <v>113</v>
      </c>
      <c r="C27" s="869">
        <f>((B27-192)/192)*100</f>
        <v>-41.145833333333329</v>
      </c>
      <c r="E27" s="868">
        <v>44927</v>
      </c>
      <c r="F27" s="137">
        <f>'10_Assuntos_+_demadados_2023'!M12</f>
        <v>239</v>
      </c>
      <c r="G27" s="869">
        <f>((F27-108)/108)*100</f>
        <v>121.2962962962963</v>
      </c>
      <c r="I27" s="868">
        <v>44927</v>
      </c>
      <c r="J27" s="137">
        <f>'10_Assuntos_+_demadados_2023'!M13</f>
        <v>129</v>
      </c>
      <c r="K27" s="869">
        <f>((J27-117)/117)*100</f>
        <v>10.256410256410255</v>
      </c>
      <c r="M27" s="868">
        <v>44927</v>
      </c>
      <c r="N27" s="137">
        <f>'10_Assuntos_+_demadados_2023'!M14</f>
        <v>91</v>
      </c>
      <c r="O27" s="878">
        <f>((N27-89)/89)*100</f>
        <v>2.2471910112359552</v>
      </c>
    </row>
    <row r="28" spans="1:15" ht="15">
      <c r="A28" s="870">
        <v>44958</v>
      </c>
      <c r="B28" s="138">
        <f>'10_Assuntos_+_demadados_2023'!L11</f>
        <v>93</v>
      </c>
      <c r="C28" s="869">
        <f t="shared" ref="C28:C34" si="8">((B28-B27)/B27)*100</f>
        <v>-17.699115044247787</v>
      </c>
      <c r="E28" s="870">
        <v>44958</v>
      </c>
      <c r="F28" s="138">
        <f>'10_Assuntos_+_demadados_2023'!L12</f>
        <v>193</v>
      </c>
      <c r="G28" s="869">
        <f t="shared" ref="G28:G34" si="9">((F28-F27)/F27)*100</f>
        <v>-19.246861924686193</v>
      </c>
      <c r="I28" s="870">
        <v>44958</v>
      </c>
      <c r="J28" s="138">
        <f>'10_Assuntos_+_demadados_2023'!L13</f>
        <v>149</v>
      </c>
      <c r="K28" s="869">
        <f t="shared" ref="K28:K34" si="10">((J28-J27)/J27)*100</f>
        <v>15.503875968992247</v>
      </c>
      <c r="M28" s="870">
        <v>44958</v>
      </c>
      <c r="N28" s="138">
        <f>'10_Assuntos_+_demadados_2023'!L14</f>
        <v>139</v>
      </c>
      <c r="O28" s="878">
        <f t="shared" ref="O28:O33" si="11">((N28-N27)/N27)*100</f>
        <v>52.747252747252752</v>
      </c>
    </row>
    <row r="29" spans="1:15" ht="15">
      <c r="A29" s="870">
        <v>44986</v>
      </c>
      <c r="B29" s="138">
        <f>'10_Assuntos_+_demadados_2023'!K11</f>
        <v>164</v>
      </c>
      <c r="C29" s="869">
        <f t="shared" si="8"/>
        <v>76.344086021505376</v>
      </c>
      <c r="E29" s="870">
        <v>44986</v>
      </c>
      <c r="F29" s="138">
        <f>'10_Assuntos_+_demadados_2023'!K12</f>
        <v>215</v>
      </c>
      <c r="G29" s="869">
        <f t="shared" si="9"/>
        <v>11.398963730569948</v>
      </c>
      <c r="I29" s="870">
        <v>44986</v>
      </c>
      <c r="J29" s="138">
        <f>'10_Assuntos_+_demadados_2023'!K13</f>
        <v>164</v>
      </c>
      <c r="K29" s="869">
        <f t="shared" si="10"/>
        <v>10.067114093959731</v>
      </c>
      <c r="M29" s="870">
        <v>44986</v>
      </c>
      <c r="N29" s="138">
        <f>'10_Assuntos_+_demadados_2023'!K14</f>
        <v>157</v>
      </c>
      <c r="O29" s="878">
        <f t="shared" si="11"/>
        <v>12.949640287769784</v>
      </c>
    </row>
    <row r="30" spans="1:15" ht="15">
      <c r="A30" s="870">
        <v>45017</v>
      </c>
      <c r="B30" s="138">
        <f>'10_Assuntos_+_demadados_2023'!J$11</f>
        <v>101</v>
      </c>
      <c r="C30" s="869">
        <f t="shared" si="8"/>
        <v>-38.414634146341463</v>
      </c>
      <c r="E30" s="870">
        <v>45017</v>
      </c>
      <c r="F30" s="138">
        <f>'10_Assuntos_+_demadados_2023'!J$12</f>
        <v>160</v>
      </c>
      <c r="G30" s="869">
        <f t="shared" si="9"/>
        <v>-25.581395348837212</v>
      </c>
      <c r="I30" s="870">
        <v>45017</v>
      </c>
      <c r="J30" s="138">
        <f>'10_Assuntos_+_demadados_2023'!J$13</f>
        <v>128</v>
      </c>
      <c r="K30" s="869">
        <f t="shared" si="10"/>
        <v>-21.951219512195124</v>
      </c>
      <c r="M30" s="870">
        <v>45017</v>
      </c>
      <c r="N30" s="138">
        <f>'10_Assuntos_+_demadados_2023'!J$14</f>
        <v>116</v>
      </c>
      <c r="O30" s="878">
        <f t="shared" si="11"/>
        <v>-26.114649681528661</v>
      </c>
    </row>
    <row r="31" spans="1:15" ht="15">
      <c r="A31" s="870">
        <v>45047</v>
      </c>
      <c r="B31" s="138">
        <f>'10_Assuntos_+_demadados_2023'!I$11</f>
        <v>298</v>
      </c>
      <c r="C31" s="869">
        <f t="shared" si="8"/>
        <v>195.04950495049505</v>
      </c>
      <c r="E31" s="870">
        <v>45047</v>
      </c>
      <c r="F31" s="138">
        <f>'10_Assuntos_+_demadados_2023'!I$12</f>
        <v>196</v>
      </c>
      <c r="G31" s="869">
        <f t="shared" si="9"/>
        <v>22.5</v>
      </c>
      <c r="I31" s="870">
        <v>45047</v>
      </c>
      <c r="J31" s="138">
        <f>'10_Assuntos_+_demadados_2023'!I$13</f>
        <v>158</v>
      </c>
      <c r="K31" s="869">
        <f t="shared" si="10"/>
        <v>23.4375</v>
      </c>
      <c r="M31" s="870">
        <v>45047</v>
      </c>
      <c r="N31" s="138">
        <f>'10_Assuntos_+_demadados_2023'!I$14</f>
        <v>136</v>
      </c>
      <c r="O31" s="878">
        <f t="shared" si="11"/>
        <v>17.241379310344829</v>
      </c>
    </row>
    <row r="32" spans="1:15" ht="15">
      <c r="A32" s="870">
        <v>45078</v>
      </c>
      <c r="B32" s="138">
        <f>'10_Assuntos_+_demadados_2023'!H$11</f>
        <v>104</v>
      </c>
      <c r="C32" s="869">
        <f t="shared" si="8"/>
        <v>-65.100671140939596</v>
      </c>
      <c r="E32" s="870">
        <v>45078</v>
      </c>
      <c r="F32" s="138">
        <f>'10_Assuntos_+_demadados_2023'!H$12</f>
        <v>171</v>
      </c>
      <c r="G32" s="869">
        <f t="shared" si="9"/>
        <v>-12.755102040816327</v>
      </c>
      <c r="I32" s="870">
        <v>45078</v>
      </c>
      <c r="J32" s="138">
        <f>'10_Assuntos_+_demadados_2023'!H$13</f>
        <v>137</v>
      </c>
      <c r="K32" s="869">
        <f t="shared" si="10"/>
        <v>-13.291139240506327</v>
      </c>
      <c r="M32" s="870">
        <v>45078</v>
      </c>
      <c r="N32" s="138">
        <f>'10_Assuntos_+_demadados_2023'!H$14</f>
        <v>153</v>
      </c>
      <c r="O32" s="878">
        <f t="shared" si="11"/>
        <v>12.5</v>
      </c>
    </row>
    <row r="33" spans="1:15" ht="15">
      <c r="A33" s="870">
        <v>45108</v>
      </c>
      <c r="B33" s="138">
        <f>'10_Assuntos_+_demadados_2023'!G$11</f>
        <v>151</v>
      </c>
      <c r="C33" s="869">
        <f t="shared" si="8"/>
        <v>45.192307692307693</v>
      </c>
      <c r="E33" s="870">
        <v>45108</v>
      </c>
      <c r="F33" s="138">
        <f>'10_Assuntos_+_demadados_2023'!G$12</f>
        <v>204</v>
      </c>
      <c r="G33" s="869">
        <f t="shared" si="9"/>
        <v>19.298245614035086</v>
      </c>
      <c r="I33" s="870">
        <v>45108</v>
      </c>
      <c r="J33" s="138">
        <f>'10_Assuntos_+_demadados_2023'!G$13</f>
        <v>139</v>
      </c>
      <c r="K33" s="869">
        <f t="shared" si="10"/>
        <v>1.4598540145985401</v>
      </c>
      <c r="M33" s="870">
        <v>45108</v>
      </c>
      <c r="N33" s="138">
        <f>'10_Assuntos_+_demadados_2023'!G$14</f>
        <v>168</v>
      </c>
      <c r="O33" s="878">
        <f t="shared" si="11"/>
        <v>9.8039215686274517</v>
      </c>
    </row>
    <row r="34" spans="1:15" ht="15">
      <c r="A34" s="870">
        <v>45139</v>
      </c>
      <c r="B34" s="138">
        <f>'10_Assuntos_+_demadados_2023'!F$11</f>
        <v>122</v>
      </c>
      <c r="C34" s="869">
        <f t="shared" si="8"/>
        <v>-19.205298013245034</v>
      </c>
      <c r="E34" s="870">
        <v>45139</v>
      </c>
      <c r="F34" s="138">
        <f>'10_Assuntos_+_demadados_2023'!F$12</f>
        <v>207</v>
      </c>
      <c r="G34" s="869">
        <f t="shared" si="9"/>
        <v>1.4705882352941175</v>
      </c>
      <c r="I34" s="870">
        <v>45139</v>
      </c>
      <c r="J34" s="138">
        <f>'10_Assuntos_+_demadados_2023'!F$13</f>
        <v>176</v>
      </c>
      <c r="K34" s="869">
        <f t="shared" si="10"/>
        <v>26.618705035971225</v>
      </c>
      <c r="M34" s="870">
        <v>45139</v>
      </c>
      <c r="N34" s="138">
        <f>'10_Assuntos_+_demadados_2023'!F$14</f>
        <v>146</v>
      </c>
      <c r="O34" s="878">
        <f t="shared" ref="O34" si="12">((N34-N33)/N33)*100</f>
        <v>-13.095238095238097</v>
      </c>
    </row>
    <row r="35" spans="1:15" ht="15">
      <c r="A35" s="870">
        <v>45170</v>
      </c>
      <c r="B35" s="138">
        <f>'10_Assuntos_+_demadados_2023'!E$11</f>
        <v>302</v>
      </c>
      <c r="C35" s="869">
        <f t="shared" ref="C35:C38" si="13">((B35-B34)/B34)*100</f>
        <v>147.54098360655738</v>
      </c>
      <c r="E35" s="870">
        <v>45170</v>
      </c>
      <c r="F35" s="138">
        <f>'10_Assuntos_+_demadados_2023'!E$12</f>
        <v>200</v>
      </c>
      <c r="G35" s="869">
        <f t="shared" ref="G35:G38" si="14">((F35-F34)/F34)*100</f>
        <v>-3.3816425120772946</v>
      </c>
      <c r="I35" s="870">
        <v>45170</v>
      </c>
      <c r="J35" s="138">
        <f>'10_Assuntos_+_demadados_2023'!E$13</f>
        <v>137</v>
      </c>
      <c r="K35" s="869">
        <f t="shared" ref="K35:K38" si="15">((J35-J34)/J34)*100</f>
        <v>-22.15909090909091</v>
      </c>
      <c r="M35" s="870">
        <v>45170</v>
      </c>
      <c r="N35" s="138">
        <f>'10_Assuntos_+_demadados_2023'!E$14</f>
        <v>132</v>
      </c>
      <c r="O35" s="878">
        <f t="shared" ref="O35:O38" si="16">((N35-N34)/N34)*100</f>
        <v>-9.5890410958904102</v>
      </c>
    </row>
    <row r="36" spans="1:15" ht="15">
      <c r="A36" s="870">
        <v>45200</v>
      </c>
      <c r="B36" s="138">
        <f>'10_Assuntos_+_demadados_2023'!D$11</f>
        <v>239</v>
      </c>
      <c r="C36" s="869">
        <f t="shared" si="13"/>
        <v>-20.860927152317881</v>
      </c>
      <c r="E36" s="870">
        <v>45200</v>
      </c>
      <c r="F36" s="138">
        <f>'10_Assuntos_+_demadados_2023'!D$12</f>
        <v>216</v>
      </c>
      <c r="G36" s="869">
        <f t="shared" si="14"/>
        <v>8</v>
      </c>
      <c r="I36" s="870">
        <v>45200</v>
      </c>
      <c r="J36" s="138">
        <f>'10_Assuntos_+_demadados_2023'!D$13</f>
        <v>140</v>
      </c>
      <c r="K36" s="869">
        <f t="shared" si="15"/>
        <v>2.1897810218978102</v>
      </c>
      <c r="M36" s="870">
        <v>45200</v>
      </c>
      <c r="N36" s="138">
        <f>'10_Assuntos_+_demadados_2023'!D$14</f>
        <v>125</v>
      </c>
      <c r="O36" s="878">
        <f t="shared" si="16"/>
        <v>-5.3030303030303028</v>
      </c>
    </row>
    <row r="37" spans="1:15" ht="15">
      <c r="A37" s="870">
        <v>45231</v>
      </c>
      <c r="B37" s="138">
        <f>'10_Assuntos_+_demadados_2023'!C$11</f>
        <v>529</v>
      </c>
      <c r="C37" s="869">
        <f t="shared" si="13"/>
        <v>121.33891213389121</v>
      </c>
      <c r="E37" s="870">
        <v>45231</v>
      </c>
      <c r="F37" s="138">
        <f>'10_Assuntos_+_demadados_2023'!C$12</f>
        <v>210</v>
      </c>
      <c r="G37" s="869">
        <f t="shared" si="14"/>
        <v>-2.7777777777777777</v>
      </c>
      <c r="I37" s="870">
        <v>45231</v>
      </c>
      <c r="J37" s="138">
        <f>'10_Assuntos_+_demadados_2023'!C$13</f>
        <v>130</v>
      </c>
      <c r="K37" s="869">
        <f t="shared" si="15"/>
        <v>-7.1428571428571423</v>
      </c>
      <c r="M37" s="870">
        <v>45231</v>
      </c>
      <c r="N37" s="138">
        <f>'10_Assuntos_+_demadados_2023'!C$14</f>
        <v>117</v>
      </c>
      <c r="O37" s="878">
        <f t="shared" si="16"/>
        <v>-6.4</v>
      </c>
    </row>
    <row r="38" spans="1:15" ht="15.75" thickBot="1">
      <c r="A38" s="871">
        <v>45261</v>
      </c>
      <c r="B38" s="872">
        <f>'10_Assuntos_+_demadados_2023'!B$11</f>
        <v>170</v>
      </c>
      <c r="C38" s="873">
        <f t="shared" si="13"/>
        <v>-67.863894139886582</v>
      </c>
      <c r="E38" s="871">
        <v>45261</v>
      </c>
      <c r="F38" s="872">
        <f>'10_Assuntos_+_demadados_2023'!B$12</f>
        <v>173</v>
      </c>
      <c r="G38" s="873">
        <f t="shared" si="14"/>
        <v>-17.61904761904762</v>
      </c>
      <c r="I38" s="871">
        <v>45261</v>
      </c>
      <c r="J38" s="872">
        <f>'10_Assuntos_+_demadados_2023'!B$13</f>
        <v>135</v>
      </c>
      <c r="K38" s="873">
        <f t="shared" si="15"/>
        <v>3.8461538461538463</v>
      </c>
      <c r="M38" s="871">
        <v>45261</v>
      </c>
      <c r="N38" s="872">
        <f>'10_Assuntos_+_demadados_2023'!B$14</f>
        <v>136</v>
      </c>
      <c r="O38" s="879">
        <f t="shared" si="16"/>
        <v>16.239316239316238</v>
      </c>
    </row>
    <row r="39" spans="1:15">
      <c r="B39" s="13"/>
      <c r="C39" s="13"/>
    </row>
    <row r="40" spans="1:15" ht="15" thickBot="1">
      <c r="B40" s="13"/>
      <c r="C40" s="13"/>
    </row>
    <row r="41" spans="1:15" ht="30.75" customHeight="1" thickBot="1">
      <c r="A41" s="933" t="str">
        <f>'10_Assuntos_+_demadados_2023'!A15</f>
        <v>Veículos abandonados</v>
      </c>
      <c r="B41" s="933"/>
      <c r="C41" s="933"/>
      <c r="E41" s="934" t="str">
        <f>'10_Assuntos_+_demadados_2023'!A16</f>
        <v>Processo Administrativo</v>
      </c>
      <c r="F41" s="934"/>
      <c r="G41" s="934"/>
    </row>
    <row r="42" spans="1:15" ht="15.75" thickBot="1">
      <c r="A42" s="865" t="s">
        <v>2</v>
      </c>
      <c r="B42" s="866" t="s">
        <v>212</v>
      </c>
      <c r="C42" s="867" t="s">
        <v>213</v>
      </c>
      <c r="E42" s="4" t="s">
        <v>2</v>
      </c>
      <c r="F42" s="140" t="s">
        <v>212</v>
      </c>
      <c r="G42" s="140" t="s">
        <v>213</v>
      </c>
    </row>
    <row r="43" spans="1:15" ht="15">
      <c r="A43" s="868">
        <v>44927</v>
      </c>
      <c r="B43" s="138">
        <f>'10_Assuntos_+_demadados_2023'!M15</f>
        <v>107</v>
      </c>
      <c r="C43" s="869">
        <f>((B43-103)/103)*100</f>
        <v>3.8834951456310676</v>
      </c>
      <c r="E43" s="874">
        <v>44927</v>
      </c>
      <c r="F43" s="875">
        <f>'10_Assuntos_+_demadados_2023'!M16</f>
        <v>138</v>
      </c>
      <c r="G43" s="876">
        <f>((F43-99)/99)*100</f>
        <v>39.393939393939391</v>
      </c>
    </row>
    <row r="44" spans="1:15" ht="15">
      <c r="A44" s="870">
        <v>44958</v>
      </c>
      <c r="B44" s="138">
        <f>'10_Assuntos_+_demadados_2023'!L15</f>
        <v>122</v>
      </c>
      <c r="C44" s="869">
        <f t="shared" ref="C44:C49" si="17">((B44-B43)/B43)*100</f>
        <v>14.018691588785046</v>
      </c>
      <c r="E44" s="870">
        <v>44958</v>
      </c>
      <c r="F44" s="138">
        <f>'10_Assuntos_+_demadados_2023'!L16</f>
        <v>98</v>
      </c>
      <c r="G44" s="869">
        <f t="shared" ref="G44:G49" si="18">((F44-F43)/F43)*100</f>
        <v>-28.985507246376812</v>
      </c>
    </row>
    <row r="45" spans="1:15" ht="15">
      <c r="A45" s="870">
        <v>44986</v>
      </c>
      <c r="B45" s="138">
        <f>'10_Assuntos_+_demadados_2023'!K15</f>
        <v>108</v>
      </c>
      <c r="C45" s="869">
        <f t="shared" si="17"/>
        <v>-11.475409836065573</v>
      </c>
      <c r="E45" s="870">
        <v>44986</v>
      </c>
      <c r="F45" s="138">
        <f>'10_Assuntos_+_demadados_2023'!K16</f>
        <v>86</v>
      </c>
      <c r="G45" s="869">
        <f t="shared" si="18"/>
        <v>-12.244897959183673</v>
      </c>
    </row>
    <row r="46" spans="1:15" ht="15">
      <c r="A46" s="870">
        <v>45017</v>
      </c>
      <c r="B46" s="138">
        <f>'10_Assuntos_+_demadados_2023'!J$15</f>
        <v>116</v>
      </c>
      <c r="C46" s="869">
        <f t="shared" si="17"/>
        <v>7.4074074074074066</v>
      </c>
      <c r="E46" s="870">
        <v>45017</v>
      </c>
      <c r="F46" s="138">
        <f>'10_Assuntos_+_demadados_2023'!J$16</f>
        <v>91</v>
      </c>
      <c r="G46" s="869">
        <f t="shared" si="18"/>
        <v>5.8139534883720927</v>
      </c>
    </row>
    <row r="47" spans="1:15" ht="15">
      <c r="A47" s="870">
        <v>45047</v>
      </c>
      <c r="B47" s="138">
        <f>'10_Assuntos_+_demadados_2023'!I$15</f>
        <v>166</v>
      </c>
      <c r="C47" s="869">
        <f t="shared" si="17"/>
        <v>43.103448275862064</v>
      </c>
      <c r="E47" s="870">
        <v>45047</v>
      </c>
      <c r="F47" s="138">
        <f>'10_Assuntos_+_demadados_2023'!I$16</f>
        <v>132</v>
      </c>
      <c r="G47" s="869">
        <f t="shared" si="18"/>
        <v>45.054945054945058</v>
      </c>
    </row>
    <row r="48" spans="1:15" ht="15">
      <c r="A48" s="870">
        <v>45078</v>
      </c>
      <c r="B48" s="138">
        <f>'10_Assuntos_+_demadados_2023'!H$15</f>
        <v>118</v>
      </c>
      <c r="C48" s="869">
        <f t="shared" si="17"/>
        <v>-28.915662650602407</v>
      </c>
      <c r="E48" s="870">
        <v>45078</v>
      </c>
      <c r="F48" s="138">
        <f>'10_Assuntos_+_demadados_2023'!H$16</f>
        <v>137</v>
      </c>
      <c r="G48" s="869">
        <f t="shared" si="18"/>
        <v>3.7878787878787881</v>
      </c>
    </row>
    <row r="49" spans="1:7" ht="15">
      <c r="A49" s="870">
        <v>45108</v>
      </c>
      <c r="B49" s="138">
        <f>'10_Assuntos_+_demadados_2023'!G$15</f>
        <v>133</v>
      </c>
      <c r="C49" s="869">
        <f t="shared" si="17"/>
        <v>12.711864406779661</v>
      </c>
      <c r="E49" s="870">
        <v>45108</v>
      </c>
      <c r="F49" s="138">
        <f>'10_Assuntos_+_demadados_2023'!G$16</f>
        <v>126</v>
      </c>
      <c r="G49" s="869">
        <f t="shared" si="18"/>
        <v>-8.0291970802919703</v>
      </c>
    </row>
    <row r="50" spans="1:7" ht="15">
      <c r="A50" s="870">
        <v>45139</v>
      </c>
      <c r="B50" s="138">
        <f>'10_Assuntos_+_demadados_2023'!F$15</f>
        <v>134</v>
      </c>
      <c r="C50" s="869">
        <f t="shared" ref="C50" si="19">((B50-B49)/B49)*100</f>
        <v>0.75187969924812026</v>
      </c>
      <c r="E50" s="870">
        <v>45139</v>
      </c>
      <c r="F50" s="138">
        <f>'10_Assuntos_+_demadados_2023'!F$16</f>
        <v>140</v>
      </c>
      <c r="G50" s="869">
        <f t="shared" ref="G50" si="20">((F50-F49)/F49)*100</f>
        <v>11.111111111111111</v>
      </c>
    </row>
    <row r="51" spans="1:7" ht="15">
      <c r="A51" s="870">
        <v>45170</v>
      </c>
      <c r="B51" s="138">
        <f>'10_Assuntos_+_demadados_2023'!E$15</f>
        <v>133</v>
      </c>
      <c r="C51" s="869">
        <f t="shared" ref="C51:C54" si="21">((B51-B50)/B50)*100</f>
        <v>-0.74626865671641784</v>
      </c>
      <c r="E51" s="870">
        <v>45170</v>
      </c>
      <c r="F51" s="138">
        <f>'10_Assuntos_+_demadados_2023'!E$16</f>
        <v>126</v>
      </c>
      <c r="G51" s="869">
        <f t="shared" ref="G51:G54" si="22">((F51-F50)/F50)*100</f>
        <v>-10</v>
      </c>
    </row>
    <row r="52" spans="1:7" ht="15">
      <c r="A52" s="870">
        <v>45200</v>
      </c>
      <c r="B52" s="138">
        <f>'10_Assuntos_+_demadados_2023'!D$15</f>
        <v>165</v>
      </c>
      <c r="C52" s="869">
        <f t="shared" si="21"/>
        <v>24.060150375939848</v>
      </c>
      <c r="E52" s="870">
        <v>45200</v>
      </c>
      <c r="F52" s="138">
        <f>'10_Assuntos_+_demadados_2023'!D$16</f>
        <v>145</v>
      </c>
      <c r="G52" s="869">
        <f t="shared" si="22"/>
        <v>15.079365079365079</v>
      </c>
    </row>
    <row r="53" spans="1:7" ht="15">
      <c r="A53" s="870">
        <v>45231</v>
      </c>
      <c r="B53" s="138">
        <f>'10_Assuntos_+_demadados_2023'!C$15</f>
        <v>136</v>
      </c>
      <c r="C53" s="869">
        <f t="shared" si="21"/>
        <v>-17.575757575757574</v>
      </c>
      <c r="E53" s="870">
        <v>45231</v>
      </c>
      <c r="F53" s="138">
        <f>'10_Assuntos_+_demadados_2023'!C$16</f>
        <v>148</v>
      </c>
      <c r="G53" s="869">
        <f t="shared" si="22"/>
        <v>2.0689655172413794</v>
      </c>
    </row>
    <row r="54" spans="1:7" ht="15.75" thickBot="1">
      <c r="A54" s="871">
        <v>45261</v>
      </c>
      <c r="B54" s="872">
        <f>'10_Assuntos_+_demadados_2023'!B$15</f>
        <v>99</v>
      </c>
      <c r="C54" s="873">
        <f t="shared" si="21"/>
        <v>-27.205882352941174</v>
      </c>
      <c r="E54" s="871">
        <v>45261</v>
      </c>
      <c r="F54" s="872">
        <f>'10_Assuntos_+_demadados_2023'!B$16</f>
        <v>157</v>
      </c>
      <c r="G54" s="873">
        <f t="shared" si="22"/>
        <v>6.0810810810810816</v>
      </c>
    </row>
    <row r="55" spans="1:7">
      <c r="B55" s="13"/>
      <c r="C55" s="13"/>
    </row>
    <row r="56" spans="1:7">
      <c r="B56" s="13"/>
      <c r="C56" s="13"/>
    </row>
    <row r="61" spans="1:7" ht="15">
      <c r="A61" s="1"/>
    </row>
    <row r="65" spans="17:17">
      <c r="Q65" s="112"/>
    </row>
  </sheetData>
  <mergeCells count="11">
    <mergeCell ref="A41:C41"/>
    <mergeCell ref="E41:G41"/>
    <mergeCell ref="A6:E6"/>
    <mergeCell ref="A9:C9"/>
    <mergeCell ref="E9:G9"/>
    <mergeCell ref="I9:K9"/>
    <mergeCell ref="M9:O9"/>
    <mergeCell ref="A25:C25"/>
    <mergeCell ref="E25:G25"/>
    <mergeCell ref="I25:K25"/>
    <mergeCell ref="M25:O25"/>
  </mergeCells>
  <printOptions horizontalCentered="1" verticalCentered="1"/>
  <pageMargins left="0.511811023622047" right="0.511811023622047" top="0.78740157480315021" bottom="0.78740157480315021" header="0.31496062992126012" footer="0.31496062992126012"/>
  <pageSetup paperSize="0" fitToWidth="0" fitToHeight="0" orientation="landscape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zoomScaleNormal="100" workbookViewId="0"/>
  </sheetViews>
  <sheetFormatPr defaultRowHeight="15"/>
  <cols>
    <col min="1" max="1" width="45.140625" customWidth="1"/>
    <col min="2" max="2" width="8.5703125" customWidth="1"/>
    <col min="3" max="3" width="7.5703125" bestFit="1" customWidth="1"/>
    <col min="4" max="4" width="7.7109375" style="2" bestFit="1" customWidth="1"/>
    <col min="5" max="5" width="6.140625" bestFit="1" customWidth="1"/>
    <col min="6" max="6" width="7.140625" bestFit="1" customWidth="1"/>
    <col min="7" max="7" width="2.85546875" customWidth="1"/>
    <col min="8" max="8" width="9.140625" customWidth="1"/>
  </cols>
  <sheetData>
    <row r="1" spans="1:6">
      <c r="A1" s="1" t="s">
        <v>0</v>
      </c>
      <c r="B1" s="1"/>
      <c r="C1" s="1"/>
    </row>
    <row r="2" spans="1:6">
      <c r="A2" s="1" t="s">
        <v>1</v>
      </c>
      <c r="B2" s="1"/>
      <c r="C2" s="1"/>
    </row>
    <row r="3" spans="1:6">
      <c r="A3" s="1"/>
      <c r="B3" s="1"/>
      <c r="C3" s="1"/>
    </row>
    <row r="4" spans="1:6">
      <c r="A4" s="1" t="s">
        <v>214</v>
      </c>
      <c r="B4" s="1"/>
      <c r="C4" s="1"/>
    </row>
    <row r="5" spans="1:6" ht="15.75" thickBot="1"/>
    <row r="6" spans="1:6" ht="15.75" thickBot="1">
      <c r="A6" s="91" t="s">
        <v>24</v>
      </c>
      <c r="B6" s="141">
        <v>45261</v>
      </c>
      <c r="C6" s="142">
        <v>45231</v>
      </c>
      <c r="D6" s="778">
        <v>45200</v>
      </c>
      <c r="E6" s="779" t="s">
        <v>5</v>
      </c>
      <c r="F6" s="780" t="s">
        <v>6</v>
      </c>
    </row>
    <row r="7" spans="1:6" ht="15.75" thickBot="1">
      <c r="A7" s="675" t="s">
        <v>57</v>
      </c>
      <c r="B7" s="676">
        <v>242</v>
      </c>
      <c r="C7" s="676">
        <v>489</v>
      </c>
      <c r="D7" s="691">
        <v>708</v>
      </c>
      <c r="E7" s="693">
        <f t="shared" ref="E7:E17" si="0">SUM(B7:D7)</f>
        <v>1439</v>
      </c>
      <c r="F7" s="696">
        <f t="shared" ref="F7:F17" si="1">AVERAGE(B7:D7)</f>
        <v>479.66666666666669</v>
      </c>
    </row>
    <row r="8" spans="1:6">
      <c r="A8" s="677" t="s">
        <v>466</v>
      </c>
      <c r="B8" s="676">
        <v>291</v>
      </c>
      <c r="C8" s="676">
        <v>317</v>
      </c>
      <c r="D8" s="691">
        <v>407</v>
      </c>
      <c r="E8" s="692">
        <f t="shared" si="0"/>
        <v>1015</v>
      </c>
      <c r="F8" s="695">
        <f t="shared" si="1"/>
        <v>338.33333333333331</v>
      </c>
    </row>
    <row r="9" spans="1:6">
      <c r="A9" s="688" t="s">
        <v>98</v>
      </c>
      <c r="B9" s="689">
        <v>170</v>
      </c>
      <c r="C9" s="689">
        <v>529</v>
      </c>
      <c r="D9" s="690">
        <v>239</v>
      </c>
      <c r="E9" s="693">
        <f t="shared" si="0"/>
        <v>938</v>
      </c>
      <c r="F9" s="696">
        <f t="shared" si="1"/>
        <v>312.66666666666669</v>
      </c>
    </row>
    <row r="10" spans="1:6">
      <c r="A10" s="677" t="s">
        <v>43</v>
      </c>
      <c r="B10" s="676">
        <v>218</v>
      </c>
      <c r="C10" s="676">
        <v>293</v>
      </c>
      <c r="D10" s="691">
        <v>293</v>
      </c>
      <c r="E10" s="693">
        <f t="shared" si="0"/>
        <v>804</v>
      </c>
      <c r="F10" s="696">
        <f t="shared" si="1"/>
        <v>268</v>
      </c>
    </row>
    <row r="11" spans="1:6">
      <c r="A11" s="677" t="s">
        <v>168</v>
      </c>
      <c r="B11" s="676">
        <v>175</v>
      </c>
      <c r="C11" s="676">
        <v>245</v>
      </c>
      <c r="D11" s="691">
        <v>383</v>
      </c>
      <c r="E11" s="693">
        <f t="shared" si="0"/>
        <v>803</v>
      </c>
      <c r="F11" s="696">
        <f t="shared" si="1"/>
        <v>267.66666666666669</v>
      </c>
    </row>
    <row r="12" spans="1:6">
      <c r="A12" s="677" t="s">
        <v>153</v>
      </c>
      <c r="B12" s="676">
        <v>173</v>
      </c>
      <c r="C12" s="676">
        <v>210</v>
      </c>
      <c r="D12" s="691">
        <v>216</v>
      </c>
      <c r="E12" s="693">
        <f t="shared" si="0"/>
        <v>599</v>
      </c>
      <c r="F12" s="696">
        <f t="shared" si="1"/>
        <v>199.66666666666666</v>
      </c>
    </row>
    <row r="13" spans="1:6">
      <c r="A13" s="677" t="s">
        <v>144</v>
      </c>
      <c r="B13" s="676">
        <v>160</v>
      </c>
      <c r="C13" s="676">
        <v>193</v>
      </c>
      <c r="D13" s="691">
        <v>237</v>
      </c>
      <c r="E13" s="693">
        <f t="shared" si="0"/>
        <v>590</v>
      </c>
      <c r="F13" s="696">
        <f t="shared" si="1"/>
        <v>196.66666666666666</v>
      </c>
    </row>
    <row r="14" spans="1:6">
      <c r="A14" s="677" t="s">
        <v>159</v>
      </c>
      <c r="B14" s="676">
        <v>157</v>
      </c>
      <c r="C14" s="676">
        <v>148</v>
      </c>
      <c r="D14" s="691">
        <v>145</v>
      </c>
      <c r="E14" s="693">
        <f t="shared" si="0"/>
        <v>450</v>
      </c>
      <c r="F14" s="696">
        <f t="shared" si="1"/>
        <v>150</v>
      </c>
    </row>
    <row r="15" spans="1:6">
      <c r="A15" s="677" t="s">
        <v>184</v>
      </c>
      <c r="B15" s="676">
        <v>135</v>
      </c>
      <c r="C15" s="676">
        <v>130</v>
      </c>
      <c r="D15" s="691">
        <v>140</v>
      </c>
      <c r="E15" s="693">
        <f t="shared" si="0"/>
        <v>405</v>
      </c>
      <c r="F15" s="696">
        <f t="shared" si="1"/>
        <v>135</v>
      </c>
    </row>
    <row r="16" spans="1:6" ht="15.75" thickBot="1">
      <c r="A16" s="675" t="s">
        <v>197</v>
      </c>
      <c r="B16" s="676">
        <v>99</v>
      </c>
      <c r="C16" s="676">
        <v>136</v>
      </c>
      <c r="D16" s="691">
        <v>165</v>
      </c>
      <c r="E16" s="694">
        <f t="shared" si="0"/>
        <v>400</v>
      </c>
      <c r="F16" s="697">
        <f t="shared" si="1"/>
        <v>133.33333333333334</v>
      </c>
    </row>
    <row r="17" spans="1:23" ht="15.75" thickBot="1">
      <c r="A17" s="144" t="s">
        <v>15</v>
      </c>
      <c r="B17" s="145">
        <f>SUM(B12:B16)</f>
        <v>724</v>
      </c>
      <c r="C17" s="145">
        <f>SUM(C12:C16)</f>
        <v>817</v>
      </c>
      <c r="D17" s="145">
        <f>SUM(D12:D16)</f>
        <v>903</v>
      </c>
      <c r="E17" s="781">
        <f t="shared" si="0"/>
        <v>2444</v>
      </c>
      <c r="F17" s="782">
        <f t="shared" si="1"/>
        <v>814.66666666666663</v>
      </c>
    </row>
    <row r="19" spans="1:23">
      <c r="G19" s="2"/>
      <c r="H19" s="6"/>
      <c r="I19" s="146"/>
      <c r="J19" s="146"/>
      <c r="K19" s="146"/>
      <c r="L19" s="147"/>
    </row>
    <row r="20" spans="1:23">
      <c r="G20" s="2"/>
      <c r="I20" s="148"/>
      <c r="J20" s="109"/>
      <c r="K20" s="109"/>
      <c r="L20" s="148"/>
    </row>
    <row r="21" spans="1:23">
      <c r="G21" s="2"/>
      <c r="I21" s="148"/>
      <c r="K21" s="89"/>
      <c r="L21" s="89"/>
      <c r="M21" s="89"/>
      <c r="N21" s="149"/>
      <c r="O21" s="150"/>
    </row>
    <row r="22" spans="1:23">
      <c r="G22" s="2"/>
      <c r="I22" s="148"/>
      <c r="K22" s="88"/>
      <c r="L22" s="151"/>
      <c r="M22" s="151"/>
      <c r="N22" s="152"/>
      <c r="O22" s="151"/>
      <c r="V22" s="151"/>
      <c r="W22" s="151"/>
    </row>
    <row r="23" spans="1:23">
      <c r="G23" s="2"/>
      <c r="I23" s="148"/>
      <c r="L23" s="89"/>
      <c r="M23" s="89"/>
      <c r="N23" s="89"/>
      <c r="O23" s="89"/>
    </row>
    <row r="24" spans="1:23">
      <c r="G24" s="2"/>
      <c r="I24" s="148"/>
      <c r="L24" s="89"/>
      <c r="M24" s="89"/>
      <c r="N24" s="89"/>
      <c r="O24" s="89"/>
      <c r="V24" s="89"/>
      <c r="W24" s="89"/>
    </row>
    <row r="25" spans="1:23">
      <c r="G25" s="2"/>
      <c r="I25" s="148"/>
      <c r="L25" s="89"/>
      <c r="M25" s="89"/>
      <c r="N25" s="89"/>
      <c r="O25" s="89"/>
      <c r="V25" s="89"/>
      <c r="W25" s="89"/>
    </row>
    <row r="26" spans="1:23">
      <c r="G26" s="2"/>
      <c r="I26" s="148"/>
      <c r="L26" s="89"/>
      <c r="M26" s="89"/>
      <c r="N26" s="89"/>
      <c r="O26" s="89"/>
      <c r="V26" s="89"/>
      <c r="W26" s="89"/>
    </row>
    <row r="27" spans="1:23">
      <c r="G27" s="2"/>
      <c r="I27" s="148"/>
      <c r="L27" s="89"/>
      <c r="M27" s="89"/>
      <c r="N27" s="89"/>
      <c r="O27" s="89"/>
      <c r="P27" s="89"/>
      <c r="Q27" s="89"/>
      <c r="R27" s="149"/>
      <c r="S27" s="149"/>
      <c r="T27" s="89"/>
      <c r="U27" s="89"/>
      <c r="V27" s="89"/>
      <c r="W27" s="89"/>
    </row>
    <row r="28" spans="1:23">
      <c r="G28" s="2"/>
      <c r="I28" s="148"/>
      <c r="L28" s="89"/>
      <c r="M28" s="89"/>
      <c r="N28" s="89"/>
      <c r="O28" s="89"/>
      <c r="P28" s="89"/>
      <c r="Q28" s="89"/>
      <c r="R28" s="149"/>
      <c r="S28" s="149"/>
      <c r="T28" s="89"/>
      <c r="U28" s="89"/>
      <c r="V28" s="89"/>
      <c r="W28" s="89"/>
    </row>
    <row r="29" spans="1:23">
      <c r="I29" s="148"/>
      <c r="L29" s="89"/>
      <c r="M29" s="89"/>
      <c r="N29" s="89"/>
      <c r="O29" s="89"/>
      <c r="P29" s="89"/>
      <c r="Q29" s="89"/>
      <c r="R29" s="149"/>
      <c r="S29" s="149"/>
      <c r="T29" s="89"/>
      <c r="U29" s="89"/>
      <c r="V29" s="89"/>
      <c r="W29" s="89"/>
    </row>
    <row r="30" spans="1:23">
      <c r="H30" s="104"/>
      <c r="I30" s="153"/>
      <c r="L30" s="89"/>
      <c r="M30" s="89"/>
      <c r="N30" s="89"/>
      <c r="O30" s="89"/>
      <c r="P30" s="89"/>
      <c r="Q30" s="89"/>
      <c r="R30" s="149"/>
      <c r="S30" s="149"/>
      <c r="T30" s="89"/>
      <c r="U30" s="89"/>
      <c r="V30" s="89"/>
      <c r="W30" s="89"/>
    </row>
    <row r="31" spans="1:23">
      <c r="L31" s="89"/>
      <c r="M31" s="89"/>
      <c r="N31" s="89"/>
      <c r="O31" s="89"/>
      <c r="P31" s="89"/>
      <c r="Q31" s="89"/>
      <c r="R31" s="149"/>
      <c r="S31" s="149"/>
      <c r="T31" s="89"/>
      <c r="U31" s="89"/>
      <c r="V31" s="89"/>
      <c r="W31" s="89"/>
    </row>
    <row r="32" spans="1:23">
      <c r="L32" s="89"/>
      <c r="M32" s="89"/>
      <c r="N32" s="89"/>
      <c r="O32" s="89"/>
      <c r="P32" s="89"/>
      <c r="Q32" s="89"/>
      <c r="R32" s="149"/>
      <c r="S32" s="149"/>
      <c r="T32" s="89"/>
      <c r="U32" s="89"/>
      <c r="V32" s="89"/>
      <c r="W32" s="89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zoomScaleNormal="100" workbookViewId="0"/>
  </sheetViews>
  <sheetFormatPr defaultRowHeight="15"/>
  <cols>
    <col min="1" max="1" width="43.5703125" customWidth="1"/>
    <col min="2" max="2" width="10.42578125" customWidth="1"/>
    <col min="3" max="9" width="9.140625" customWidth="1"/>
    <col min="10" max="10" width="39.28515625" customWidth="1"/>
    <col min="11" max="11" width="9.140625" customWidth="1"/>
    <col min="12" max="12" width="9.140625" style="154" customWidth="1"/>
    <col min="13" max="13" width="8.7109375" style="154" customWidth="1"/>
    <col min="14" max="14" width="7.7109375" style="154" customWidth="1"/>
    <col min="15" max="15" width="9.7109375" style="154" customWidth="1"/>
    <col min="16" max="16" width="8.42578125" style="154" customWidth="1"/>
    <col min="17" max="17" width="9.140625" style="154" customWidth="1"/>
    <col min="18" max="18" width="9.42578125" style="154" customWidth="1"/>
    <col min="19" max="19" width="9.85546875" style="154" customWidth="1"/>
    <col min="20" max="20" width="10.28515625" style="154" customWidth="1"/>
    <col min="21" max="21" width="8" style="154" customWidth="1"/>
    <col min="22" max="22" width="9.140625" style="154" customWidth="1"/>
    <col min="23" max="23" width="9.140625" customWidth="1"/>
  </cols>
  <sheetData>
    <row r="1" spans="1:2">
      <c r="A1" s="1" t="s">
        <v>0</v>
      </c>
    </row>
    <row r="2" spans="1:2">
      <c r="A2" s="1" t="s">
        <v>1</v>
      </c>
    </row>
    <row r="3" spans="1:2">
      <c r="A3" s="1"/>
    </row>
    <row r="4" spans="1:2">
      <c r="A4" s="1" t="s">
        <v>497</v>
      </c>
    </row>
    <row r="5" spans="1:2" ht="15.75" thickBot="1"/>
    <row r="6" spans="1:2" ht="15.75" thickBot="1">
      <c r="A6" s="816" t="s">
        <v>24</v>
      </c>
      <c r="B6" s="821">
        <v>45261</v>
      </c>
    </row>
    <row r="7" spans="1:2">
      <c r="A7" s="817" t="s">
        <v>466</v>
      </c>
      <c r="B7" s="813">
        <v>291</v>
      </c>
    </row>
    <row r="8" spans="1:2">
      <c r="A8" s="818" t="s">
        <v>57</v>
      </c>
      <c r="B8" s="814">
        <v>242</v>
      </c>
    </row>
    <row r="9" spans="1:2">
      <c r="A9" s="818" t="s">
        <v>43</v>
      </c>
      <c r="B9" s="814">
        <v>218</v>
      </c>
    </row>
    <row r="10" spans="1:2">
      <c r="A10" s="819" t="s">
        <v>168</v>
      </c>
      <c r="B10" s="814">
        <v>175</v>
      </c>
    </row>
    <row r="11" spans="1:2">
      <c r="A11" s="818" t="s">
        <v>153</v>
      </c>
      <c r="B11" s="814">
        <v>173</v>
      </c>
    </row>
    <row r="12" spans="1:2">
      <c r="A12" s="818" t="s">
        <v>98</v>
      </c>
      <c r="B12" s="814">
        <v>170</v>
      </c>
    </row>
    <row r="13" spans="1:2">
      <c r="A13" s="819" t="s">
        <v>144</v>
      </c>
      <c r="B13" s="814">
        <v>160</v>
      </c>
    </row>
    <row r="14" spans="1:2">
      <c r="A14" s="819" t="s">
        <v>159</v>
      </c>
      <c r="B14" s="814">
        <v>157</v>
      </c>
    </row>
    <row r="15" spans="1:2">
      <c r="A15" s="818" t="s">
        <v>59</v>
      </c>
      <c r="B15" s="814">
        <v>136</v>
      </c>
    </row>
    <row r="16" spans="1:2" ht="15.75" thickBot="1">
      <c r="A16" s="822" t="s">
        <v>184</v>
      </c>
      <c r="B16" s="815">
        <v>135</v>
      </c>
    </row>
    <row r="17" spans="1:25" s="98" customFormat="1" ht="15.75" thickBot="1">
      <c r="A17" s="823" t="s">
        <v>5</v>
      </c>
      <c r="B17" s="820">
        <f>SUM(B7:B16)</f>
        <v>1857</v>
      </c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</row>
    <row r="18" spans="1:25" s="98" customFormat="1">
      <c r="A18" s="599"/>
      <c r="B18" s="600"/>
      <c r="C18" s="601"/>
      <c r="D18" s="601"/>
      <c r="E18" s="601"/>
      <c r="F18" s="601"/>
      <c r="G18" s="601"/>
      <c r="H18" s="601"/>
      <c r="I18" s="601"/>
      <c r="J18" s="601"/>
      <c r="K18" s="601"/>
      <c r="L18" s="601"/>
      <c r="M18" s="601"/>
      <c r="N18" s="601"/>
      <c r="O18" s="156"/>
      <c r="P18" s="156"/>
      <c r="Q18" s="156"/>
      <c r="R18" s="156"/>
      <c r="S18" s="156"/>
      <c r="T18" s="156"/>
      <c r="U18" s="156"/>
      <c r="V18" s="156"/>
    </row>
    <row r="19" spans="1:25">
      <c r="A19" s="573"/>
      <c r="B19" s="580"/>
      <c r="C19" s="580"/>
      <c r="D19" s="580"/>
      <c r="E19" s="580"/>
      <c r="F19" s="580"/>
      <c r="G19" s="580"/>
      <c r="H19" s="580"/>
      <c r="I19" s="580"/>
      <c r="J19" s="580"/>
      <c r="K19" s="580"/>
      <c r="L19" s="580"/>
      <c r="M19" s="580"/>
      <c r="N19" s="580"/>
      <c r="O19" s="580"/>
      <c r="P19"/>
      <c r="Q19"/>
      <c r="R19"/>
    </row>
    <row r="20" spans="1:25">
      <c r="A20" s="573"/>
      <c r="B20" s="580"/>
      <c r="C20" s="580"/>
      <c r="D20" s="580"/>
      <c r="E20" s="580"/>
      <c r="F20" s="580"/>
      <c r="G20" s="580"/>
      <c r="H20" s="580"/>
      <c r="I20" s="580"/>
      <c r="J20" s="580"/>
      <c r="K20" s="580"/>
      <c r="L20" s="580"/>
      <c r="M20" s="580"/>
      <c r="N20" s="580"/>
      <c r="O20" s="580"/>
      <c r="P20"/>
      <c r="Q20"/>
      <c r="R20"/>
    </row>
    <row r="21" spans="1:25" ht="15" customHeight="1">
      <c r="A21" s="573"/>
      <c r="B21" s="580"/>
      <c r="C21" s="580"/>
      <c r="D21" s="580"/>
      <c r="E21" s="580"/>
      <c r="F21" s="580"/>
      <c r="G21" s="580"/>
      <c r="H21" s="580"/>
      <c r="I21" s="580"/>
      <c r="J21" s="580"/>
      <c r="K21" s="580"/>
      <c r="L21" s="580"/>
      <c r="M21" s="580"/>
      <c r="N21" s="580"/>
      <c r="O21" s="580"/>
      <c r="P21" s="158"/>
      <c r="Q21" s="158"/>
      <c r="R21" s="158"/>
      <c r="S21" s="158"/>
      <c r="U21"/>
      <c r="V21"/>
    </row>
    <row r="22" spans="1:25" s="580" customFormat="1" ht="15" customHeight="1">
      <c r="A22" s="699"/>
      <c r="B22" s="698"/>
      <c r="C22" s="698"/>
      <c r="D22" s="698"/>
      <c r="E22" s="698"/>
      <c r="F22" s="698"/>
      <c r="G22" s="698"/>
      <c r="H22" s="698"/>
      <c r="I22" s="698"/>
      <c r="J22" s="698"/>
      <c r="K22" s="698"/>
      <c r="L22" s="698"/>
      <c r="M22" s="698"/>
      <c r="N22" s="649"/>
      <c r="O22" s="649"/>
      <c r="P22" s="649"/>
      <c r="Q22" s="158"/>
    </row>
    <row r="23" spans="1:25" s="580" customFormat="1" ht="135.75" customHeight="1">
      <c r="A23" s="783"/>
      <c r="B23" s="698"/>
      <c r="C23" s="698"/>
      <c r="D23" s="698"/>
      <c r="E23" s="698"/>
      <c r="F23" s="698"/>
      <c r="G23" s="698"/>
      <c r="H23" s="698"/>
      <c r="I23" s="698"/>
      <c r="J23" s="698"/>
      <c r="K23" s="698"/>
      <c r="L23" s="698"/>
      <c r="M23" s="698"/>
      <c r="N23" s="649"/>
      <c r="O23" s="649"/>
      <c r="P23" s="649"/>
      <c r="Q23" s="158"/>
    </row>
    <row r="24" spans="1:25" s="580" customFormat="1">
      <c r="A24" s="698"/>
      <c r="B24" s="698" t="str">
        <f>A7</f>
        <v>Buraco e Pavimentação</v>
      </c>
      <c r="C24" s="698" t="str">
        <f>A8</f>
        <v>Cadastro Único (CadÚnico)</v>
      </c>
      <c r="D24" s="698" t="str">
        <f>A9</f>
        <v>Árvore</v>
      </c>
      <c r="E24" s="698" t="str">
        <f>A10</f>
        <v>Qualidade de atendimento</v>
      </c>
      <c r="F24" s="698" t="str">
        <f>A11</f>
        <v>Poluição sonora - PSIU</v>
      </c>
      <c r="G24" s="698" t="str">
        <f>A12</f>
        <v>Estabelecimentos comerciais, indústrias e serviços</v>
      </c>
      <c r="H24" s="698" t="str">
        <f>A13</f>
        <v>Órgão externo</v>
      </c>
      <c r="I24" s="698" t="str">
        <f>A14</f>
        <v>Processo Administrativo</v>
      </c>
      <c r="J24" s="698" t="str">
        <f>A15</f>
        <v>Calçadas, guias e postes</v>
      </c>
      <c r="K24" s="698" t="str">
        <f>A16</f>
        <v>Sinalização e Circulação de veículos e Pedestres</v>
      </c>
      <c r="L24" s="698" t="s">
        <v>5</v>
      </c>
      <c r="M24" s="698"/>
      <c r="N24" s="658"/>
      <c r="O24" s="658"/>
      <c r="P24" s="658"/>
      <c r="Q24" s="540"/>
      <c r="R24" s="583"/>
      <c r="S24" s="583"/>
      <c r="T24" s="584"/>
      <c r="U24" s="584"/>
      <c r="V24" s="583"/>
      <c r="W24" s="583"/>
      <c r="X24" s="583"/>
      <c r="Y24" s="583"/>
    </row>
    <row r="25" spans="1:25" s="580" customFormat="1">
      <c r="A25" s="698"/>
      <c r="B25" s="698">
        <f>B7</f>
        <v>291</v>
      </c>
      <c r="C25" s="698">
        <f>B8</f>
        <v>242</v>
      </c>
      <c r="D25" s="698">
        <f>B9</f>
        <v>218</v>
      </c>
      <c r="E25" s="698">
        <f>B10</f>
        <v>175</v>
      </c>
      <c r="F25" s="698">
        <f>B11</f>
        <v>173</v>
      </c>
      <c r="G25" s="698">
        <f>B12</f>
        <v>170</v>
      </c>
      <c r="H25" s="698">
        <f>B13</f>
        <v>160</v>
      </c>
      <c r="I25" s="698">
        <f>B14</f>
        <v>157</v>
      </c>
      <c r="J25" s="698">
        <f>B15</f>
        <v>136</v>
      </c>
      <c r="K25" s="698">
        <f>B16</f>
        <v>135</v>
      </c>
      <c r="L25" s="698"/>
      <c r="M25" s="698"/>
      <c r="N25" s="658"/>
      <c r="O25" s="658"/>
      <c r="P25" s="658"/>
      <c r="Q25" s="540"/>
      <c r="R25" s="583"/>
      <c r="S25" s="583"/>
      <c r="T25" s="584"/>
      <c r="U25" s="584"/>
      <c r="V25" s="583"/>
      <c r="W25" s="583"/>
      <c r="X25" s="583"/>
      <c r="Y25" s="583"/>
    </row>
    <row r="26" spans="1:25" s="580" customFormat="1">
      <c r="A26" s="698"/>
      <c r="B26" s="698"/>
      <c r="C26" s="698"/>
      <c r="D26" s="698"/>
      <c r="E26" s="698"/>
      <c r="F26" s="698"/>
      <c r="G26" s="698"/>
      <c r="H26" s="698"/>
      <c r="I26" s="698"/>
      <c r="J26" s="698"/>
      <c r="K26" s="698">
        <v>250</v>
      </c>
      <c r="L26" s="698">
        <f>Assuntos!B220</f>
        <v>4119</v>
      </c>
      <c r="M26" s="698"/>
      <c r="N26" s="658"/>
      <c r="O26" s="658"/>
      <c r="P26" s="658"/>
      <c r="Q26" s="540"/>
      <c r="R26" s="583"/>
      <c r="S26" s="583"/>
      <c r="T26" s="584"/>
      <c r="U26" s="584"/>
      <c r="V26" s="583"/>
      <c r="W26" s="583"/>
      <c r="X26" s="583"/>
      <c r="Y26" s="583"/>
    </row>
    <row r="27" spans="1:25" s="154" customFormat="1">
      <c r="A27" s="812"/>
      <c r="B27" s="812"/>
      <c r="C27" s="812"/>
      <c r="D27" s="812"/>
      <c r="E27" s="812"/>
      <c r="F27" s="812"/>
      <c r="G27" s="812"/>
      <c r="H27" s="812"/>
      <c r="I27" s="812"/>
      <c r="J27" s="812"/>
      <c r="K27" s="812"/>
      <c r="L27" s="812"/>
      <c r="M27" s="812"/>
      <c r="N27" s="658"/>
      <c r="O27" s="658"/>
      <c r="P27" s="658"/>
      <c r="Q27" s="540"/>
      <c r="R27" s="540"/>
      <c r="S27" s="159"/>
      <c r="T27" s="160"/>
      <c r="U27" s="160"/>
      <c r="V27" s="159"/>
      <c r="W27" s="159"/>
      <c r="X27" s="159"/>
      <c r="Y27" s="159"/>
    </row>
    <row r="28" spans="1:25" s="154" customFormat="1">
      <c r="A28" s="812"/>
      <c r="B28" s="812"/>
      <c r="C28" s="812"/>
      <c r="D28" s="812"/>
      <c r="E28" s="812"/>
      <c r="F28" s="812"/>
      <c r="G28" s="812"/>
      <c r="H28" s="812"/>
      <c r="I28" s="812"/>
      <c r="J28" s="812"/>
      <c r="K28" s="812"/>
      <c r="L28" s="812"/>
      <c r="M28" s="812"/>
      <c r="N28" s="658"/>
      <c r="O28" s="658"/>
      <c r="P28" s="658"/>
      <c r="Q28" s="540"/>
      <c r="R28" s="540"/>
      <c r="S28" s="159"/>
      <c r="T28" s="160"/>
      <c r="U28" s="160"/>
      <c r="V28" s="159"/>
      <c r="W28" s="159"/>
      <c r="X28" s="159"/>
      <c r="Y28" s="159"/>
    </row>
    <row r="29" spans="1:25" s="154" customFormat="1">
      <c r="A29" s="649"/>
      <c r="B29" s="649"/>
      <c r="C29" s="649"/>
      <c r="D29" s="649"/>
      <c r="E29" s="649"/>
      <c r="F29" s="649"/>
      <c r="G29" s="649"/>
      <c r="H29" s="649"/>
      <c r="I29" s="649"/>
      <c r="J29" s="649"/>
      <c r="K29" s="649"/>
      <c r="L29" s="649"/>
      <c r="M29" s="649"/>
      <c r="N29" s="658"/>
      <c r="O29" s="658"/>
      <c r="P29" s="658"/>
      <c r="Q29" s="540"/>
      <c r="R29" s="540"/>
      <c r="S29" s="159"/>
      <c r="T29" s="160"/>
      <c r="U29" s="160"/>
      <c r="V29" s="159"/>
      <c r="W29" s="159"/>
      <c r="X29" s="159"/>
      <c r="Y29" s="159"/>
    </row>
    <row r="30" spans="1:25" s="154" customFormat="1">
      <c r="A30" s="649"/>
      <c r="B30" s="649"/>
      <c r="C30" s="649"/>
      <c r="D30" s="649"/>
      <c r="E30" s="649"/>
      <c r="F30" s="649"/>
      <c r="G30" s="649"/>
      <c r="H30" s="649"/>
      <c r="I30" s="649"/>
      <c r="J30" s="649"/>
      <c r="K30" s="649"/>
      <c r="L30" s="649"/>
      <c r="M30" s="649"/>
      <c r="N30" s="649"/>
      <c r="O30" s="649"/>
      <c r="P30" s="649"/>
      <c r="Q30" s="158"/>
      <c r="R30" s="158"/>
    </row>
    <row r="31" spans="1:25" s="154" customFormat="1">
      <c r="A31" s="580"/>
      <c r="B31" s="580"/>
      <c r="C31" s="580"/>
      <c r="D31" s="580"/>
      <c r="E31" s="580"/>
      <c r="F31" s="580"/>
      <c r="G31" s="580"/>
      <c r="H31" s="580"/>
      <c r="I31" s="580"/>
      <c r="J31" s="580"/>
      <c r="K31" s="580"/>
      <c r="L31" s="580"/>
      <c r="M31" s="580"/>
      <c r="N31" s="580"/>
      <c r="O31" s="580"/>
      <c r="P31" s="158"/>
      <c r="Q31" s="158"/>
      <c r="R31" s="158"/>
    </row>
    <row r="32" spans="1:25" s="154" customFormat="1">
      <c r="A32" s="580"/>
      <c r="B32" s="580"/>
      <c r="C32" s="580"/>
      <c r="D32" s="580"/>
      <c r="E32" s="580"/>
      <c r="F32" s="580"/>
      <c r="G32" s="580"/>
      <c r="H32" s="580"/>
      <c r="I32" s="580"/>
      <c r="J32" s="580"/>
      <c r="K32" s="580"/>
      <c r="L32" s="580"/>
      <c r="M32" s="580"/>
      <c r="N32" s="580"/>
      <c r="O32" s="580"/>
      <c r="P32"/>
      <c r="Q32"/>
      <c r="R32"/>
    </row>
    <row r="33" spans="1:22" s="154" customFormat="1">
      <c r="A33" s="580"/>
      <c r="B33" s="580"/>
      <c r="C33" s="580"/>
      <c r="D33" s="580"/>
      <c r="E33" s="580"/>
      <c r="F33" s="580"/>
      <c r="G33" s="580"/>
      <c r="H33" s="580"/>
      <c r="I33" s="580"/>
      <c r="J33" s="580"/>
      <c r="K33" s="580"/>
      <c r="L33" s="580"/>
      <c r="M33" s="580"/>
      <c r="N33" s="580"/>
      <c r="O33" s="580"/>
      <c r="P33"/>
    </row>
    <row r="34" spans="1:22" s="154" customFormat="1">
      <c r="A34" s="580"/>
      <c r="B34" s="580"/>
      <c r="C34" s="580"/>
      <c r="D34" s="580"/>
      <c r="E34" s="580"/>
      <c r="F34" s="580"/>
      <c r="G34" s="580"/>
      <c r="H34" s="580"/>
      <c r="I34" s="580"/>
      <c r="J34" s="580"/>
      <c r="K34" s="580"/>
      <c r="L34" s="580"/>
      <c r="M34" s="580"/>
      <c r="N34" s="580"/>
      <c r="O34" s="580"/>
      <c r="P34"/>
    </row>
    <row r="35" spans="1:22" s="154" customFormat="1">
      <c r="A35" s="580"/>
      <c r="B35" s="580"/>
      <c r="C35" s="580"/>
      <c r="D35" s="580"/>
      <c r="E35" s="580"/>
      <c r="F35" s="580"/>
      <c r="G35" s="580"/>
      <c r="H35" s="580"/>
      <c r="I35" s="580"/>
      <c r="J35" s="580"/>
      <c r="K35" s="580"/>
      <c r="L35" s="580"/>
      <c r="M35" s="580"/>
      <c r="N35" s="580"/>
      <c r="O35" s="580"/>
      <c r="P35"/>
    </row>
    <row r="36" spans="1:22" s="154" customFormat="1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/>
      <c r="M36"/>
      <c r="N36"/>
      <c r="O36"/>
      <c r="P36"/>
    </row>
    <row r="37" spans="1:22" s="154" customFormat="1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/>
      <c r="M37"/>
      <c r="N37"/>
      <c r="O37"/>
      <c r="P37"/>
    </row>
    <row r="38" spans="1:22" s="154" customFormat="1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/>
      <c r="M38"/>
      <c r="N38"/>
      <c r="O38"/>
      <c r="P38"/>
    </row>
    <row r="39" spans="1:22" s="154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22" s="154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22" s="154" customFormat="1">
      <c r="A41"/>
      <c r="B41"/>
      <c r="C41"/>
      <c r="D41"/>
      <c r="E41"/>
      <c r="F41"/>
      <c r="G41"/>
      <c r="H41"/>
      <c r="I41"/>
      <c r="J41"/>
      <c r="K41"/>
      <c r="L41"/>
    </row>
    <row r="42" spans="1:22" s="154" customFormat="1">
      <c r="A42"/>
      <c r="B42"/>
      <c r="C42"/>
      <c r="D42"/>
      <c r="E42"/>
      <c r="F42"/>
      <c r="G42"/>
      <c r="H42"/>
      <c r="I42"/>
      <c r="J42"/>
      <c r="K42"/>
      <c r="L42"/>
    </row>
    <row r="43" spans="1:22" s="154" customFormat="1">
      <c r="A43"/>
      <c r="B43"/>
      <c r="C43"/>
      <c r="D43"/>
      <c r="E43"/>
      <c r="F43"/>
      <c r="G43"/>
      <c r="H43"/>
      <c r="I43"/>
      <c r="J43"/>
      <c r="K43"/>
      <c r="L43"/>
    </row>
    <row r="44" spans="1:22">
      <c r="L44"/>
      <c r="M44"/>
      <c r="N44"/>
      <c r="O44"/>
      <c r="P44"/>
      <c r="Q44"/>
      <c r="R44"/>
      <c r="S44"/>
      <c r="T44"/>
      <c r="U44"/>
      <c r="V44"/>
    </row>
    <row r="45" spans="1:22">
      <c r="L45"/>
      <c r="M45"/>
      <c r="N45"/>
      <c r="O45"/>
      <c r="P45"/>
      <c r="Q45"/>
      <c r="R45"/>
      <c r="S45"/>
      <c r="T45"/>
      <c r="U45"/>
      <c r="V45"/>
    </row>
    <row r="46" spans="1:22">
      <c r="L46"/>
      <c r="M46"/>
      <c r="N46"/>
      <c r="O46"/>
      <c r="P46"/>
      <c r="Q46"/>
      <c r="R46"/>
      <c r="S46"/>
      <c r="T46"/>
      <c r="U46"/>
      <c r="V46"/>
    </row>
    <row r="47" spans="1:22">
      <c r="L47"/>
      <c r="M47"/>
      <c r="N47"/>
      <c r="O47"/>
      <c r="P47"/>
      <c r="Q47"/>
      <c r="R47"/>
      <c r="S47"/>
      <c r="T47"/>
      <c r="U47"/>
      <c r="V47"/>
    </row>
    <row r="48" spans="1:22">
      <c r="L48"/>
      <c r="M48"/>
      <c r="N48"/>
    </row>
  </sheetData>
  <sortState ref="A8:B16">
    <sortCondition descending="1" ref="B7"/>
  </sortState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24</vt:i4>
      </vt:variant>
    </vt:vector>
  </HeadingPairs>
  <TitlesOfParts>
    <vt:vector size="24" baseType="lpstr">
      <vt:lpstr>Texto</vt:lpstr>
      <vt:lpstr>Protocolos</vt:lpstr>
      <vt:lpstr>Canais_atendimento</vt:lpstr>
      <vt:lpstr>Assuntos</vt:lpstr>
      <vt:lpstr>Buraco-Pavimentação_Dezembro23</vt:lpstr>
      <vt:lpstr>10_Assuntos_+_demadados_2023</vt:lpstr>
      <vt:lpstr>Assuntos-variação_10_mais_2023</vt:lpstr>
      <vt:lpstr>ASSUNTOS_10+_últimos_3_meses</vt:lpstr>
      <vt:lpstr>10_ASSUNTOS_+_demandados_DEZ_23</vt:lpstr>
      <vt:lpstr>UNIDADES</vt:lpstr>
      <vt:lpstr>10_UNIDADES_+_demandadas_2023</vt:lpstr>
      <vt:lpstr>Unidades_-variação_10_mais_2023</vt:lpstr>
      <vt:lpstr>UNIDADES_-_10+_últimos_3_meses</vt:lpstr>
      <vt:lpstr>10_Unidades+_demandados__DEZ_23</vt:lpstr>
      <vt:lpstr>Subprefeituras_2023</vt:lpstr>
      <vt:lpstr>10_SUB's_+_demandadas_2023</vt:lpstr>
      <vt:lpstr>Subs_-Variação_10_mais_2023</vt:lpstr>
      <vt:lpstr>Ranking_subprefeituras_DEZ_23</vt:lpstr>
      <vt:lpstr>Denúncia_Protocolos_2023</vt:lpstr>
      <vt:lpstr>Denúncia_Unidades_2023</vt:lpstr>
      <vt:lpstr>e-SIC_2023</vt:lpstr>
      <vt:lpstr>Alteração_de_Processo</vt:lpstr>
      <vt:lpstr>Alteração_de_Processo_Dados</vt:lpstr>
      <vt:lpstr>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Sheila de Fatima Batista Malta</cp:lastModifiedBy>
  <cp:revision/>
  <dcterms:created xsi:type="dcterms:W3CDTF">2018-08-01T11:52:47Z</dcterms:created>
  <dcterms:modified xsi:type="dcterms:W3CDTF">2024-01-11T19:55:25Z</dcterms:modified>
  <cp:category/>
  <cp:contentStatus/>
</cp:coreProperties>
</file>