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d838568\Desktop\RELATÓRIOS\RELATÓRIOS PUBLICADOS\RELATÓRIOS REVISADOS PROCESSAMENTO DE DEMANDAS\2023\"/>
    </mc:Choice>
  </mc:AlternateContent>
  <bookViews>
    <workbookView xWindow="0" yWindow="0" windowWidth="28800" windowHeight="11880" tabRatio="961"/>
  </bookViews>
  <sheets>
    <sheet name="Texto" sheetId="1" r:id="rId1"/>
    <sheet name="Protocolos" sheetId="2" r:id="rId2"/>
    <sheet name="Canais_atendimento" sheetId="3" r:id="rId3"/>
    <sheet name="Assuntos" sheetId="4" r:id="rId4"/>
    <sheet name="10_Assuntos_+_demadados_2023" sheetId="5" r:id="rId5"/>
    <sheet name="Assuntos-variação_10_mais_2023" sheetId="6" r:id="rId6"/>
    <sheet name="ASSUNTOS_10+_últimos_3_meses" sheetId="7" r:id="rId7"/>
    <sheet name="10_ASSUNTOS_+_demandados_AGO_23" sheetId="8" r:id="rId8"/>
    <sheet name="UNIDADES" sheetId="9" r:id="rId9"/>
    <sheet name="10_UNIDADES_+_demandadas_2023" sheetId="10" r:id="rId10"/>
    <sheet name="Unidades_-variação_10_mais_2023" sheetId="11" r:id="rId11"/>
    <sheet name="UNIDADES_-_10+_últimos_3_meses" sheetId="12" r:id="rId12"/>
    <sheet name="10_Unidades+_demandados__AGO_23" sheetId="13" r:id="rId13"/>
    <sheet name="Subprefeituras_2023" sheetId="14" r:id="rId14"/>
    <sheet name="10_SUB's_+_demandadas_2023" sheetId="15" r:id="rId15"/>
    <sheet name="Subs_-Variação_10_mais_2023" sheetId="16" r:id="rId16"/>
    <sheet name="Ranking_subprefeituras_AGO_23" sheetId="17" r:id="rId17"/>
    <sheet name="Denúncia_Protocolos_2023" sheetId="18" r:id="rId18"/>
    <sheet name="Denúncia_Unidades_2023" sheetId="23" r:id="rId19"/>
    <sheet name="e-SIC_2023" sheetId="19" r:id="rId20"/>
    <sheet name="Alteração_de_Processo" sheetId="21" r:id="rId21"/>
    <sheet name="Alteração_de_Processo_Dados" sheetId="22" r:id="rId22"/>
    <sheet name="P" sheetId="20" state="hidden" r:id="rId23"/>
  </sheets>
  <definedNames>
    <definedName name="_xlchart.0" hidden="1">Alteração_de_Processo_Dados!$A$17:$A$25</definedName>
    <definedName name="_xlchart.1" hidden="1">Alteração_de_Processo_Dados!$B$17:$B$25</definedName>
  </definedNames>
  <calcPr calcId="162913"/>
</workbook>
</file>

<file path=xl/calcChain.xml><?xml version="1.0" encoding="utf-8"?>
<calcChain xmlns="http://schemas.openxmlformats.org/spreadsheetml/2006/main">
  <c r="N128" i="19" l="1"/>
  <c r="N172" i="19"/>
  <c r="N141" i="19"/>
  <c r="N163" i="19"/>
  <c r="N139" i="19"/>
  <c r="N180" i="19"/>
  <c r="N167" i="19"/>
  <c r="N142" i="19"/>
  <c r="N149" i="19"/>
  <c r="N151" i="19"/>
  <c r="N152" i="19"/>
  <c r="N144" i="19"/>
  <c r="N178" i="19"/>
  <c r="N159" i="19"/>
  <c r="N174" i="19"/>
  <c r="N150" i="19"/>
  <c r="N166" i="19"/>
  <c r="N157" i="19"/>
  <c r="N162" i="19"/>
  <c r="N177" i="19"/>
  <c r="N156" i="19"/>
  <c r="N171" i="19"/>
  <c r="N155" i="19"/>
  <c r="N183" i="19"/>
  <c r="N176" i="19"/>
  <c r="N181" i="19"/>
  <c r="N179" i="19"/>
  <c r="N154" i="19"/>
  <c r="N170" i="19"/>
  <c r="N169" i="19"/>
  <c r="N173" i="19"/>
  <c r="N138" i="19"/>
  <c r="N164" i="19"/>
  <c r="N175" i="19"/>
  <c r="N194" i="19"/>
  <c r="N191" i="19"/>
  <c r="N165" i="19"/>
  <c r="N131" i="19"/>
  <c r="N184" i="19"/>
  <c r="N136" i="19"/>
  <c r="N186" i="19"/>
  <c r="N127" i="19"/>
  <c r="N182" i="19"/>
  <c r="N123" i="19"/>
  <c r="N122" i="19"/>
  <c r="N133" i="19"/>
  <c r="N117" i="19"/>
  <c r="N195" i="19" s="1"/>
  <c r="N190" i="19"/>
  <c r="N168" i="19"/>
  <c r="N192" i="19"/>
  <c r="N140" i="19"/>
  <c r="N119" i="19"/>
  <c r="N143" i="19"/>
  <c r="N158" i="19"/>
  <c r="N124" i="19"/>
  <c r="N125" i="19"/>
  <c r="N132" i="19"/>
  <c r="N135" i="19"/>
  <c r="N153" i="19"/>
  <c r="N121" i="19"/>
  <c r="N188" i="19"/>
  <c r="N146" i="19"/>
  <c r="N129" i="19"/>
  <c r="N126" i="19"/>
  <c r="N161" i="19"/>
  <c r="N120" i="19"/>
  <c r="N148" i="19"/>
  <c r="N134" i="19"/>
  <c r="N147" i="19"/>
  <c r="N160" i="19"/>
  <c r="N187" i="19"/>
  <c r="N193" i="19"/>
  <c r="N130" i="19"/>
  <c r="N137" i="19"/>
  <c r="N118" i="19"/>
  <c r="N145" i="19"/>
  <c r="N185" i="19"/>
  <c r="N189" i="19"/>
  <c r="F100" i="19"/>
  <c r="C13" i="19" l="1"/>
  <c r="D74" i="23"/>
  <c r="C74" i="23"/>
  <c r="B74" i="23"/>
  <c r="P7" i="18" l="1"/>
  <c r="F9" i="18"/>
  <c r="P6" i="18" s="1"/>
  <c r="G26" i="18"/>
  <c r="C26" i="18"/>
  <c r="F15" i="18"/>
  <c r="F10" i="18"/>
  <c r="B25" i="22" l="1"/>
  <c r="C9" i="22"/>
  <c r="F50" i="16"/>
  <c r="G50" i="16"/>
  <c r="B50" i="16"/>
  <c r="C50" i="16" s="1"/>
  <c r="N34" i="16"/>
  <c r="O34" i="16"/>
  <c r="J34" i="16"/>
  <c r="K34" i="16" s="1"/>
  <c r="F34" i="16"/>
  <c r="G34" i="16"/>
  <c r="B34" i="16"/>
  <c r="C34" i="16"/>
  <c r="N18" i="16"/>
  <c r="O18" i="16"/>
  <c r="J18" i="16"/>
  <c r="K18" i="16" s="1"/>
  <c r="F18" i="16"/>
  <c r="G18" i="16" s="1"/>
  <c r="C18" i="16"/>
  <c r="B18" i="16"/>
  <c r="P8" i="15"/>
  <c r="P9" i="15"/>
  <c r="P10" i="15"/>
  <c r="P11" i="15"/>
  <c r="P12" i="15"/>
  <c r="P13" i="15"/>
  <c r="P14" i="15"/>
  <c r="P15" i="15"/>
  <c r="P16" i="15"/>
  <c r="P17" i="15"/>
  <c r="P7" i="15"/>
  <c r="F17" i="15"/>
  <c r="F37" i="14"/>
  <c r="F50" i="11"/>
  <c r="G50" i="11" s="1"/>
  <c r="B50" i="11"/>
  <c r="C50" i="11"/>
  <c r="N34" i="11"/>
  <c r="O34" i="11"/>
  <c r="J34" i="11"/>
  <c r="K34" i="11" s="1"/>
  <c r="F34" i="11"/>
  <c r="G34" i="11"/>
  <c r="B34" i="11"/>
  <c r="C34" i="11" s="1"/>
  <c r="N18" i="11"/>
  <c r="O18" i="11" s="1"/>
  <c r="J18" i="11"/>
  <c r="K18" i="11"/>
  <c r="F18" i="11"/>
  <c r="G18" i="11" s="1"/>
  <c r="C18" i="11"/>
  <c r="B18" i="11"/>
  <c r="P17" i="10"/>
  <c r="P8" i="10"/>
  <c r="P9" i="10"/>
  <c r="P10" i="10"/>
  <c r="P11" i="10"/>
  <c r="P12" i="10"/>
  <c r="P13" i="10"/>
  <c r="P14" i="10"/>
  <c r="P15" i="10"/>
  <c r="P16" i="10"/>
  <c r="P7" i="10"/>
  <c r="F17" i="10"/>
  <c r="F72" i="9"/>
  <c r="E8" i="7"/>
  <c r="E9" i="7"/>
  <c r="E10" i="7"/>
  <c r="E11" i="7"/>
  <c r="E12" i="7"/>
  <c r="E13" i="7"/>
  <c r="E14" i="7"/>
  <c r="E15" i="7"/>
  <c r="E16" i="7"/>
  <c r="E7" i="7"/>
  <c r="F50" i="6"/>
  <c r="G50" i="6"/>
  <c r="B50" i="6"/>
  <c r="C50" i="6" s="1"/>
  <c r="N34" i="6"/>
  <c r="O34" i="6" s="1"/>
  <c r="J34" i="6"/>
  <c r="K34" i="6"/>
  <c r="F34" i="6"/>
  <c r="G34" i="6" s="1"/>
  <c r="B34" i="6"/>
  <c r="C34" i="6" s="1"/>
  <c r="O18" i="6"/>
  <c r="K18" i="6"/>
  <c r="G18" i="6"/>
  <c r="N18" i="6"/>
  <c r="J18" i="6"/>
  <c r="F18" i="6"/>
  <c r="C18" i="6"/>
  <c r="B18" i="6"/>
  <c r="P17" i="5"/>
  <c r="P8" i="5"/>
  <c r="P9" i="5"/>
  <c r="P10" i="5"/>
  <c r="P11" i="5"/>
  <c r="P12" i="5"/>
  <c r="P13" i="5"/>
  <c r="P14" i="5"/>
  <c r="P15" i="5"/>
  <c r="P16" i="5"/>
  <c r="P7" i="5"/>
  <c r="F17" i="5"/>
  <c r="N183" i="4"/>
  <c r="O183" i="4"/>
  <c r="N169" i="4"/>
  <c r="O169" i="4"/>
  <c r="N89" i="4"/>
  <c r="O89" i="4"/>
  <c r="N70" i="4"/>
  <c r="O70" i="4"/>
  <c r="O8" i="4"/>
  <c r="N8" i="4"/>
  <c r="F192" i="4"/>
  <c r="Q6" i="3"/>
  <c r="Q7" i="3"/>
  <c r="Q8" i="3"/>
  <c r="Q9" i="3"/>
  <c r="Q10" i="3"/>
  <c r="Q5" i="3"/>
  <c r="F11" i="3"/>
  <c r="I24" i="2"/>
  <c r="C12" i="2"/>
  <c r="N114" i="19" l="1"/>
  <c r="N113" i="19"/>
  <c r="N112" i="19"/>
  <c r="N111" i="19"/>
  <c r="N110" i="19"/>
  <c r="N109" i="19"/>
  <c r="N108" i="19"/>
  <c r="N107" i="19"/>
  <c r="N106" i="19"/>
  <c r="N105" i="19"/>
  <c r="C12" i="19" l="1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D12" i="23"/>
  <c r="D11" i="23"/>
  <c r="D10" i="23"/>
  <c r="D9" i="23"/>
  <c r="D8" i="23"/>
  <c r="D7" i="23"/>
  <c r="D6" i="23"/>
  <c r="D5" i="23"/>
  <c r="D4" i="23"/>
  <c r="Y47" i="19"/>
  <c r="Y39" i="19"/>
  <c r="Y33" i="19"/>
  <c r="Y27" i="19"/>
  <c r="C8" i="22" l="1"/>
  <c r="G25" i="18" l="1"/>
  <c r="F25" i="18"/>
  <c r="C25" i="18"/>
  <c r="G15" i="18"/>
  <c r="G10" i="18"/>
  <c r="G9" i="18"/>
  <c r="F49" i="16" l="1"/>
  <c r="B49" i="16"/>
  <c r="N33" i="16"/>
  <c r="J33" i="16"/>
  <c r="F33" i="16"/>
  <c r="B33" i="16"/>
  <c r="N17" i="16"/>
  <c r="J17" i="16"/>
  <c r="F17" i="16"/>
  <c r="B17" i="16"/>
  <c r="G17" i="15"/>
  <c r="G37" i="14"/>
  <c r="F49" i="11"/>
  <c r="B49" i="11"/>
  <c r="N33" i="11"/>
  <c r="J33" i="11"/>
  <c r="F33" i="11"/>
  <c r="B33" i="11"/>
  <c r="N17" i="11"/>
  <c r="J17" i="11"/>
  <c r="F17" i="11"/>
  <c r="B17" i="11"/>
  <c r="G17" i="10"/>
  <c r="G72" i="9"/>
  <c r="B17" i="7"/>
  <c r="C17" i="7"/>
  <c r="D17" i="7"/>
  <c r="F49" i="6"/>
  <c r="B49" i="6"/>
  <c r="N33" i="6"/>
  <c r="J33" i="6"/>
  <c r="F33" i="6"/>
  <c r="B33" i="6"/>
  <c r="N17" i="6"/>
  <c r="J17" i="6"/>
  <c r="F17" i="6"/>
  <c r="B17" i="6"/>
  <c r="G17" i="5"/>
  <c r="G192" i="4"/>
  <c r="Q11" i="3"/>
  <c r="G11" i="3"/>
  <c r="C11" i="2"/>
  <c r="J24" i="2"/>
  <c r="F32" i="18" l="1"/>
  <c r="F31" i="18"/>
  <c r="H100" i="19" l="1"/>
  <c r="C11" i="19" l="1"/>
  <c r="B14" i="22" l="1"/>
  <c r="C7" i="22"/>
  <c r="G24" i="18"/>
  <c r="C24" i="18"/>
  <c r="F24" i="18"/>
  <c r="H15" i="18"/>
  <c r="H10" i="18"/>
  <c r="H9" i="18"/>
  <c r="F48" i="16"/>
  <c r="G49" i="16" s="1"/>
  <c r="B48" i="16"/>
  <c r="C49" i="16" s="1"/>
  <c r="N32" i="16"/>
  <c r="O33" i="16" s="1"/>
  <c r="J32" i="16"/>
  <c r="K33" i="16" s="1"/>
  <c r="F32" i="16"/>
  <c r="G33" i="16" s="1"/>
  <c r="B32" i="16"/>
  <c r="C33" i="16" s="1"/>
  <c r="N16" i="16"/>
  <c r="O17" i="16" s="1"/>
  <c r="J16" i="16"/>
  <c r="K17" i="16" s="1"/>
  <c r="F16" i="16"/>
  <c r="G17" i="16" s="1"/>
  <c r="B16" i="16"/>
  <c r="C17" i="16" s="1"/>
  <c r="H17" i="15"/>
  <c r="H37" i="14"/>
  <c r="F48" i="11"/>
  <c r="G49" i="11" s="1"/>
  <c r="B48" i="11"/>
  <c r="C49" i="11" s="1"/>
  <c r="N32" i="11"/>
  <c r="O33" i="11" s="1"/>
  <c r="J32" i="11"/>
  <c r="K33" i="11" s="1"/>
  <c r="F32" i="11"/>
  <c r="G33" i="11" s="1"/>
  <c r="B32" i="11"/>
  <c r="C33" i="11" s="1"/>
  <c r="N16" i="11"/>
  <c r="O17" i="11" s="1"/>
  <c r="J16" i="11"/>
  <c r="K17" i="11" s="1"/>
  <c r="J15" i="11"/>
  <c r="F16" i="11"/>
  <c r="G17" i="11" s="1"/>
  <c r="B16" i="11"/>
  <c r="C17" i="11" s="1"/>
  <c r="H17" i="10"/>
  <c r="I17" i="10"/>
  <c r="J17" i="10"/>
  <c r="H72" i="9"/>
  <c r="K16" i="11" l="1"/>
  <c r="F48" i="6"/>
  <c r="G49" i="6" s="1"/>
  <c r="B48" i="6"/>
  <c r="C49" i="6" s="1"/>
  <c r="N32" i="6"/>
  <c r="O33" i="6" s="1"/>
  <c r="J32" i="6"/>
  <c r="K33" i="6" s="1"/>
  <c r="F32" i="6"/>
  <c r="G33" i="6" s="1"/>
  <c r="B32" i="6"/>
  <c r="C33" i="6" s="1"/>
  <c r="N16" i="6"/>
  <c r="O17" i="6" s="1"/>
  <c r="J16" i="6"/>
  <c r="K17" i="6" s="1"/>
  <c r="F16" i="6"/>
  <c r="G17" i="6" s="1"/>
  <c r="H17" i="5"/>
  <c r="B16" i="6" s="1"/>
  <c r="C17" i="6" s="1"/>
  <c r="H192" i="4"/>
  <c r="H11" i="3"/>
  <c r="K24" i="2" l="1"/>
  <c r="C10" i="2"/>
  <c r="C6" i="22" l="1"/>
  <c r="C5" i="22"/>
  <c r="C4" i="22"/>
  <c r="F47" i="11" l="1"/>
  <c r="G48" i="11" s="1"/>
  <c r="F46" i="11"/>
  <c r="B47" i="11"/>
  <c r="B46" i="11"/>
  <c r="C47" i="11" l="1"/>
  <c r="C48" i="11"/>
  <c r="G47" i="11"/>
  <c r="N115" i="19"/>
  <c r="O109" i="19" s="1"/>
  <c r="C10" i="19"/>
  <c r="I100" i="19"/>
  <c r="O112" i="19" l="1"/>
  <c r="O108" i="19"/>
  <c r="O105" i="19"/>
  <c r="O111" i="19"/>
  <c r="O107" i="19"/>
  <c r="O110" i="19"/>
  <c r="O106" i="19"/>
  <c r="O114" i="19"/>
  <c r="O113" i="19"/>
  <c r="G23" i="18"/>
  <c r="F23" i="18"/>
  <c r="C23" i="18"/>
  <c r="I15" i="18"/>
  <c r="I10" i="18"/>
  <c r="I9" i="18"/>
  <c r="F47" i="16" l="1"/>
  <c r="B47" i="16"/>
  <c r="C48" i="16" s="1"/>
  <c r="C47" i="16"/>
  <c r="F46" i="16"/>
  <c r="B46" i="16"/>
  <c r="N31" i="16"/>
  <c r="O32" i="16" s="1"/>
  <c r="J31" i="16"/>
  <c r="K32" i="16" s="1"/>
  <c r="F31" i="16"/>
  <c r="G32" i="16" s="1"/>
  <c r="B31" i="16"/>
  <c r="N15" i="16"/>
  <c r="J15" i="16"/>
  <c r="K16" i="16" s="1"/>
  <c r="F15" i="16"/>
  <c r="G16" i="16" s="1"/>
  <c r="B15" i="16"/>
  <c r="N30" i="16"/>
  <c r="O31" i="16" s="1"/>
  <c r="J30" i="16"/>
  <c r="F30" i="16"/>
  <c r="G31" i="16" s="1"/>
  <c r="B30" i="16"/>
  <c r="N14" i="16"/>
  <c r="J14" i="16"/>
  <c r="F14" i="16"/>
  <c r="G15" i="16" s="1"/>
  <c r="B14" i="16"/>
  <c r="I17" i="15"/>
  <c r="I37" i="14"/>
  <c r="N5" i="14"/>
  <c r="O5" i="14"/>
  <c r="N6" i="14"/>
  <c r="O6" i="14"/>
  <c r="N7" i="14"/>
  <c r="O7" i="14"/>
  <c r="N8" i="14"/>
  <c r="O8" i="14"/>
  <c r="N9" i="14"/>
  <c r="O9" i="14"/>
  <c r="N10" i="14"/>
  <c r="O10" i="14"/>
  <c r="N11" i="14"/>
  <c r="O11" i="14"/>
  <c r="N12" i="14"/>
  <c r="O12" i="14"/>
  <c r="N13" i="14"/>
  <c r="O13" i="14"/>
  <c r="N14" i="14"/>
  <c r="O14" i="14"/>
  <c r="N15" i="14"/>
  <c r="O15" i="14"/>
  <c r="N16" i="14"/>
  <c r="O16" i="14"/>
  <c r="N17" i="14"/>
  <c r="O17" i="14"/>
  <c r="N18" i="14"/>
  <c r="O18" i="14"/>
  <c r="N19" i="14"/>
  <c r="O19" i="14"/>
  <c r="N20" i="14"/>
  <c r="O20" i="14"/>
  <c r="N21" i="14"/>
  <c r="O21" i="14"/>
  <c r="N22" i="14"/>
  <c r="O22" i="14"/>
  <c r="N23" i="14"/>
  <c r="O23" i="14"/>
  <c r="N24" i="14"/>
  <c r="O24" i="14"/>
  <c r="N25" i="14"/>
  <c r="O25" i="14"/>
  <c r="N26" i="14"/>
  <c r="O26" i="14"/>
  <c r="N27" i="14"/>
  <c r="O27" i="14"/>
  <c r="N28" i="14"/>
  <c r="O28" i="14"/>
  <c r="N29" i="14"/>
  <c r="O29" i="14"/>
  <c r="N30" i="14"/>
  <c r="O30" i="14"/>
  <c r="N31" i="14"/>
  <c r="O31" i="14"/>
  <c r="N32" i="14"/>
  <c r="O32" i="14"/>
  <c r="N33" i="14"/>
  <c r="O33" i="14"/>
  <c r="N34" i="14"/>
  <c r="O34" i="14"/>
  <c r="N35" i="14"/>
  <c r="O35" i="14"/>
  <c r="N36" i="14"/>
  <c r="O36" i="14"/>
  <c r="N31" i="11"/>
  <c r="O32" i="11" s="1"/>
  <c r="J31" i="11"/>
  <c r="K32" i="11" s="1"/>
  <c r="F31" i="11"/>
  <c r="G32" i="11" s="1"/>
  <c r="B31" i="11"/>
  <c r="N15" i="11"/>
  <c r="O16" i="11" s="1"/>
  <c r="F15" i="11"/>
  <c r="G16" i="11" s="1"/>
  <c r="B15" i="11"/>
  <c r="N30" i="11"/>
  <c r="J30" i="11"/>
  <c r="F30" i="11"/>
  <c r="B30" i="11"/>
  <c r="N14" i="11"/>
  <c r="J14" i="11"/>
  <c r="F14" i="11"/>
  <c r="G15" i="11" s="1"/>
  <c r="B14" i="11"/>
  <c r="I72" i="9"/>
  <c r="B25" i="8"/>
  <c r="K31" i="16" l="1"/>
  <c r="K15" i="16"/>
  <c r="G31" i="11"/>
  <c r="O15" i="16"/>
  <c r="O16" i="16"/>
  <c r="C15" i="16"/>
  <c r="C16" i="16"/>
  <c r="C31" i="16"/>
  <c r="C32" i="16"/>
  <c r="G47" i="16"/>
  <c r="G48" i="16"/>
  <c r="C15" i="11"/>
  <c r="C16" i="11"/>
  <c r="C31" i="11"/>
  <c r="C32" i="11"/>
  <c r="O31" i="11"/>
  <c r="K15" i="11"/>
  <c r="O15" i="11"/>
  <c r="K31" i="11"/>
  <c r="F47" i="6"/>
  <c r="G48" i="6" s="1"/>
  <c r="B47" i="6"/>
  <c r="C48" i="6" s="1"/>
  <c r="N31" i="6"/>
  <c r="J31" i="6"/>
  <c r="K32" i="6" s="1"/>
  <c r="F31" i="6"/>
  <c r="G32" i="6" s="1"/>
  <c r="B31" i="6"/>
  <c r="C32" i="6" s="1"/>
  <c r="N15" i="6"/>
  <c r="J15" i="6"/>
  <c r="F15" i="6"/>
  <c r="G16" i="6" s="1"/>
  <c r="F46" i="6"/>
  <c r="B46" i="6"/>
  <c r="N30" i="6"/>
  <c r="J30" i="6"/>
  <c r="F30" i="6"/>
  <c r="B30" i="6"/>
  <c r="N14" i="6"/>
  <c r="J14" i="6"/>
  <c r="F14" i="6"/>
  <c r="K31" i="6" l="1"/>
  <c r="O31" i="6"/>
  <c r="O32" i="6"/>
  <c r="K15" i="6"/>
  <c r="K16" i="6"/>
  <c r="O15" i="6"/>
  <c r="O16" i="6"/>
  <c r="G47" i="6"/>
  <c r="G31" i="6"/>
  <c r="C47" i="6"/>
  <c r="G15" i="6"/>
  <c r="C31" i="6"/>
  <c r="I17" i="5"/>
  <c r="B15" i="6" s="1"/>
  <c r="I192" i="4"/>
  <c r="C16" i="6" l="1"/>
  <c r="I11" i="3"/>
  <c r="C9" i="2"/>
  <c r="L24" i="2"/>
  <c r="F45" i="16" l="1"/>
  <c r="B45" i="16"/>
  <c r="F44" i="16"/>
  <c r="B44" i="16"/>
  <c r="C45" i="16" s="1"/>
  <c r="F43" i="16"/>
  <c r="G43" i="16" s="1"/>
  <c r="B43" i="16"/>
  <c r="C43" i="16" s="1"/>
  <c r="E41" i="16"/>
  <c r="A41" i="16"/>
  <c r="N29" i="16"/>
  <c r="O30" i="16" s="1"/>
  <c r="J29" i="16"/>
  <c r="K30" i="16" s="1"/>
  <c r="F29" i="16"/>
  <c r="B29" i="16"/>
  <c r="N28" i="16"/>
  <c r="J28" i="16"/>
  <c r="F28" i="16"/>
  <c r="B28" i="16"/>
  <c r="N27" i="16"/>
  <c r="J27" i="16"/>
  <c r="K28" i="16" s="1"/>
  <c r="F27" i="16"/>
  <c r="B27" i="16"/>
  <c r="C27" i="16" s="1"/>
  <c r="M25" i="16"/>
  <c r="I25" i="16"/>
  <c r="E25" i="16"/>
  <c r="A25" i="16"/>
  <c r="N13" i="16"/>
  <c r="J13" i="16"/>
  <c r="F13" i="16"/>
  <c r="B13" i="16"/>
  <c r="N12" i="16"/>
  <c r="J12" i="16"/>
  <c r="F12" i="16"/>
  <c r="B12" i="16"/>
  <c r="C12" i="16" s="1"/>
  <c r="N11" i="16"/>
  <c r="J11" i="16"/>
  <c r="F11" i="16"/>
  <c r="G11" i="16" s="1"/>
  <c r="B11" i="16"/>
  <c r="C11" i="16" s="1"/>
  <c r="M9" i="16"/>
  <c r="I9" i="16"/>
  <c r="E9" i="16"/>
  <c r="A9" i="16"/>
  <c r="F45" i="11"/>
  <c r="B45" i="11"/>
  <c r="F44" i="11"/>
  <c r="G45" i="11" s="1"/>
  <c r="B44" i="11"/>
  <c r="C45" i="11" s="1"/>
  <c r="F43" i="11"/>
  <c r="B43" i="11"/>
  <c r="C43" i="11" s="1"/>
  <c r="E41" i="11"/>
  <c r="A41" i="11"/>
  <c r="N29" i="11"/>
  <c r="O30" i="11" s="1"/>
  <c r="J29" i="11"/>
  <c r="F29" i="11"/>
  <c r="G30" i="11" s="1"/>
  <c r="B29" i="11"/>
  <c r="C30" i="11" s="1"/>
  <c r="N28" i="11"/>
  <c r="J28" i="11"/>
  <c r="F28" i="11"/>
  <c r="B28" i="11"/>
  <c r="N27" i="11"/>
  <c r="J27" i="11"/>
  <c r="K27" i="11" s="1"/>
  <c r="F27" i="11"/>
  <c r="B27" i="11"/>
  <c r="M25" i="11"/>
  <c r="I25" i="11"/>
  <c r="E25" i="11"/>
  <c r="A25" i="11"/>
  <c r="N13" i="11"/>
  <c r="J13" i="11"/>
  <c r="K14" i="11" s="1"/>
  <c r="F13" i="11"/>
  <c r="G14" i="11" s="1"/>
  <c r="B13" i="11"/>
  <c r="N12" i="11"/>
  <c r="J12" i="11"/>
  <c r="F12" i="11"/>
  <c r="B12" i="11"/>
  <c r="N11" i="11"/>
  <c r="O11" i="11" s="1"/>
  <c r="J11" i="11"/>
  <c r="K11" i="11" s="1"/>
  <c r="F11" i="11"/>
  <c r="G12" i="11" s="1"/>
  <c r="B11" i="11"/>
  <c r="M9" i="11"/>
  <c r="I9" i="11"/>
  <c r="E9" i="11"/>
  <c r="A9" i="11"/>
  <c r="F45" i="6"/>
  <c r="G46" i="6" s="1"/>
  <c r="B45" i="6"/>
  <c r="F44" i="6"/>
  <c r="B44" i="6"/>
  <c r="F43" i="6"/>
  <c r="B43" i="6"/>
  <c r="E41" i="6"/>
  <c r="A41" i="6"/>
  <c r="N29" i="6"/>
  <c r="J29" i="6"/>
  <c r="K30" i="6" s="1"/>
  <c r="F29" i="6"/>
  <c r="B29" i="6"/>
  <c r="C30" i="6" s="1"/>
  <c r="N28" i="6"/>
  <c r="J28" i="6"/>
  <c r="F28" i="6"/>
  <c r="B28" i="6"/>
  <c r="N27" i="6"/>
  <c r="O27" i="6" s="1"/>
  <c r="J27" i="6"/>
  <c r="F27" i="6"/>
  <c r="G27" i="6" s="1"/>
  <c r="B27" i="6"/>
  <c r="C27" i="6" s="1"/>
  <c r="M25" i="6"/>
  <c r="I25" i="6"/>
  <c r="E25" i="6"/>
  <c r="A25" i="6"/>
  <c r="N13" i="6"/>
  <c r="O14" i="6" s="1"/>
  <c r="J13" i="6"/>
  <c r="K14" i="6" s="1"/>
  <c r="F13" i="6"/>
  <c r="G13" i="6" s="1"/>
  <c r="N12" i="6"/>
  <c r="J12" i="6"/>
  <c r="F12" i="6"/>
  <c r="B12" i="6"/>
  <c r="N11" i="6"/>
  <c r="O12" i="6" s="1"/>
  <c r="J11" i="6"/>
  <c r="F11" i="6"/>
  <c r="M9" i="6"/>
  <c r="I9" i="6"/>
  <c r="E9" i="6"/>
  <c r="A9" i="6"/>
  <c r="B13" i="20"/>
  <c r="M100" i="19"/>
  <c r="B6" i="19" s="1"/>
  <c r="L100" i="19"/>
  <c r="K100" i="19"/>
  <c r="J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AD47" i="19"/>
  <c r="X47" i="19"/>
  <c r="W47" i="19"/>
  <c r="V47" i="19"/>
  <c r="U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X39" i="19"/>
  <c r="W39" i="19"/>
  <c r="V39" i="19"/>
  <c r="U39" i="19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X27" i="19"/>
  <c r="W27" i="19"/>
  <c r="V27" i="19"/>
  <c r="AF27" i="19" s="1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O22" i="19"/>
  <c r="N22" i="19"/>
  <c r="B18" i="19"/>
  <c r="C9" i="19"/>
  <c r="C8" i="19"/>
  <c r="G63" i="18"/>
  <c r="F63" i="18"/>
  <c r="E63" i="18"/>
  <c r="D63" i="18"/>
  <c r="C63" i="18"/>
  <c r="B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G48" i="18"/>
  <c r="F48" i="18"/>
  <c r="E48" i="18"/>
  <c r="D48" i="18"/>
  <c r="C48" i="18"/>
  <c r="B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B30" i="18"/>
  <c r="B29" i="18"/>
  <c r="B28" i="18"/>
  <c r="B27" i="18"/>
  <c r="B25" i="18"/>
  <c r="B24" i="18"/>
  <c r="B23" i="18"/>
  <c r="F22" i="18"/>
  <c r="G22" i="18" s="1"/>
  <c r="F21" i="18"/>
  <c r="F20" i="18"/>
  <c r="G20" i="18" s="1"/>
  <c r="F19" i="18"/>
  <c r="L15" i="18"/>
  <c r="K15" i="18"/>
  <c r="O13" i="18"/>
  <c r="N13" i="18"/>
  <c r="M10" i="18"/>
  <c r="M15" i="18" s="1"/>
  <c r="L10" i="18"/>
  <c r="K10" i="18"/>
  <c r="J10" i="18"/>
  <c r="O10" i="18" s="1"/>
  <c r="P9" i="18"/>
  <c r="M9" i="18"/>
  <c r="B19" i="18" s="1"/>
  <c r="L9" i="18"/>
  <c r="O9" i="18" s="1"/>
  <c r="K9" i="18"/>
  <c r="B21" i="18" s="1"/>
  <c r="J9" i="18"/>
  <c r="B22" i="18" s="1"/>
  <c r="C22" i="18" s="1"/>
  <c r="O8" i="18"/>
  <c r="N8" i="18"/>
  <c r="O7" i="18"/>
  <c r="N7" i="18"/>
  <c r="O6" i="18"/>
  <c r="N6" i="18"/>
  <c r="B37" i="17"/>
  <c r="C46" i="16"/>
  <c r="G44" i="16"/>
  <c r="G28" i="16"/>
  <c r="G27" i="16"/>
  <c r="O11" i="16"/>
  <c r="K11" i="16"/>
  <c r="M17" i="15"/>
  <c r="L17" i="15"/>
  <c r="K17" i="15"/>
  <c r="J17" i="15"/>
  <c r="P18" i="15" s="1"/>
  <c r="O16" i="15"/>
  <c r="N16" i="15"/>
  <c r="O15" i="15"/>
  <c r="N15" i="15"/>
  <c r="O14" i="15"/>
  <c r="N14" i="15"/>
  <c r="O13" i="15"/>
  <c r="N13" i="15"/>
  <c r="O12" i="15"/>
  <c r="N12" i="15"/>
  <c r="O11" i="15"/>
  <c r="N11" i="15"/>
  <c r="O10" i="15"/>
  <c r="N10" i="15"/>
  <c r="O9" i="15"/>
  <c r="N9" i="15"/>
  <c r="O8" i="15"/>
  <c r="N8" i="15"/>
  <c r="O7" i="15"/>
  <c r="N7" i="15"/>
  <c r="M37" i="14"/>
  <c r="L37" i="14"/>
  <c r="K37" i="14"/>
  <c r="J37" i="14"/>
  <c r="O37" i="14" s="1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B17" i="13"/>
  <c r="D17" i="12"/>
  <c r="C17" i="12"/>
  <c r="B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G46" i="11"/>
  <c r="C46" i="11"/>
  <c r="G43" i="11"/>
  <c r="O29" i="11"/>
  <c r="O27" i="11"/>
  <c r="G27" i="11"/>
  <c r="C27" i="11"/>
  <c r="O14" i="11"/>
  <c r="O12" i="11"/>
  <c r="P18" i="10"/>
  <c r="M17" i="10"/>
  <c r="L17" i="10"/>
  <c r="K17" i="10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O8" i="10"/>
  <c r="N8" i="10"/>
  <c r="O7" i="10"/>
  <c r="N7" i="10"/>
  <c r="M72" i="9"/>
  <c r="L72" i="9"/>
  <c r="K72" i="9"/>
  <c r="J72" i="9"/>
  <c r="O72" i="9" s="1"/>
  <c r="O71" i="9"/>
  <c r="N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B17" i="8"/>
  <c r="F16" i="7"/>
  <c r="F15" i="7"/>
  <c r="F14" i="7"/>
  <c r="F13" i="7"/>
  <c r="F12" i="7"/>
  <c r="F11" i="7"/>
  <c r="F10" i="7"/>
  <c r="F9" i="7"/>
  <c r="F8" i="7"/>
  <c r="F7" i="7"/>
  <c r="G43" i="6"/>
  <c r="G30" i="6"/>
  <c r="O29" i="6"/>
  <c r="G28" i="6"/>
  <c r="K27" i="6"/>
  <c r="G14" i="6"/>
  <c r="G12" i="6"/>
  <c r="G11" i="6"/>
  <c r="M17" i="5"/>
  <c r="B11" i="6" s="1"/>
  <c r="C11" i="6" s="1"/>
  <c r="L17" i="5"/>
  <c r="K17" i="5"/>
  <c r="B13" i="6" s="1"/>
  <c r="J17" i="5"/>
  <c r="B14" i="6" s="1"/>
  <c r="C15" i="6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M192" i="4"/>
  <c r="L192" i="4"/>
  <c r="K192" i="4"/>
  <c r="J192" i="4"/>
  <c r="O191" i="4"/>
  <c r="N191" i="4"/>
  <c r="O190" i="4"/>
  <c r="N190" i="4"/>
  <c r="O189" i="4"/>
  <c r="N189" i="4"/>
  <c r="O188" i="4"/>
  <c r="N188" i="4"/>
  <c r="O187" i="4"/>
  <c r="N187" i="4"/>
  <c r="O186" i="4"/>
  <c r="N186" i="4"/>
  <c r="O185" i="4"/>
  <c r="N185" i="4"/>
  <c r="O184" i="4"/>
  <c r="N184" i="4"/>
  <c r="O182" i="4"/>
  <c r="N182" i="4"/>
  <c r="O181" i="4"/>
  <c r="N181" i="4"/>
  <c r="O180" i="4"/>
  <c r="N180" i="4"/>
  <c r="O179" i="4"/>
  <c r="N179" i="4"/>
  <c r="O178" i="4"/>
  <c r="N178" i="4"/>
  <c r="O177" i="4"/>
  <c r="N177" i="4"/>
  <c r="O176" i="4"/>
  <c r="N176" i="4"/>
  <c r="O175" i="4"/>
  <c r="N175" i="4"/>
  <c r="O174" i="4"/>
  <c r="N174" i="4"/>
  <c r="O173" i="4"/>
  <c r="N173" i="4"/>
  <c r="O172" i="4"/>
  <c r="N172" i="4"/>
  <c r="O171" i="4"/>
  <c r="N171" i="4"/>
  <c r="O170" i="4"/>
  <c r="N170" i="4"/>
  <c r="O168" i="4"/>
  <c r="N168" i="4"/>
  <c r="O167" i="4"/>
  <c r="N167" i="4"/>
  <c r="O166" i="4"/>
  <c r="N166" i="4"/>
  <c r="O165" i="4"/>
  <c r="N165" i="4"/>
  <c r="O164" i="4"/>
  <c r="N164" i="4"/>
  <c r="O163" i="4"/>
  <c r="N163" i="4"/>
  <c r="O162" i="4"/>
  <c r="N162" i="4"/>
  <c r="O161" i="4"/>
  <c r="N161" i="4"/>
  <c r="O160" i="4"/>
  <c r="N160" i="4"/>
  <c r="O159" i="4"/>
  <c r="N159" i="4"/>
  <c r="O158" i="4"/>
  <c r="N158" i="4"/>
  <c r="O157" i="4"/>
  <c r="N157" i="4"/>
  <c r="O156" i="4"/>
  <c r="N156" i="4"/>
  <c r="O155" i="4"/>
  <c r="N155" i="4"/>
  <c r="O154" i="4"/>
  <c r="N154" i="4"/>
  <c r="O153" i="4"/>
  <c r="N153" i="4"/>
  <c r="O152" i="4"/>
  <c r="N152" i="4"/>
  <c r="O151" i="4"/>
  <c r="N151" i="4"/>
  <c r="O150" i="4"/>
  <c r="N150" i="4"/>
  <c r="O149" i="4"/>
  <c r="N149" i="4"/>
  <c r="O148" i="4"/>
  <c r="N148" i="4"/>
  <c r="O147" i="4"/>
  <c r="N147" i="4"/>
  <c r="O146" i="4"/>
  <c r="N146" i="4"/>
  <c r="O145" i="4"/>
  <c r="N145" i="4"/>
  <c r="O144" i="4"/>
  <c r="N144" i="4"/>
  <c r="O143" i="4"/>
  <c r="N143" i="4"/>
  <c r="O142" i="4"/>
  <c r="N142" i="4"/>
  <c r="O141" i="4"/>
  <c r="N141" i="4"/>
  <c r="O140" i="4"/>
  <c r="N140" i="4"/>
  <c r="O139" i="4"/>
  <c r="N139" i="4"/>
  <c r="O138" i="4"/>
  <c r="N138" i="4"/>
  <c r="O137" i="4"/>
  <c r="N137" i="4"/>
  <c r="O136" i="4"/>
  <c r="N136" i="4"/>
  <c r="O135" i="4"/>
  <c r="N135" i="4"/>
  <c r="O134" i="4"/>
  <c r="N134" i="4"/>
  <c r="O133" i="4"/>
  <c r="N133" i="4"/>
  <c r="O132" i="4"/>
  <c r="N132" i="4"/>
  <c r="O131" i="4"/>
  <c r="N131" i="4"/>
  <c r="O130" i="4"/>
  <c r="N130" i="4"/>
  <c r="O129" i="4"/>
  <c r="N129" i="4"/>
  <c r="O128" i="4"/>
  <c r="N128" i="4"/>
  <c r="O127" i="4"/>
  <c r="N127" i="4"/>
  <c r="O126" i="4"/>
  <c r="N126" i="4"/>
  <c r="O125" i="4"/>
  <c r="N125" i="4"/>
  <c r="O124" i="4"/>
  <c r="N124" i="4"/>
  <c r="O123" i="4"/>
  <c r="N123" i="4"/>
  <c r="O122" i="4"/>
  <c r="N122" i="4"/>
  <c r="O121" i="4"/>
  <c r="N121" i="4"/>
  <c r="O120" i="4"/>
  <c r="N120" i="4"/>
  <c r="O119" i="4"/>
  <c r="N119" i="4"/>
  <c r="O118" i="4"/>
  <c r="N118" i="4"/>
  <c r="O117" i="4"/>
  <c r="N117" i="4"/>
  <c r="O116" i="4"/>
  <c r="N116" i="4"/>
  <c r="O115" i="4"/>
  <c r="N115" i="4"/>
  <c r="O114" i="4"/>
  <c r="N114" i="4"/>
  <c r="O113" i="4"/>
  <c r="N113" i="4"/>
  <c r="O112" i="4"/>
  <c r="N112" i="4"/>
  <c r="O111" i="4"/>
  <c r="N111" i="4"/>
  <c r="O110" i="4"/>
  <c r="N110" i="4"/>
  <c r="O109" i="4"/>
  <c r="N109" i="4"/>
  <c r="O108" i="4"/>
  <c r="N108" i="4"/>
  <c r="O107" i="4"/>
  <c r="N107" i="4"/>
  <c r="O106" i="4"/>
  <c r="N106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4" i="4"/>
  <c r="N94" i="4"/>
  <c r="O93" i="4"/>
  <c r="N93" i="4"/>
  <c r="O92" i="4"/>
  <c r="N92" i="4"/>
  <c r="O91" i="4"/>
  <c r="N91" i="4"/>
  <c r="O90" i="4"/>
  <c r="N90" i="4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O75" i="4"/>
  <c r="N75" i="4"/>
  <c r="O74" i="4"/>
  <c r="N74" i="4"/>
  <c r="O73" i="4"/>
  <c r="N73" i="4"/>
  <c r="O72" i="4"/>
  <c r="N72" i="4"/>
  <c r="O71" i="4"/>
  <c r="N71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O40" i="4"/>
  <c r="N40" i="4"/>
  <c r="O39" i="4"/>
  <c r="N39" i="4"/>
  <c r="O38" i="4"/>
  <c r="N38" i="4"/>
  <c r="O37" i="4"/>
  <c r="N37" i="4"/>
  <c r="O36" i="4"/>
  <c r="N36" i="4"/>
  <c r="O35" i="4"/>
  <c r="N35" i="4"/>
  <c r="O34" i="4"/>
  <c r="N34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2" i="4"/>
  <c r="N12" i="4"/>
  <c r="O11" i="4"/>
  <c r="N11" i="4"/>
  <c r="O10" i="4"/>
  <c r="N10" i="4"/>
  <c r="O9" i="4"/>
  <c r="N9" i="4"/>
  <c r="O7" i="4"/>
  <c r="N7" i="4"/>
  <c r="O6" i="4"/>
  <c r="N6" i="4"/>
  <c r="O5" i="4"/>
  <c r="N5" i="4"/>
  <c r="M11" i="3"/>
  <c r="L11" i="3"/>
  <c r="K11" i="3"/>
  <c r="J11" i="3"/>
  <c r="O10" i="3"/>
  <c r="N10" i="3"/>
  <c r="O9" i="3"/>
  <c r="N9" i="3"/>
  <c r="O8" i="3"/>
  <c r="N8" i="3"/>
  <c r="O7" i="3"/>
  <c r="N7" i="3"/>
  <c r="O6" i="3"/>
  <c r="N6" i="3"/>
  <c r="O5" i="3"/>
  <c r="N5" i="3"/>
  <c r="P24" i="2"/>
  <c r="O24" i="2"/>
  <c r="N24" i="2"/>
  <c r="M24" i="2"/>
  <c r="S24" i="2" s="1"/>
  <c r="S23" i="2"/>
  <c r="Q23" i="2"/>
  <c r="S22" i="2"/>
  <c r="Q22" i="2"/>
  <c r="S21" i="2"/>
  <c r="Q21" i="2"/>
  <c r="S20" i="2"/>
  <c r="Q20" i="2"/>
  <c r="S19" i="2"/>
  <c r="Q19" i="2"/>
  <c r="B18" i="2"/>
  <c r="B17" i="2"/>
  <c r="C8" i="2"/>
  <c r="C7" i="2"/>
  <c r="C6" i="2"/>
  <c r="C5" i="2"/>
  <c r="AF39" i="19" l="1"/>
  <c r="C28" i="16"/>
  <c r="G29" i="6"/>
  <c r="G44" i="6"/>
  <c r="C29" i="6"/>
  <c r="C44" i="6"/>
  <c r="C28" i="6"/>
  <c r="C12" i="6"/>
  <c r="C14" i="6"/>
  <c r="C13" i="6"/>
  <c r="K12" i="6"/>
  <c r="B32" i="18"/>
  <c r="B31" i="18"/>
  <c r="G12" i="16"/>
  <c r="G13" i="16"/>
  <c r="N17" i="15"/>
  <c r="O17" i="10"/>
  <c r="K12" i="11"/>
  <c r="K28" i="11"/>
  <c r="K29" i="11"/>
  <c r="O13" i="11"/>
  <c r="O28" i="11"/>
  <c r="O192" i="4"/>
  <c r="G65" i="18"/>
  <c r="C65" i="18"/>
  <c r="B65" i="18"/>
  <c r="F65" i="18"/>
  <c r="N9" i="18"/>
  <c r="C13" i="16"/>
  <c r="C14" i="16"/>
  <c r="G14" i="16"/>
  <c r="O28" i="16"/>
  <c r="K27" i="16"/>
  <c r="K29" i="16"/>
  <c r="K12" i="16"/>
  <c r="C29" i="16"/>
  <c r="C30" i="16"/>
  <c r="N18" i="15"/>
  <c r="O27" i="16"/>
  <c r="C44" i="16"/>
  <c r="O12" i="16"/>
  <c r="O13" i="16"/>
  <c r="G29" i="16"/>
  <c r="G30" i="16"/>
  <c r="G45" i="16"/>
  <c r="F17" i="12"/>
  <c r="K13" i="11"/>
  <c r="K30" i="11"/>
  <c r="G28" i="11"/>
  <c r="O11" i="6"/>
  <c r="O13" i="6"/>
  <c r="N11" i="3"/>
  <c r="P9" i="3" s="1"/>
  <c r="AG47" i="19"/>
  <c r="AG39" i="19"/>
  <c r="AG33" i="19"/>
  <c r="AG27" i="19"/>
  <c r="D65" i="18"/>
  <c r="H48" i="18"/>
  <c r="N10" i="18"/>
  <c r="N15" i="18" s="1"/>
  <c r="Q8" i="18" s="1"/>
  <c r="O14" i="16"/>
  <c r="O29" i="16"/>
  <c r="G46" i="16"/>
  <c r="K14" i="16"/>
  <c r="E17" i="12"/>
  <c r="F17" i="7"/>
  <c r="K28" i="6"/>
  <c r="N17" i="5"/>
  <c r="C43" i="6"/>
  <c r="O28" i="6"/>
  <c r="O30" i="6"/>
  <c r="O17" i="5"/>
  <c r="P18" i="5"/>
  <c r="Q24" i="2"/>
  <c r="R21" i="2" s="1"/>
  <c r="K13" i="6"/>
  <c r="N72" i="9"/>
  <c r="P69" i="9" s="1"/>
  <c r="N37" i="14"/>
  <c r="P5" i="14" s="1"/>
  <c r="C12" i="11"/>
  <c r="C11" i="11"/>
  <c r="K11" i="6"/>
  <c r="N17" i="10"/>
  <c r="K13" i="16"/>
  <c r="G21" i="18"/>
  <c r="C46" i="6"/>
  <c r="C45" i="6"/>
  <c r="C28" i="11"/>
  <c r="C29" i="11"/>
  <c r="E65" i="18"/>
  <c r="AF47" i="19"/>
  <c r="C14" i="11"/>
  <c r="C13" i="11"/>
  <c r="H63" i="18"/>
  <c r="K29" i="6"/>
  <c r="C19" i="18"/>
  <c r="AF33" i="19"/>
  <c r="C7" i="19"/>
  <c r="C6" i="19"/>
  <c r="B19" i="19"/>
  <c r="O17" i="15"/>
  <c r="G45" i="6"/>
  <c r="G11" i="11"/>
  <c r="G13" i="11"/>
  <c r="G29" i="11"/>
  <c r="J15" i="18"/>
  <c r="O15" i="18" s="1"/>
  <c r="O11" i="3"/>
  <c r="C44" i="11"/>
  <c r="N192" i="4"/>
  <c r="E17" i="7"/>
  <c r="G44" i="11"/>
  <c r="G19" i="18"/>
  <c r="N100" i="19"/>
  <c r="B20" i="18"/>
  <c r="C20" i="18" s="1"/>
  <c r="P169" i="4" l="1"/>
  <c r="P183" i="4"/>
  <c r="P70" i="4"/>
  <c r="P89" i="4"/>
  <c r="P92" i="4"/>
  <c r="P8" i="4"/>
  <c r="P80" i="19"/>
  <c r="P25" i="19"/>
  <c r="P5" i="9"/>
  <c r="R19" i="2"/>
  <c r="H65" i="18"/>
  <c r="Q6" i="18"/>
  <c r="Q10" i="18" s="1"/>
  <c r="Q7" i="18"/>
  <c r="P85" i="4"/>
  <c r="P8" i="3"/>
  <c r="P6" i="3"/>
  <c r="P5" i="3"/>
  <c r="P11" i="3"/>
  <c r="P10" i="3"/>
  <c r="P7" i="3"/>
  <c r="P60" i="19"/>
  <c r="P53" i="19"/>
  <c r="P81" i="19"/>
  <c r="P35" i="19"/>
  <c r="P37" i="19"/>
  <c r="P64" i="19"/>
  <c r="P23" i="19"/>
  <c r="P69" i="19"/>
  <c r="Q13" i="18"/>
  <c r="P34" i="4"/>
  <c r="P176" i="4"/>
  <c r="P166" i="4"/>
  <c r="P143" i="4"/>
  <c r="P108" i="4"/>
  <c r="P185" i="4"/>
  <c r="P17" i="4"/>
  <c r="P36" i="4"/>
  <c r="P163" i="4"/>
  <c r="P103" i="4"/>
  <c r="P116" i="4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5" i="9"/>
  <c r="P41" i="9"/>
  <c r="P28" i="9"/>
  <c r="P36" i="9"/>
  <c r="P49" i="9"/>
  <c r="P17" i="9"/>
  <c r="P52" i="9"/>
  <c r="P44" i="9"/>
  <c r="P13" i="9"/>
  <c r="P57" i="9"/>
  <c r="P20" i="9"/>
  <c r="P37" i="9"/>
  <c r="P53" i="9"/>
  <c r="P65" i="9"/>
  <c r="P78" i="4"/>
  <c r="P13" i="4"/>
  <c r="P139" i="4"/>
  <c r="P74" i="4"/>
  <c r="P53" i="4"/>
  <c r="P175" i="4"/>
  <c r="P142" i="4"/>
  <c r="P77" i="4"/>
  <c r="P110" i="4"/>
  <c r="P173" i="4"/>
  <c r="P180" i="4"/>
  <c r="P102" i="4"/>
  <c r="P167" i="4"/>
  <c r="P37" i="4"/>
  <c r="P44" i="4"/>
  <c r="P158" i="4"/>
  <c r="P66" i="4"/>
  <c r="P99" i="4"/>
  <c r="P135" i="4"/>
  <c r="P42" i="4"/>
  <c r="P111" i="4"/>
  <c r="P155" i="4"/>
  <c r="P131" i="4"/>
  <c r="P12" i="4"/>
  <c r="P86" i="4"/>
  <c r="P134" i="4"/>
  <c r="P126" i="4"/>
  <c r="P75" i="4"/>
  <c r="P156" i="4"/>
  <c r="P26" i="4"/>
  <c r="P18" i="4"/>
  <c r="P147" i="4"/>
  <c r="P28" i="4"/>
  <c r="P60" i="4"/>
  <c r="P91" i="4"/>
  <c r="P124" i="4"/>
  <c r="P119" i="4"/>
  <c r="P49" i="4"/>
  <c r="P127" i="4"/>
  <c r="P57" i="4"/>
  <c r="P189" i="4"/>
  <c r="P68" i="4"/>
  <c r="P45" i="4"/>
  <c r="P118" i="4"/>
  <c r="R23" i="2"/>
  <c r="R22" i="2"/>
  <c r="P46" i="19"/>
  <c r="P56" i="19"/>
  <c r="P77" i="19"/>
  <c r="P64" i="9"/>
  <c r="P56" i="9"/>
  <c r="P48" i="9"/>
  <c r="P40" i="9"/>
  <c r="P32" i="9"/>
  <c r="P24" i="9"/>
  <c r="P16" i="9"/>
  <c r="P8" i="9"/>
  <c r="P66" i="9"/>
  <c r="P58" i="9"/>
  <c r="P50" i="9"/>
  <c r="P42" i="9"/>
  <c r="P34" i="9"/>
  <c r="P26" i="9"/>
  <c r="P18" i="9"/>
  <c r="P10" i="9"/>
  <c r="P38" i="9"/>
  <c r="P22" i="9"/>
  <c r="P71" i="9"/>
  <c r="P63" i="9"/>
  <c r="P55" i="9"/>
  <c r="P47" i="9"/>
  <c r="P39" i="9"/>
  <c r="P31" i="9"/>
  <c r="P23" i="9"/>
  <c r="P15" i="9"/>
  <c r="P7" i="9"/>
  <c r="P70" i="9"/>
  <c r="P62" i="9"/>
  <c r="P54" i="9"/>
  <c r="P30" i="9"/>
  <c r="P14" i="9"/>
  <c r="P46" i="9"/>
  <c r="P6" i="9"/>
  <c r="P67" i="9"/>
  <c r="P11" i="9"/>
  <c r="P59" i="9"/>
  <c r="P51" i="9"/>
  <c r="P43" i="9"/>
  <c r="P35" i="9"/>
  <c r="P27" i="9"/>
  <c r="P19" i="9"/>
  <c r="P140" i="4"/>
  <c r="P41" i="19"/>
  <c r="P52" i="19"/>
  <c r="P48" i="19"/>
  <c r="P9" i="9"/>
  <c r="P107" i="4"/>
  <c r="P21" i="4"/>
  <c r="P39" i="19"/>
  <c r="P68" i="19"/>
  <c r="P97" i="19"/>
  <c r="P36" i="19"/>
  <c r="P132" i="4"/>
  <c r="P20" i="4"/>
  <c r="P164" i="4"/>
  <c r="P57" i="19"/>
  <c r="P24" i="19"/>
  <c r="P69" i="4"/>
  <c r="P33" i="19"/>
  <c r="P148" i="4"/>
  <c r="P93" i="19"/>
  <c r="P33" i="9"/>
  <c r="P65" i="4"/>
  <c r="P83" i="4"/>
  <c r="P25" i="4"/>
  <c r="C21" i="18"/>
  <c r="P25" i="9"/>
  <c r="P92" i="19"/>
  <c r="P95" i="4"/>
  <c r="P10" i="4"/>
  <c r="P61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22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192" i="4"/>
  <c r="P188" i="4"/>
  <c r="P179" i="4"/>
  <c r="P171" i="4"/>
  <c r="P162" i="4"/>
  <c r="P154" i="4"/>
  <c r="P146" i="4"/>
  <c r="P138" i="4"/>
  <c r="P130" i="4"/>
  <c r="P122" i="4"/>
  <c r="P114" i="4"/>
  <c r="P106" i="4"/>
  <c r="P98" i="4"/>
  <c r="P90" i="4"/>
  <c r="P81" i="4"/>
  <c r="P73" i="4"/>
  <c r="P64" i="4"/>
  <c r="P56" i="4"/>
  <c r="P48" i="4"/>
  <c r="P40" i="4"/>
  <c r="P32" i="4"/>
  <c r="P24" i="4"/>
  <c r="P16" i="4"/>
  <c r="P7" i="4"/>
  <c r="P54" i="4"/>
  <c r="P144" i="4"/>
  <c r="P104" i="4"/>
  <c r="P38" i="4"/>
  <c r="P177" i="4"/>
  <c r="P168" i="4"/>
  <c r="P87" i="4"/>
  <c r="P46" i="4"/>
  <c r="P14" i="4"/>
  <c r="P187" i="4"/>
  <c r="P178" i="4"/>
  <c r="P170" i="4"/>
  <c r="P161" i="4"/>
  <c r="P153" i="4"/>
  <c r="P145" i="4"/>
  <c r="P137" i="4"/>
  <c r="P129" i="4"/>
  <c r="P121" i="4"/>
  <c r="P113" i="4"/>
  <c r="P105" i="4"/>
  <c r="P97" i="4"/>
  <c r="P88" i="4"/>
  <c r="P80" i="4"/>
  <c r="P72" i="4"/>
  <c r="P63" i="4"/>
  <c r="P55" i="4"/>
  <c r="P47" i="4"/>
  <c r="P39" i="4"/>
  <c r="P31" i="4"/>
  <c r="P23" i="4"/>
  <c r="P15" i="4"/>
  <c r="P6" i="4"/>
  <c r="P152" i="4"/>
  <c r="P136" i="4"/>
  <c r="P120" i="4"/>
  <c r="P96" i="4"/>
  <c r="P79" i="4"/>
  <c r="P62" i="4"/>
  <c r="P22" i="4"/>
  <c r="P186" i="4"/>
  <c r="P160" i="4"/>
  <c r="P112" i="4"/>
  <c r="P30" i="4"/>
  <c r="P5" i="4"/>
  <c r="P128" i="4"/>
  <c r="P71" i="4"/>
  <c r="P165" i="4"/>
  <c r="P101" i="4"/>
  <c r="P35" i="4"/>
  <c r="P117" i="4"/>
  <c r="P51" i="4"/>
  <c r="P174" i="4"/>
  <c r="P157" i="4"/>
  <c r="P93" i="4"/>
  <c r="P27" i="4"/>
  <c r="P141" i="4"/>
  <c r="P76" i="4"/>
  <c r="P149" i="4"/>
  <c r="P84" i="4"/>
  <c r="P19" i="4"/>
  <c r="P11" i="4"/>
  <c r="P133" i="4"/>
  <c r="P67" i="4"/>
  <c r="P182" i="4"/>
  <c r="P191" i="4"/>
  <c r="P125" i="4"/>
  <c r="P59" i="4"/>
  <c r="P109" i="4"/>
  <c r="P43" i="4"/>
  <c r="P29" i="19"/>
  <c r="P94" i="4"/>
  <c r="P9" i="4"/>
  <c r="P115" i="4"/>
  <c r="P68" i="9"/>
  <c r="P190" i="4"/>
  <c r="P58" i="4"/>
  <c r="P33" i="4"/>
  <c r="P29" i="9"/>
  <c r="P61" i="4"/>
  <c r="P29" i="4"/>
  <c r="P89" i="19"/>
  <c r="P21" i="9"/>
  <c r="P42" i="19"/>
  <c r="P88" i="19"/>
  <c r="P184" i="4"/>
  <c r="P52" i="4"/>
  <c r="P76" i="19"/>
  <c r="P12" i="9"/>
  <c r="P60" i="9"/>
  <c r="P82" i="4"/>
  <c r="P123" i="4"/>
  <c r="P100" i="4"/>
  <c r="P151" i="4"/>
  <c r="P150" i="4"/>
  <c r="P31" i="19"/>
  <c r="P181" i="4"/>
  <c r="P50" i="4"/>
  <c r="P85" i="19"/>
  <c r="P30" i="19"/>
  <c r="P84" i="19"/>
  <c r="P172" i="4"/>
  <c r="P41" i="4"/>
  <c r="P65" i="19"/>
  <c r="P159" i="4"/>
  <c r="P26" i="19"/>
  <c r="P72" i="19"/>
  <c r="P73" i="19"/>
  <c r="P61" i="19"/>
  <c r="P37" i="14" l="1"/>
  <c r="R24" i="2"/>
  <c r="Q15" i="18"/>
  <c r="P72" i="9"/>
  <c r="P100" i="19"/>
</calcChain>
</file>

<file path=xl/sharedStrings.xml><?xml version="1.0" encoding="utf-8"?>
<sst xmlns="http://schemas.openxmlformats.org/spreadsheetml/2006/main" count="976" uniqueCount="463">
  <si>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</si>
  <si>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</si>
  <si>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</si>
  <si>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</si>
  <si>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</si>
  <si>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</si>
  <si>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</si>
  <si>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</si>
  <si>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</si>
  <si>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</si>
  <si>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</si>
  <si>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</si>
  <si>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</si>
  <si>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</si>
  <si>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</si>
  <si>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</si>
  <si>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</si>
  <si>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</si>
  <si>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</si>
  <si>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</si>
  <si>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</si>
  <si>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</si>
  <si>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</si>
  <si>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</si>
  <si>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</si>
  <si>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</si>
  <si>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</si>
  <si>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</si>
  <si>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</si>
  <si>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</si>
  <si>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</si>
  <si>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</si>
  <si>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</si>
  <si>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</si>
  <si>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</si>
  <si>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</si>
  <si>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</si>
  <si>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</si>
  <si>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</si>
  <si>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</si>
  <si>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</si>
  <si>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</si>
  <si>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</si>
  <si>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</si>
  <si>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</si>
  <si>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</si>
  <si>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</si>
  <si>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</si>
  <si>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</si>
  <si>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</si>
  <si>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</si>
  <si>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</si>
  <si>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</si>
  <si>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</si>
  <si>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</si>
  <si>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</si>
  <si>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Buraco e pavimentação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</si>
  <si>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</si>
  <si>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</si>
  <si>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</si>
  <si>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</si>
  <si>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</si>
  <si>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</si>
  <si>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</si>
  <si>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</si>
  <si>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</si>
  <si>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</si>
  <si>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</si>
  <si>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</si>
  <si>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</si>
  <si>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</si>
  <si>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</si>
  <si>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</si>
  <si>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</si>
  <si>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</si>
  <si>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</si>
  <si>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</si>
  <si>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</si>
  <si>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</si>
  <si>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</si>
  <si>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</si>
  <si>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</si>
  <si>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</si>
  <si>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</si>
  <si>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</si>
  <si>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</si>
  <si>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</si>
  <si>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</si>
  <si>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</si>
  <si>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</si>
  <si>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</si>
  <si>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</si>
  <si>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</si>
  <si>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</si>
  <si>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</si>
  <si>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</si>
  <si>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 xml:space="preserve">Ecoponto 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</si>
  <si>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</si>
  <si>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</si>
  <si>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</si>
  <si>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</si>
  <si>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</si>
  <si>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</si>
  <si>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</si>
  <si>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 médicos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</si>
  <si>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</si>
  <si>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</si>
  <si>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</si>
  <si>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</si>
  <si>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</si>
  <si>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</si>
  <si>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</si>
  <si>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</si>
  <si>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</si>
  <si>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</si>
  <si>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</si>
  <si>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</si>
  <si>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</si>
  <si>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</si>
  <si>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</si>
  <si>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</si>
  <si>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</si>
  <si>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</si>
  <si>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</si>
  <si>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</si>
  <si>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</si>
  <si>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</si>
  <si>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</si>
  <si>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</si>
  <si>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</si>
  <si>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</si>
  <si>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</si>
  <si>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</si>
  <si>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</si>
  <si>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</si>
  <si>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</si>
  <si>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</si>
  <si>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</si>
  <si>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</si>
  <si>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</si>
  <si>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</si>
  <si>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</si>
  <si>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</si>
  <si>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</si>
  <si>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</si>
  <si>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</si>
  <si>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</si>
  <si>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</si>
  <si>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</si>
  <si>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Parcelamento de tributo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</si>
  <si>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</si>
  <si>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</si>
  <si>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</si>
  <si>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</si>
  <si>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</si>
  <si>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</si>
  <si>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</si>
  <si>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</si>
  <si>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de ônibus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</si>
  <si>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</si>
  <si>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</si>
  <si>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</si>
  <si>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</si>
  <si>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</si>
  <si>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</si>
  <si>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PRCON Cidade de São Paulo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</si>
  <si>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</si>
  <si>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</si>
  <si>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</si>
  <si>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</si>
  <si>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</si>
  <si>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</si>
  <si>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</si>
  <si>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</si>
  <si>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</si>
  <si>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</si>
  <si>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</si>
  <si>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Regime Especial de Tributação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</si>
  <si>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</si>
  <si>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</si>
  <si>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</si>
  <si>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</si>
  <si>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</si>
  <si>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</si>
  <si>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</si>
  <si>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</si>
  <si>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</si>
  <si>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</si>
  <si>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</si>
  <si>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</si>
  <si>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</si>
  <si>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</si>
  <si>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</si>
  <si>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</si>
  <si>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</si>
  <si>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</si>
  <si>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</si>
  <si>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</si>
  <si>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</si>
  <si>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</si>
  <si>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</si>
  <si>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</si>
  <si>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</si>
  <si>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</si>
  <si>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</si>
  <si>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</si>
  <si>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</si>
  <si>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</si>
  <si>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</si>
  <si>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</si>
  <si>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</si>
  <si>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</si>
  <si>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Assuntos - 10 mais demandados de 2023 (Média)</t>
  </si>
  <si>
    <t>Unidades PMSP</t>
  </si>
  <si>
    <t>Outros</t>
  </si>
  <si>
    <t>%total</t>
  </si>
  <si>
    <t>Assuntos - variação dos 10 mais demandados de 2023 (MÉDIA)</t>
  </si>
  <si>
    <t>*Protocolos - valores absolutos do mês</t>
  </si>
  <si>
    <t>** Variação percentual em relação ao mês imediatamente anterior.</t>
  </si>
  <si>
    <t>Protocolos*</t>
  </si>
  <si>
    <t>Variação**</t>
  </si>
  <si>
    <t>Assuntos - 10 mais demandados dos 3 últimos meses (Média)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</si>
  <si>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</si>
  <si>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</si>
  <si>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</si>
  <si>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</si>
  <si>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</si>
  <si>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</si>
  <si>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</si>
  <si>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</si>
  <si>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</si>
  <si>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</si>
  <si>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</si>
  <si>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</si>
  <si>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</si>
  <si>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</si>
  <si>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</si>
  <si>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</si>
  <si>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</si>
  <si>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</si>
  <si>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</si>
  <si>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</si>
  <si>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</si>
  <si>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</si>
  <si>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</si>
  <si>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</si>
  <si>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</si>
  <si>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</si>
  <si>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</si>
  <si>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</si>
  <si>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</si>
  <si>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</si>
  <si>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</si>
  <si>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</si>
  <si>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</si>
  <si>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Serviço Funerário do Município de São Paulo - SFMSP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</si>
  <si>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</si>
  <si>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</si>
  <si>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</si>
  <si>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</si>
  <si>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</si>
  <si>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</si>
  <si>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</si>
  <si>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</si>
  <si>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</si>
  <si>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</si>
  <si>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</si>
  <si>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</si>
  <si>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</si>
  <si>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</si>
  <si>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</si>
  <si>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</si>
  <si>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</si>
  <si>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</si>
  <si>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</si>
  <si>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</si>
  <si>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</si>
  <si>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</si>
  <si>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</si>
  <si>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</si>
  <si>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</si>
  <si>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</si>
  <si>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</si>
  <si>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</si>
  <si>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</si>
  <si>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</si>
  <si>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</si>
  <si>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</si>
  <si>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</si>
  <si>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** Apartir de março_22 AMLURB desmembrada em SPRegula e SELimp</t>
  </si>
  <si>
    <t>Unidades - 10 mais demandadas de 2023 (Média)</t>
  </si>
  <si>
    <t>Unidades - variação dos 10 mais demandados de 2023 (MÉDIA)</t>
  </si>
  <si>
    <t>Unidades - 10 mais demandadas dos 3 últimos meses (Média)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</si>
  <si>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</si>
  <si>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</si>
  <si>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</si>
  <si>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</si>
  <si>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</si>
  <si>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</si>
  <si>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</si>
  <si>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</si>
  <si>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</si>
  <si>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</si>
  <si>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</si>
  <si>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</si>
  <si>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</si>
  <si>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</si>
  <si>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</si>
  <si>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</si>
  <si>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</si>
  <si>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</si>
  <si>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</si>
  <si>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</si>
  <si>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</si>
  <si>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</si>
  <si>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</si>
  <si>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</si>
  <si>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</si>
  <si>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</si>
  <si>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</si>
  <si>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</si>
  <si>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</si>
  <si>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</si>
  <si>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</si>
  <si>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</si>
  <si>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</si>
  <si>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</si>
  <si>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>Subprefeituras - 10 mais demandados de 2023 (Média)</t>
  </si>
  <si>
    <t>Subprefeituras - variação dos 10 mais demandados de 2023 (MÉDIA)</t>
  </si>
  <si>
    <t xml:space="preserve">Total </t>
  </si>
  <si>
    <t>Média anual</t>
  </si>
  <si>
    <t>% Total 2023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</si>
  <si>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</si>
  <si>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</si>
  <si>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</si>
  <si>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</si>
  <si>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</si>
  <si>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</si>
  <si>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</si>
  <si>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</si>
  <si>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Denúncias* (exceto canceladas)</t>
  </si>
  <si>
    <t>Assédio moral</t>
  </si>
  <si>
    <t>Assédio sexual</t>
  </si>
  <si>
    <t>Conduta inadequada de funcionário(a) público(a)</t>
  </si>
  <si>
    <t>Desvio de verbas, materiais e bens públicos</t>
  </si>
  <si>
    <t>Ilegalidade na gestão pública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</si>
  <si>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</si>
  <si>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</si>
  <si>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</si>
  <si>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</si>
  <si>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</si>
  <si>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</si>
  <si>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</si>
  <si>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</si>
  <si>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</si>
  <si>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</si>
  <si>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</si>
  <si>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</si>
  <si>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</si>
  <si>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</si>
  <si>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</si>
  <si>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</si>
  <si>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</si>
  <si>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</si>
  <si>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</si>
  <si>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</si>
  <si>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</si>
  <si>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</si>
  <si>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</si>
  <si>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</si>
  <si>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</si>
  <si>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</si>
  <si>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</si>
  <si>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</si>
  <si>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</si>
  <si>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</si>
  <si>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</si>
  <si>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</si>
  <si>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</si>
  <si>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</si>
  <si>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</si>
  <si>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</si>
  <si>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</si>
  <si>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</si>
  <si>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</si>
  <si>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</si>
  <si>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</si>
  <si>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</si>
  <si>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</si>
  <si>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</si>
  <si>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</si>
  <si>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</si>
  <si>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</si>
  <si>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</si>
  <si>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</si>
  <si>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</si>
  <si>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</si>
  <si>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</si>
  <si>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</si>
  <si>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</si>
  <si>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 - Secretaria Municipal de Mobilidade e Transportes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</si>
  <si>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</si>
  <si>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</si>
  <si>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</si>
  <si>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</si>
  <si>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</si>
  <si>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</si>
  <si>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</si>
  <si>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</si>
  <si>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</si>
  <si>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</si>
  <si>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</si>
  <si>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</si>
  <si>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</si>
  <si>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</si>
  <si>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</si>
  <si>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</si>
  <si>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</si>
  <si>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</si>
  <si>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</si>
  <si>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</si>
  <si>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</si>
  <si>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SMT</t>
  </si>
  <si>
    <t>SMADS</t>
  </si>
  <si>
    <t>SEGES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</si>
  <si>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</si>
  <si>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</si>
  <si>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</si>
  <si>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</si>
  <si>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</si>
  <si>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</si>
  <si>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</si>
  <si>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</si>
  <si>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</si>
  <si>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</si>
  <si>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Janeiro</t>
  </si>
  <si>
    <t>Fevereiro</t>
  </si>
  <si>
    <t>Março</t>
  </si>
  <si>
    <t>Abril</t>
  </si>
  <si>
    <t>Maio</t>
  </si>
  <si>
    <t>Junho</t>
  </si>
  <si>
    <t>FINALIZADA</t>
  </si>
  <si>
    <t>CANCELADA</t>
  </si>
  <si>
    <t>PORTAL</t>
  </si>
  <si>
    <t>Julho</t>
  </si>
  <si>
    <t>DEFERIDAS</t>
  </si>
  <si>
    <t>INDEFERIDAS</t>
  </si>
  <si>
    <t>AHMSP Autarquia Hospitalar Municipal</t>
  </si>
  <si>
    <t>Secretaria Executiva de Comunicação</t>
  </si>
  <si>
    <t>SMC</t>
  </si>
  <si>
    <t>Acesso à informação</t>
  </si>
  <si>
    <t>Descomplica SP - Capela do Socorro</t>
  </si>
  <si>
    <t>Faixas exclusivas e corredores de ônibus</t>
  </si>
  <si>
    <t>Saúde mental</t>
  </si>
  <si>
    <t>Transtorno do espectro do autismo (TEA)</t>
  </si>
  <si>
    <t>% Canais de entrada AGO/23</t>
  </si>
  <si>
    <t>% em relação ao todo de AGO/23 (exetuando-se denúncias)</t>
  </si>
  <si>
    <t>10 assuntos mais demandados de AGOSTO/2023</t>
  </si>
  <si>
    <t>10 unidades mais demandadas de AGOSTO/23</t>
  </si>
  <si>
    <t>EM ANDAMENTO</t>
  </si>
  <si>
    <t>Agosto</t>
  </si>
  <si>
    <t>% Total AGO/23 dentro do STATUS</t>
  </si>
  <si>
    <t>Unidades PMSP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</si>
</sst>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6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  <font>
      <b/>
      <sz val="11"/>
      <color indexed="8"/>
      <name val="Calibri"/>
      <family val="2"/>
      <scheme val="minor"/>
    </font>
    <font>
      <sz val="8"/>
      <color theme="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1"/>
      <name val="Calibri"/>
      <family val="2"/>
    </font>
    <font>
      <b/>
      <sz val="8"/>
      <name val="Calibri"/>
      <family val="2"/>
    </font>
    <font>
      <sz val="12"/>
      <color theme="0"/>
      <name val="Arial "/>
    </font>
  </fonts>
  <fills count="29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249977111117893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medium">
        <color rgb="FF806000"/>
      </bottom>
      <diagonal/>
    </border>
    <border>
      <left/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/>
      <top style="medium">
        <color rgb="FF806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thin">
        <color rgb="FF806000"/>
      </bottom>
      <diagonal/>
    </border>
    <border>
      <left style="medium">
        <color rgb="FF806000"/>
      </left>
      <right/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 style="thin">
        <color rgb="FF806000"/>
      </bottom>
      <diagonal/>
    </border>
    <border>
      <left/>
      <right style="thin">
        <color rgb="FF806000"/>
      </right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/>
      <diagonal/>
    </border>
    <border>
      <left style="thin">
        <color rgb="FF806000"/>
      </left>
      <right/>
      <top/>
      <bottom style="thin">
        <color rgb="FF806000"/>
      </bottom>
      <diagonal/>
    </border>
    <border>
      <left style="medium">
        <color rgb="FF000000"/>
      </left>
      <right style="medium">
        <color rgb="FF806000"/>
      </right>
      <top style="thin">
        <color rgb="FF806000"/>
      </top>
      <bottom style="medium">
        <color rgb="FF806000"/>
      </bottom>
      <diagonal/>
    </border>
    <border>
      <left style="medium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rgb="FF806000"/>
      </bottom>
      <diagonal/>
    </border>
    <border>
      <left style="thin">
        <color rgb="FF806000"/>
      </left>
      <right/>
      <top/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203764"/>
      </right>
      <top/>
      <bottom style="medium">
        <color rgb="FF2037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6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5" fillId="0" borderId="0" applyNumberFormat="0" applyBorder="0" applyProtection="0"/>
    <xf numFmtId="0" fontId="2" fillId="0" borderId="0" applyNumberFormat="0" applyFont="0" applyBorder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00">
    <xf numFmtId="0" fontId="0" fillId="0" borderId="0" xfId="0"/>
    <xf numFmtId="0" fontId="7" fillId="0" borderId="0" xfId="0" applyFont="1"/>
    <xf numFmtId="1" fontId="0" fillId="0" borderId="0" xfId="0" applyNumberFormat="1"/>
    <xf numFmtId="165" fontId="0" fillId="0" borderId="0" xfId="0" applyNumberFormat="1"/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" fontId="7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7" fontId="7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3" fontId="8" fillId="0" borderId="7" xfId="0" applyNumberFormat="1" applyFont="1" applyBorder="1" applyAlignment="1">
      <alignment horizontal="center"/>
    </xf>
    <xf numFmtId="2" fontId="0" fillId="0" borderId="0" xfId="0" applyNumberFormat="1"/>
    <xf numFmtId="17" fontId="7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9" fillId="0" borderId="10" xfId="0" applyFont="1" applyBorder="1" applyAlignment="1">
      <alignment horizontal="right"/>
    </xf>
    <xf numFmtId="3" fontId="8" fillId="0" borderId="11" xfId="0" applyNumberFormat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3" fontId="8" fillId="0" borderId="12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17" fontId="7" fillId="5" borderId="3" xfId="0" applyNumberFormat="1" applyFont="1" applyFill="1" applyBorder="1" applyAlignment="1">
      <alignment horizontal="center" vertical="center"/>
    </xf>
    <xf numFmtId="17" fontId="7" fillId="5" borderId="2" xfId="0" applyNumberFormat="1" applyFont="1" applyFill="1" applyBorder="1" applyAlignment="1">
      <alignment horizontal="center" vertical="center"/>
    </xf>
    <xf numFmtId="17" fontId="7" fillId="5" borderId="13" xfId="0" applyNumberFormat="1" applyFont="1" applyFill="1" applyBorder="1" applyAlignment="1">
      <alignment horizontal="center" vertical="center"/>
    </xf>
    <xf numFmtId="17" fontId="7" fillId="5" borderId="14" xfId="0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7" fillId="0" borderId="6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7" fillId="0" borderId="25" xfId="0" applyNumberFormat="1" applyFont="1" applyBorder="1" applyAlignment="1">
      <alignment horizontal="center"/>
    </xf>
    <xf numFmtId="1" fontId="7" fillId="0" borderId="28" xfId="0" applyNumberFormat="1" applyFont="1" applyBorder="1" applyAlignment="1">
      <alignment horizontal="center"/>
    </xf>
    <xf numFmtId="0" fontId="7" fillId="5" borderId="29" xfId="0" applyFont="1" applyFill="1" applyBorder="1" applyAlignment="1">
      <alignment horizontal="right"/>
    </xf>
    <xf numFmtId="0" fontId="7" fillId="5" borderId="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left" vertical="center"/>
    </xf>
    <xf numFmtId="17" fontId="7" fillId="5" borderId="3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/>
    </xf>
    <xf numFmtId="1" fontId="8" fillId="0" borderId="18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165" fontId="7" fillId="5" borderId="4" xfId="0" applyNumberFormat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0" fontId="9" fillId="0" borderId="36" xfId="0" applyFont="1" applyBorder="1" applyAlignment="1">
      <alignment horizontal="left"/>
    </xf>
    <xf numFmtId="1" fontId="8" fillId="0" borderId="38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/>
    </xf>
    <xf numFmtId="0" fontId="13" fillId="5" borderId="41" xfId="0" applyFont="1" applyFill="1" applyBorder="1" applyAlignment="1">
      <alignment horizontal="left" vertical="center"/>
    </xf>
    <xf numFmtId="3" fontId="7" fillId="5" borderId="41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12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0" fontId="15" fillId="0" borderId="0" xfId="0" applyFont="1"/>
    <xf numFmtId="3" fontId="15" fillId="0" borderId="0" xfId="0" applyNumberFormat="1" applyFont="1"/>
    <xf numFmtId="3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17" fontId="7" fillId="6" borderId="30" xfId="0" applyNumberFormat="1" applyFont="1" applyFill="1" applyBorder="1" applyAlignment="1">
      <alignment horizontal="center" vertical="center"/>
    </xf>
    <xf numFmtId="17" fontId="7" fillId="6" borderId="3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6" borderId="29" xfId="0" applyNumberFormat="1" applyFont="1" applyFill="1" applyBorder="1" applyAlignment="1">
      <alignment horizontal="center" vertical="center"/>
    </xf>
    <xf numFmtId="17" fontId="7" fillId="5" borderId="11" xfId="0" applyNumberFormat="1" applyFont="1" applyFill="1" applyBorder="1" applyAlignment="1">
      <alignment horizontal="center" vertical="center"/>
    </xf>
    <xf numFmtId="1" fontId="7" fillId="5" borderId="29" xfId="0" applyNumberFormat="1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4" applyFont="1"/>
    <xf numFmtId="0" fontId="0" fillId="0" borderId="20" xfId="0" applyBorder="1"/>
    <xf numFmtId="0" fontId="0" fillId="0" borderId="45" xfId="0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9" fillId="6" borderId="41" xfId="0" applyFont="1" applyFill="1" applyBorder="1" applyAlignment="1">
      <alignment horizontal="left"/>
    </xf>
    <xf numFmtId="0" fontId="9" fillId="5" borderId="2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" fontId="9" fillId="5" borderId="11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9" xfId="4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2" fontId="9" fillId="5" borderId="3" xfId="4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0" xfId="8" applyFont="1"/>
    <xf numFmtId="0" fontId="7" fillId="0" borderId="0" xfId="8" applyFont="1" applyAlignment="1">
      <alignment horizontal="center" vertical="center"/>
    </xf>
    <xf numFmtId="1" fontId="8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center" vertical="center"/>
    </xf>
    <xf numFmtId="1" fontId="11" fillId="5" borderId="3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/>
    </xf>
    <xf numFmtId="2" fontId="7" fillId="5" borderId="4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1" fontId="7" fillId="5" borderId="29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35" xfId="0" applyFont="1" applyBorder="1"/>
    <xf numFmtId="1" fontId="8" fillId="0" borderId="20" xfId="0" applyNumberFormat="1" applyFont="1" applyBorder="1"/>
    <xf numFmtId="0" fontId="8" fillId="0" borderId="20" xfId="0" applyFont="1" applyBorder="1"/>
    <xf numFmtId="0" fontId="8" fillId="0" borderId="23" xfId="0" applyFont="1" applyBorder="1"/>
    <xf numFmtId="0" fontId="8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"/>
    </xf>
    <xf numFmtId="17" fontId="7" fillId="4" borderId="4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7" fontId="7" fillId="4" borderId="6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17" fontId="7" fillId="4" borderId="8" xfId="0" applyNumberFormat="1" applyFont="1" applyFill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17" fontId="7" fillId="6" borderId="29" xfId="0" applyNumberFormat="1" applyFont="1" applyFill="1" applyBorder="1" applyAlignment="1">
      <alignment horizontal="center"/>
    </xf>
    <xf numFmtId="17" fontId="7" fillId="5" borderId="3" xfId="0" applyNumberFormat="1" applyFont="1" applyFill="1" applyBorder="1"/>
    <xf numFmtId="1" fontId="7" fillId="5" borderId="3" xfId="0" applyNumberFormat="1" applyFont="1" applyFill="1" applyBorder="1" applyAlignment="1">
      <alignment horizontal="center" vertical="center"/>
    </xf>
    <xf numFmtId="0" fontId="0" fillId="0" borderId="4" xfId="4" applyFont="1" applyBorder="1" applyAlignment="1">
      <alignment horizont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5" borderId="3" xfId="0" applyFont="1" applyFill="1" applyBorder="1" applyAlignment="1">
      <alignment horizontal="right"/>
    </xf>
    <xf numFmtId="1" fontId="9" fillId="5" borderId="29" xfId="0" applyNumberFormat="1" applyFont="1" applyFill="1" applyBorder="1" applyAlignment="1">
      <alignment horizontal="center"/>
    </xf>
    <xf numFmtId="0" fontId="9" fillId="5" borderId="3" xfId="4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17" fillId="0" borderId="0" xfId="0" applyFont="1"/>
    <xf numFmtId="17" fontId="7" fillId="5" borderId="3" xfId="0" applyNumberFormat="1" applyFont="1" applyFill="1" applyBorder="1" applyAlignment="1">
      <alignment horizontal="center"/>
    </xf>
    <xf numFmtId="0" fontId="0" fillId="0" borderId="20" xfId="0" applyBorder="1" applyAlignment="1">
      <alignment horizontal="left"/>
    </xf>
    <xf numFmtId="0" fontId="9" fillId="6" borderId="3" xfId="0" applyFont="1" applyFill="1" applyBorder="1" applyAlignment="1">
      <alignment horizontal="right"/>
    </xf>
    <xf numFmtId="0" fontId="9" fillId="5" borderId="3" xfId="0" applyFont="1" applyFill="1" applyBorder="1" applyAlignment="1">
      <alignment horizontal="center"/>
    </xf>
    <xf numFmtId="0" fontId="17" fillId="0" borderId="0" xfId="4" applyFont="1"/>
    <xf numFmtId="0" fontId="9" fillId="0" borderId="0" xfId="0" applyFont="1"/>
    <xf numFmtId="0" fontId="18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7" fillId="0" borderId="0" xfId="8" applyFont="1" applyAlignment="1">
      <alignment horizontal="center"/>
    </xf>
    <xf numFmtId="0" fontId="7" fillId="0" borderId="0" xfId="0" applyFont="1" applyAlignment="1">
      <alignment horizontal="left"/>
    </xf>
    <xf numFmtId="0" fontId="7" fillId="5" borderId="3" xfId="0" applyFont="1" applyFill="1" applyBorder="1" applyAlignment="1">
      <alignment horizontal="left"/>
    </xf>
    <xf numFmtId="17" fontId="7" fillId="5" borderId="14" xfId="0" applyNumberFormat="1" applyFont="1" applyFill="1" applyBorder="1" applyAlignment="1">
      <alignment horizontal="center"/>
    </xf>
    <xf numFmtId="17" fontId="7" fillId="5" borderId="31" xfId="0" applyNumberFormat="1" applyFont="1" applyFill="1" applyBorder="1" applyAlignment="1">
      <alignment horizontal="center"/>
    </xf>
    <xf numFmtId="17" fontId="7" fillId="5" borderId="30" xfId="0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49" xfId="0" applyFont="1" applyBorder="1" applyAlignment="1">
      <alignment horizontal="center"/>
    </xf>
    <xf numFmtId="0" fontId="8" fillId="0" borderId="19" xfId="0" applyFont="1" applyBorder="1"/>
    <xf numFmtId="1" fontId="7" fillId="0" borderId="5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43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50" xfId="0" applyFont="1" applyBorder="1" applyAlignment="1">
      <alignment horizontal="center"/>
    </xf>
    <xf numFmtId="0" fontId="8" fillId="0" borderId="26" xfId="0" applyFont="1" applyBorder="1"/>
    <xf numFmtId="0" fontId="8" fillId="0" borderId="38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5" borderId="5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1" fontId="7" fillId="5" borderId="51" xfId="0" applyNumberFormat="1" applyFont="1" applyFill="1" applyBorder="1" applyAlignment="1">
      <alignment horizontal="center"/>
    </xf>
    <xf numFmtId="2" fontId="7" fillId="5" borderId="11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17" fontId="7" fillId="5" borderId="29" xfId="0" applyNumberFormat="1" applyFont="1" applyFill="1" applyBorder="1" applyAlignment="1">
      <alignment horizontal="center" vertical="center"/>
    </xf>
    <xf numFmtId="17" fontId="7" fillId="5" borderId="30" xfId="0" applyNumberFormat="1" applyFont="1" applyFill="1" applyBorder="1" applyAlignment="1">
      <alignment horizontal="center" vertical="center"/>
    </xf>
    <xf numFmtId="1" fontId="21" fillId="5" borderId="2" xfId="0" applyNumberFormat="1" applyFont="1" applyFill="1" applyBorder="1" applyAlignment="1">
      <alignment horizontal="center" vertical="center" wrapText="1"/>
    </xf>
    <xf numFmtId="1" fontId="8" fillId="0" borderId="19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0" fontId="8" fillId="0" borderId="45" xfId="0" applyFont="1" applyBorder="1"/>
    <xf numFmtId="1" fontId="8" fillId="0" borderId="26" xfId="0" applyNumberFormat="1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3" fontId="8" fillId="0" borderId="33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3" fontId="8" fillId="0" borderId="35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2" fontId="8" fillId="0" borderId="4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1" fontId="7" fillId="0" borderId="42" xfId="0" applyNumberFormat="1" applyFont="1" applyBorder="1" applyAlignment="1">
      <alignment horizontal="center"/>
    </xf>
    <xf numFmtId="1" fontId="7" fillId="0" borderId="54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5" borderId="10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22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8" applyFont="1" applyAlignment="1">
      <alignment horizontal="left"/>
    </xf>
    <xf numFmtId="0" fontId="0" fillId="0" borderId="0" xfId="0" applyAlignment="1">
      <alignment horizontal="left"/>
    </xf>
    <xf numFmtId="17" fontId="11" fillId="5" borderId="3" xfId="0" applyNumberFormat="1" applyFont="1" applyFill="1" applyBorder="1" applyAlignment="1">
      <alignment horizontal="center" vertical="center"/>
    </xf>
    <xf numFmtId="17" fontId="11" fillId="5" borderId="11" xfId="0" applyNumberFormat="1" applyFont="1" applyFill="1" applyBorder="1" applyAlignment="1">
      <alignment horizontal="center" vertical="center"/>
    </xf>
    <xf numFmtId="17" fontId="11" fillId="5" borderId="30" xfId="0" applyNumberFormat="1" applyFont="1" applyFill="1" applyBorder="1" applyAlignment="1">
      <alignment horizontal="center" vertical="center"/>
    </xf>
    <xf numFmtId="165" fontId="11" fillId="5" borderId="31" xfId="0" applyNumberFormat="1" applyFont="1" applyFill="1" applyBorder="1" applyAlignment="1">
      <alignment horizontal="center" wrapText="1"/>
    </xf>
    <xf numFmtId="0" fontId="8" fillId="0" borderId="55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5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5" borderId="29" xfId="0" applyFont="1" applyFill="1" applyBorder="1" applyAlignment="1">
      <alignment horizontal="left"/>
    </xf>
    <xf numFmtId="1" fontId="7" fillId="5" borderId="11" xfId="0" applyNumberFormat="1" applyFont="1" applyFill="1" applyBorder="1" applyAlignment="1">
      <alignment horizontal="center" vertical="center"/>
    </xf>
    <xf numFmtId="1" fontId="7" fillId="5" borderId="30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7" fontId="7" fillId="5" borderId="56" xfId="0" applyNumberFormat="1" applyFont="1" applyFill="1" applyBorder="1" applyAlignment="1">
      <alignment horizontal="center" vertical="center"/>
    </xf>
    <xf numFmtId="17" fontId="7" fillId="5" borderId="57" xfId="0" applyNumberFormat="1" applyFont="1" applyFill="1" applyBorder="1" applyAlignment="1">
      <alignment horizontal="center" vertical="center"/>
    </xf>
    <xf numFmtId="17" fontId="7" fillId="5" borderId="58" xfId="0" applyNumberFormat="1" applyFont="1" applyFill="1" applyBorder="1" applyAlignment="1">
      <alignment horizontal="center" vertical="center"/>
    </xf>
    <xf numFmtId="17" fontId="7" fillId="5" borderId="59" xfId="0" applyNumberFormat="1" applyFont="1" applyFill="1" applyBorder="1" applyAlignment="1">
      <alignment horizontal="center" vertical="center"/>
    </xf>
    <xf numFmtId="17" fontId="7" fillId="5" borderId="60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/>
    </xf>
    <xf numFmtId="0" fontId="8" fillId="0" borderId="35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40" xfId="0" applyFont="1" applyBorder="1" applyAlignment="1">
      <alignment horizontal="center"/>
    </xf>
    <xf numFmtId="1" fontId="7" fillId="0" borderId="61" xfId="0" applyNumberFormat="1" applyFont="1" applyBorder="1" applyAlignment="1">
      <alignment horizontal="center" vertical="center"/>
    </xf>
    <xf numFmtId="1" fontId="7" fillId="5" borderId="51" xfId="0" applyNumberFormat="1" applyFont="1" applyFill="1" applyBorder="1" applyAlignment="1">
      <alignment horizontal="center" vertical="center"/>
    </xf>
    <xf numFmtId="1" fontId="17" fillId="0" borderId="0" xfId="0" applyNumberFormat="1" applyFont="1"/>
    <xf numFmtId="0" fontId="23" fillId="0" borderId="0" xfId="0" applyFont="1"/>
    <xf numFmtId="1" fontId="18" fillId="0" borderId="0" xfId="0" applyNumberFormat="1" applyFont="1"/>
    <xf numFmtId="3" fontId="8" fillId="0" borderId="32" xfId="0" applyNumberFormat="1" applyFont="1" applyBorder="1" applyAlignment="1">
      <alignment horizontal="center"/>
    </xf>
    <xf numFmtId="3" fontId="8" fillId="0" borderId="34" xfId="0" applyNumberFormat="1" applyFont="1" applyBorder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36" xfId="0" applyNumberFormat="1" applyFont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9" fillId="5" borderId="2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52" xfId="0" applyFont="1" applyBorder="1" applyAlignment="1">
      <alignment horizontal="left"/>
    </xf>
    <xf numFmtId="0" fontId="9" fillId="4" borderId="29" xfId="0" applyFont="1" applyFill="1" applyBorder="1" applyAlignment="1">
      <alignment horizontal="right"/>
    </xf>
    <xf numFmtId="1" fontId="7" fillId="4" borderId="3" xfId="0" applyNumberFormat="1" applyFont="1" applyFill="1" applyBorder="1" applyAlignment="1">
      <alignment horizontal="center"/>
    </xf>
    <xf numFmtId="0" fontId="24" fillId="0" borderId="62" xfId="0" applyFont="1" applyBorder="1" applyAlignment="1">
      <alignment horizontal="center" vertical="center" wrapText="1"/>
    </xf>
    <xf numFmtId="17" fontId="11" fillId="6" borderId="2" xfId="0" applyNumberFormat="1" applyFont="1" applyFill="1" applyBorder="1" applyAlignment="1">
      <alignment horizontal="center" vertical="center" wrapText="1"/>
    </xf>
    <xf numFmtId="17" fontId="11" fillId="6" borderId="13" xfId="0" applyNumberFormat="1" applyFont="1" applyFill="1" applyBorder="1" applyAlignment="1">
      <alignment horizontal="center" vertical="center" wrapText="1"/>
    </xf>
    <xf numFmtId="17" fontId="11" fillId="6" borderId="31" xfId="0" applyNumberFormat="1" applyFont="1" applyFill="1" applyBorder="1" applyAlignment="1">
      <alignment horizontal="center" vertical="center" wrapText="1"/>
    </xf>
    <xf numFmtId="17" fontId="11" fillId="5" borderId="2" xfId="0" applyNumberFormat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2" fontId="25" fillId="5" borderId="2" xfId="0" applyNumberFormat="1" applyFont="1" applyFill="1" applyBorder="1" applyAlignment="1">
      <alignment horizontal="center" vertical="center" wrapText="1"/>
    </xf>
    <xf numFmtId="2" fontId="11" fillId="5" borderId="2" xfId="0" applyNumberFormat="1" applyFont="1" applyFill="1" applyBorder="1" applyAlignment="1">
      <alignment horizontal="center" vertical="center" wrapText="1"/>
    </xf>
    <xf numFmtId="0" fontId="24" fillId="0" borderId="62" xfId="0" applyFont="1" applyBorder="1" applyAlignment="1">
      <alignment horizontal="center"/>
    </xf>
    <xf numFmtId="0" fontId="26" fillId="7" borderId="63" xfId="0" applyFont="1" applyFill="1" applyBorder="1"/>
    <xf numFmtId="0" fontId="26" fillId="7" borderId="60" xfId="0" applyFont="1" applyFill="1" applyBorder="1"/>
    <xf numFmtId="0" fontId="26" fillId="7" borderId="2" xfId="0" applyFont="1" applyFill="1" applyBorder="1"/>
    <xf numFmtId="1" fontId="26" fillId="7" borderId="14" xfId="0" applyNumberFormat="1" applyFont="1" applyFill="1" applyBorder="1"/>
    <xf numFmtId="2" fontId="26" fillId="7" borderId="2" xfId="0" applyNumberFormat="1" applyFont="1" applyFill="1" applyBorder="1"/>
    <xf numFmtId="2" fontId="26" fillId="7" borderId="31" xfId="0" applyNumberFormat="1" applyFont="1" applyFill="1" applyBorder="1"/>
    <xf numFmtId="0" fontId="26" fillId="0" borderId="32" xfId="0" applyFont="1" applyBorder="1" applyAlignment="1">
      <alignment vertical="center"/>
    </xf>
    <xf numFmtId="0" fontId="26" fillId="0" borderId="33" xfId="0" applyFont="1" applyBorder="1"/>
    <xf numFmtId="0" fontId="26" fillId="0" borderId="18" xfId="0" applyFont="1" applyBorder="1"/>
    <xf numFmtId="0" fontId="26" fillId="0" borderId="21" xfId="0" applyFont="1" applyBorder="1"/>
    <xf numFmtId="0" fontId="24" fillId="0" borderId="32" xfId="0" applyFont="1" applyBorder="1"/>
    <xf numFmtId="1" fontId="24" fillId="0" borderId="4" xfId="0" applyNumberFormat="1" applyFont="1" applyBorder="1"/>
    <xf numFmtId="2" fontId="24" fillId="0" borderId="5" xfId="0" applyNumberFormat="1" applyFont="1" applyBorder="1"/>
    <xf numFmtId="0" fontId="26" fillId="0" borderId="24" xfId="0" applyFont="1" applyBorder="1" applyAlignment="1">
      <alignment vertical="center"/>
    </xf>
    <xf numFmtId="0" fontId="26" fillId="0" borderId="35" xfId="0" applyFont="1" applyBorder="1"/>
    <xf numFmtId="0" fontId="26" fillId="0" borderId="20" xfId="0" applyFont="1" applyBorder="1"/>
    <xf numFmtId="0" fontId="26" fillId="0" borderId="24" xfId="0" applyFont="1" applyBorder="1"/>
    <xf numFmtId="0" fontId="24" fillId="0" borderId="34" xfId="0" applyFont="1" applyBorder="1"/>
    <xf numFmtId="1" fontId="24" fillId="0" borderId="6" xfId="0" applyNumberFormat="1" applyFont="1" applyBorder="1"/>
    <xf numFmtId="2" fontId="24" fillId="0" borderId="64" xfId="0" applyNumberFormat="1" applyFont="1" applyBorder="1"/>
    <xf numFmtId="0" fontId="26" fillId="0" borderId="65" xfId="0" applyFont="1" applyBorder="1" applyAlignment="1">
      <alignment horizontal="left"/>
    </xf>
    <xf numFmtId="0" fontId="26" fillId="0" borderId="37" xfId="0" applyFont="1" applyBorder="1"/>
    <xf numFmtId="0" fontId="26" fillId="0" borderId="38" xfId="0" applyFont="1" applyBorder="1"/>
    <xf numFmtId="0" fontId="26" fillId="0" borderId="39" xfId="0" applyFont="1" applyBorder="1"/>
    <xf numFmtId="0" fontId="24" fillId="0" borderId="36" xfId="0" applyFont="1" applyBorder="1"/>
    <xf numFmtId="1" fontId="24" fillId="0" borderId="8" xfId="0" applyNumberFormat="1" applyFont="1" applyBorder="1"/>
    <xf numFmtId="2" fontId="24" fillId="7" borderId="15" xfId="0" applyNumberFormat="1" applyFont="1" applyFill="1" applyBorder="1"/>
    <xf numFmtId="0" fontId="27" fillId="5" borderId="3" xfId="0" applyFont="1" applyFill="1" applyBorder="1" applyAlignment="1">
      <alignment horizontal="left" wrapText="1"/>
    </xf>
    <xf numFmtId="0" fontId="26" fillId="5" borderId="66" xfId="0" applyFont="1" applyFill="1" applyBorder="1"/>
    <xf numFmtId="0" fontId="26" fillId="5" borderId="67" xfId="0" applyFont="1" applyFill="1" applyBorder="1"/>
    <xf numFmtId="0" fontId="26" fillId="5" borderId="41" xfId="0" applyFont="1" applyFill="1" applyBorder="1"/>
    <xf numFmtId="1" fontId="24" fillId="8" borderId="3" xfId="0" applyNumberFormat="1" applyFont="1" applyFill="1" applyBorder="1"/>
    <xf numFmtId="2" fontId="24" fillId="5" borderId="64" xfId="0" applyNumberFormat="1" applyFont="1" applyFill="1" applyBorder="1"/>
    <xf numFmtId="2" fontId="24" fillId="7" borderId="64" xfId="0" applyNumberFormat="1" applyFont="1" applyFill="1" applyBorder="1"/>
    <xf numFmtId="0" fontId="24" fillId="9" borderId="3" xfId="0" applyFont="1" applyFill="1" applyBorder="1" applyAlignment="1">
      <alignment horizontal="left"/>
    </xf>
    <xf numFmtId="0" fontId="24" fillId="9" borderId="68" xfId="0" applyFont="1" applyFill="1" applyBorder="1"/>
    <xf numFmtId="0" fontId="24" fillId="9" borderId="67" xfId="0" applyFont="1" applyFill="1" applyBorder="1"/>
    <xf numFmtId="0" fontId="24" fillId="0" borderId="10" xfId="0" applyFont="1" applyBorder="1"/>
    <xf numFmtId="1" fontId="24" fillId="0" borderId="0" xfId="0" applyNumberFormat="1" applyFont="1"/>
    <xf numFmtId="2" fontId="24" fillId="7" borderId="3" xfId="0" applyNumberFormat="1" applyFont="1" applyFill="1" applyBorder="1"/>
    <xf numFmtId="0" fontId="26" fillId="7" borderId="65" xfId="0" applyFont="1" applyFill="1" applyBorder="1"/>
    <xf numFmtId="0" fontId="26" fillId="7" borderId="15" xfId="0" applyFont="1" applyFill="1" applyBorder="1"/>
    <xf numFmtId="0" fontId="26" fillId="7" borderId="0" xfId="0" applyFont="1" applyFill="1"/>
    <xf numFmtId="0" fontId="26" fillId="7" borderId="42" xfId="0" applyFont="1" applyFill="1" applyBorder="1"/>
    <xf numFmtId="1" fontId="26" fillId="7" borderId="55" xfId="0" applyNumberFormat="1" applyFont="1" applyFill="1" applyBorder="1"/>
    <xf numFmtId="2" fontId="26" fillId="7" borderId="42" xfId="0" applyNumberFormat="1" applyFont="1" applyFill="1" applyBorder="1"/>
    <xf numFmtId="2" fontId="26" fillId="7" borderId="54" xfId="0" applyNumberFormat="1" applyFont="1" applyFill="1" applyBorder="1"/>
    <xf numFmtId="0" fontId="24" fillId="0" borderId="3" xfId="0" applyFont="1" applyBorder="1" applyAlignment="1">
      <alignment horizontal="center"/>
    </xf>
    <xf numFmtId="0" fontId="26" fillId="7" borderId="31" xfId="0" applyFont="1" applyFill="1" applyBorder="1"/>
    <xf numFmtId="0" fontId="26" fillId="7" borderId="6" xfId="0" applyFont="1" applyFill="1" applyBorder="1"/>
    <xf numFmtId="1" fontId="26" fillId="7" borderId="22" xfId="0" applyNumberFormat="1" applyFont="1" applyFill="1" applyBorder="1"/>
    <xf numFmtId="2" fontId="26" fillId="7" borderId="6" xfId="0" applyNumberFormat="1" applyFont="1" applyFill="1" applyBorder="1"/>
    <xf numFmtId="2" fontId="26" fillId="7" borderId="7" xfId="0" applyNumberFormat="1" applyFont="1" applyFill="1" applyBorder="1"/>
    <xf numFmtId="0" fontId="26" fillId="0" borderId="65" xfId="0" applyFont="1" applyBorder="1"/>
    <xf numFmtId="0" fontId="26" fillId="0" borderId="56" xfId="0" applyFont="1" applyBorder="1"/>
    <xf numFmtId="0" fontId="26" fillId="0" borderId="57" xfId="0" applyFont="1" applyBorder="1"/>
    <xf numFmtId="0" fontId="26" fillId="0" borderId="58" xfId="0" applyFont="1" applyBorder="1"/>
    <xf numFmtId="0" fontId="24" fillId="0" borderId="64" xfId="0" applyFont="1" applyBorder="1"/>
    <xf numFmtId="1" fontId="24" fillId="0" borderId="25" xfId="0" applyNumberFormat="1" applyFont="1" applyBorder="1"/>
    <xf numFmtId="2" fontId="24" fillId="7" borderId="28" xfId="0" applyNumberFormat="1" applyFont="1" applyFill="1" applyBorder="1"/>
    <xf numFmtId="0" fontId="24" fillId="7" borderId="42" xfId="0" applyFont="1" applyFill="1" applyBorder="1"/>
    <xf numFmtId="1" fontId="24" fillId="7" borderId="0" xfId="0" applyNumberFormat="1" applyFont="1" applyFill="1"/>
    <xf numFmtId="2" fontId="24" fillId="7" borderId="47" xfId="0" applyNumberFormat="1" applyFont="1" applyFill="1" applyBorder="1"/>
    <xf numFmtId="2" fontId="24" fillId="7" borderId="54" xfId="0" applyNumberFormat="1" applyFont="1" applyFill="1" applyBorder="1"/>
    <xf numFmtId="0" fontId="24" fillId="0" borderId="8" xfId="0" applyFont="1" applyBorder="1"/>
    <xf numFmtId="1" fontId="24" fillId="0" borderId="3" xfId="0" applyNumberFormat="1" applyFont="1" applyBorder="1"/>
    <xf numFmtId="2" fontId="24" fillId="0" borderId="9" xfId="0" applyNumberFormat="1" applyFont="1" applyBorder="1"/>
    <xf numFmtId="0" fontId="26" fillId="0" borderId="0" xfId="0" applyFont="1"/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17" fontId="11" fillId="4" borderId="4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7" fontId="11" fillId="4" borderId="6" xfId="0" applyNumberFormat="1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64" xfId="0" applyNumberFormat="1" applyFont="1" applyBorder="1" applyAlignment="1">
      <alignment horizontal="center"/>
    </xf>
    <xf numFmtId="17" fontId="11" fillId="4" borderId="8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right"/>
    </xf>
    <xf numFmtId="3" fontId="9" fillId="0" borderId="3" xfId="0" applyNumberFormat="1" applyFont="1" applyBorder="1"/>
    <xf numFmtId="2" fontId="5" fillId="0" borderId="0" xfId="0" applyNumberFormat="1" applyFont="1" applyAlignment="1">
      <alignment horizontal="center"/>
    </xf>
    <xf numFmtId="0" fontId="9" fillId="5" borderId="29" xfId="0" applyFont="1" applyFill="1" applyBorder="1" applyAlignment="1">
      <alignment horizontal="right"/>
    </xf>
    <xf numFmtId="0" fontId="26" fillId="0" borderId="0" xfId="0" applyFont="1" applyAlignment="1">
      <alignment wrapText="1"/>
    </xf>
    <xf numFmtId="0" fontId="24" fillId="0" borderId="56" xfId="0" applyFont="1" applyBorder="1" applyAlignment="1">
      <alignment horizontal="left" wrapText="1"/>
    </xf>
    <xf numFmtId="0" fontId="24" fillId="0" borderId="57" xfId="0" applyFont="1" applyBorder="1" applyAlignment="1">
      <alignment horizontal="left" wrapText="1"/>
    </xf>
    <xf numFmtId="0" fontId="24" fillId="0" borderId="69" xfId="0" applyFont="1" applyBorder="1" applyAlignment="1">
      <alignment horizontal="left" wrapText="1"/>
    </xf>
    <xf numFmtId="0" fontId="24" fillId="0" borderId="3" xfId="0" applyFont="1" applyBorder="1" applyAlignment="1">
      <alignment wrapText="1"/>
    </xf>
    <xf numFmtId="0" fontId="28" fillId="9" borderId="2" xfId="0" applyFont="1" applyFill="1" applyBorder="1" applyAlignment="1">
      <alignment horizontal="center" wrapText="1"/>
    </xf>
    <xf numFmtId="0" fontId="26" fillId="7" borderId="70" xfId="0" applyFont="1" applyFill="1" applyBorder="1" applyAlignment="1">
      <alignment horizontal="left" wrapText="1"/>
    </xf>
    <xf numFmtId="0" fontId="26" fillId="7" borderId="71" xfId="0" applyFont="1" applyFill="1" applyBorder="1" applyAlignment="1">
      <alignment horizontal="left" wrapText="1"/>
    </xf>
    <xf numFmtId="0" fontId="26" fillId="7" borderId="71" xfId="0" applyFont="1" applyFill="1" applyBorder="1" applyAlignment="1">
      <alignment wrapText="1"/>
    </xf>
    <xf numFmtId="17" fontId="24" fillId="9" borderId="4" xfId="0" applyNumberFormat="1" applyFont="1" applyFill="1" applyBorder="1" applyAlignment="1">
      <alignment horizontal="center" wrapText="1"/>
    </xf>
    <xf numFmtId="0" fontId="26" fillId="0" borderId="49" xfId="0" applyFont="1" applyBorder="1" applyAlignment="1">
      <alignment horizontal="center" wrapText="1"/>
    </xf>
    <xf numFmtId="0" fontId="26" fillId="0" borderId="18" xfId="0" applyFont="1" applyBorder="1" applyAlignment="1">
      <alignment horizontal="center" wrapText="1"/>
    </xf>
    <xf numFmtId="0" fontId="26" fillId="0" borderId="21" xfId="0" applyFont="1" applyBorder="1" applyAlignment="1">
      <alignment horizontal="center" wrapText="1"/>
    </xf>
    <xf numFmtId="0" fontId="26" fillId="0" borderId="4" xfId="0" applyFont="1" applyBorder="1" applyAlignment="1">
      <alignment wrapText="1"/>
    </xf>
    <xf numFmtId="17" fontId="24" fillId="9" borderId="6" xfId="0" applyNumberFormat="1" applyFont="1" applyFill="1" applyBorder="1" applyAlignment="1">
      <alignment horizontal="center" wrapText="1"/>
    </xf>
    <xf numFmtId="0" fontId="26" fillId="0" borderId="45" xfId="0" applyFont="1" applyBorder="1" applyAlignment="1">
      <alignment horizontal="center" wrapText="1"/>
    </xf>
    <xf numFmtId="0" fontId="26" fillId="0" borderId="20" xfId="0" applyFont="1" applyBorder="1" applyAlignment="1">
      <alignment horizontal="center" wrapText="1"/>
    </xf>
    <xf numFmtId="0" fontId="26" fillId="0" borderId="24" xfId="0" applyFont="1" applyBorder="1" applyAlignment="1">
      <alignment horizontal="center" wrapText="1"/>
    </xf>
    <xf numFmtId="0" fontId="26" fillId="0" borderId="6" xfId="0" applyFont="1" applyBorder="1" applyAlignment="1">
      <alignment wrapText="1"/>
    </xf>
    <xf numFmtId="17" fontId="24" fillId="9" borderId="8" xfId="0" applyNumberFormat="1" applyFont="1" applyFill="1" applyBorder="1" applyAlignment="1">
      <alignment horizontal="center" wrapText="1"/>
    </xf>
    <xf numFmtId="0" fontId="26" fillId="0" borderId="50" xfId="0" applyFont="1" applyBorder="1" applyAlignment="1">
      <alignment horizontal="center" wrapText="1"/>
    </xf>
    <xf numFmtId="0" fontId="26" fillId="0" borderId="38" xfId="0" applyFont="1" applyBorder="1" applyAlignment="1">
      <alignment horizontal="center" wrapText="1"/>
    </xf>
    <xf numFmtId="0" fontId="26" fillId="0" borderId="39" xfId="0" applyFont="1" applyBorder="1" applyAlignment="1">
      <alignment horizontal="center" wrapText="1"/>
    </xf>
    <xf numFmtId="0" fontId="26" fillId="0" borderId="8" xfId="0" applyFont="1" applyBorder="1" applyAlignment="1">
      <alignment wrapText="1"/>
    </xf>
    <xf numFmtId="0" fontId="24" fillId="5" borderId="41" xfId="0" applyFont="1" applyFill="1" applyBorder="1" applyAlignment="1">
      <alignment horizontal="right" wrapText="1"/>
    </xf>
    <xf numFmtId="0" fontId="24" fillId="5" borderId="56" xfId="0" applyFont="1" applyFill="1" applyBorder="1" applyAlignment="1">
      <alignment horizontal="center"/>
    </xf>
    <xf numFmtId="0" fontId="24" fillId="5" borderId="10" xfId="0" applyFont="1" applyFill="1" applyBorder="1" applyAlignment="1">
      <alignment horizontal="center"/>
    </xf>
    <xf numFmtId="0" fontId="26" fillId="7" borderId="19" xfId="0" applyFont="1" applyFill="1" applyBorder="1"/>
    <xf numFmtId="0" fontId="26" fillId="7" borderId="48" xfId="0" applyFont="1" applyFill="1" applyBorder="1"/>
    <xf numFmtId="0" fontId="26" fillId="7" borderId="26" xfId="0" applyFont="1" applyFill="1" applyBorder="1"/>
    <xf numFmtId="0" fontId="26" fillId="0" borderId="49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4" xfId="0" applyFont="1" applyBorder="1"/>
    <xf numFmtId="0" fontId="26" fillId="0" borderId="45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6" xfId="0" applyFont="1" applyBorder="1"/>
    <xf numFmtId="0" fontId="26" fillId="0" borderId="50" xfId="0" applyFont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9" xfId="0" applyFont="1" applyBorder="1" applyAlignment="1">
      <alignment horizontal="center"/>
    </xf>
    <xf numFmtId="0" fontId="26" fillId="0" borderId="8" xfId="0" applyFont="1" applyBorder="1"/>
    <xf numFmtId="0" fontId="24" fillId="5" borderId="10" xfId="0" applyFont="1" applyFill="1" applyBorder="1" applyAlignment="1">
      <alignment horizontal="right" vertical="center" wrapText="1"/>
    </xf>
    <xf numFmtId="0" fontId="24" fillId="5" borderId="72" xfId="0" applyFont="1" applyFill="1" applyBorder="1" applyAlignment="1">
      <alignment horizontal="center"/>
    </xf>
    <xf numFmtId="0" fontId="24" fillId="5" borderId="51" xfId="0" applyFont="1" applyFill="1" applyBorder="1" applyAlignment="1">
      <alignment horizontal="center"/>
    </xf>
    <xf numFmtId="0" fontId="24" fillId="5" borderId="3" xfId="0" applyFont="1" applyFill="1" applyBorder="1" applyAlignment="1">
      <alignment horizontal="center"/>
    </xf>
    <xf numFmtId="0" fontId="26" fillId="7" borderId="71" xfId="0" applyFont="1" applyFill="1" applyBorder="1"/>
    <xf numFmtId="0" fontId="28" fillId="4" borderId="3" xfId="0" applyFont="1" applyFill="1" applyBorder="1" applyAlignment="1">
      <alignment horizontal="right" vertical="center" wrapText="1"/>
    </xf>
    <xf numFmtId="0" fontId="24" fillId="10" borderId="56" xfId="0" applyFont="1" applyFill="1" applyBorder="1" applyAlignment="1">
      <alignment horizontal="center"/>
    </xf>
    <xf numFmtId="0" fontId="24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0" fontId="25" fillId="4" borderId="3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17" fontId="7" fillId="9" borderId="4" xfId="0" applyNumberFormat="1" applyFont="1" applyFill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17" fontId="7" fillId="9" borderId="6" xfId="0" applyNumberFormat="1" applyFont="1" applyFill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17" fontId="7" fillId="9" borderId="8" xfId="0" applyNumberFormat="1" applyFont="1" applyFill="1" applyBorder="1" applyAlignment="1">
      <alignment horizontal="center"/>
    </xf>
    <xf numFmtId="3" fontId="8" fillId="0" borderId="6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29" xfId="0" applyFont="1" applyBorder="1" applyAlignment="1">
      <alignment horizontal="right"/>
    </xf>
    <xf numFmtId="0" fontId="29" fillId="5" borderId="3" xfId="0" applyFont="1" applyFill="1" applyBorder="1" applyAlignment="1">
      <alignment horizontal="left" vertical="center" wrapText="1"/>
    </xf>
    <xf numFmtId="17" fontId="29" fillId="5" borderId="3" xfId="0" applyNumberFormat="1" applyFont="1" applyFill="1" applyBorder="1" applyAlignment="1">
      <alignment horizontal="center" vertical="center" wrapText="1"/>
    </xf>
    <xf numFmtId="1" fontId="29" fillId="5" borderId="29" xfId="0" applyNumberFormat="1" applyFont="1" applyFill="1" applyBorder="1" applyAlignment="1">
      <alignment horizontal="center" vertical="center" wrapText="1"/>
    </xf>
    <xf numFmtId="165" fontId="29" fillId="5" borderId="3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0" borderId="4" xfId="0" applyFont="1" applyBorder="1" applyAlignment="1">
      <alignment horizontal="center" wrapText="1"/>
    </xf>
    <xf numFmtId="0" fontId="27" fillId="0" borderId="43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11" borderId="19" xfId="0" applyFont="1" applyFill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" fontId="27" fillId="0" borderId="55" xfId="0" applyNumberFormat="1" applyFont="1" applyBorder="1" applyAlignment="1">
      <alignment horizontal="center" vertical="center"/>
    </xf>
    <xf numFmtId="165" fontId="27" fillId="0" borderId="42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31" fillId="7" borderId="73" xfId="0" applyFont="1" applyFill="1" applyBorder="1" applyAlignment="1">
      <alignment horizontal="center" vertical="center" wrapText="1"/>
    </xf>
    <xf numFmtId="17" fontId="31" fillId="0" borderId="71" xfId="0" applyNumberFormat="1" applyFont="1" applyBorder="1" applyAlignment="1">
      <alignment horizontal="center" vertical="center" wrapText="1"/>
    </xf>
    <xf numFmtId="17" fontId="9" fillId="0" borderId="5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27" fillId="0" borderId="6" xfId="10" applyFont="1" applyBorder="1" applyAlignment="1" applyProtection="1">
      <alignment horizontal="center" wrapText="1"/>
    </xf>
    <xf numFmtId="0" fontId="27" fillId="0" borderId="20" xfId="0" applyFont="1" applyBorder="1" applyAlignment="1">
      <alignment horizontal="center" vertical="center" wrapText="1"/>
    </xf>
    <xf numFmtId="0" fontId="27" fillId="11" borderId="20" xfId="0" applyFont="1" applyFill="1" applyBorder="1" applyAlignment="1">
      <alignment horizontal="center" vertical="center"/>
    </xf>
    <xf numFmtId="0" fontId="0" fillId="7" borderId="74" xfId="0" applyFill="1" applyBorder="1"/>
    <xf numFmtId="1" fontId="0" fillId="7" borderId="75" xfId="0" applyNumberFormat="1" applyFill="1" applyBorder="1"/>
    <xf numFmtId="0" fontId="27" fillId="0" borderId="45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" fontId="27" fillId="0" borderId="20" xfId="0" applyNumberFormat="1" applyFont="1" applyBorder="1" applyAlignment="1">
      <alignment horizontal="center" vertical="center"/>
    </xf>
    <xf numFmtId="0" fontId="27" fillId="11" borderId="20" xfId="0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1" fontId="27" fillId="0" borderId="22" xfId="0" applyNumberFormat="1" applyFont="1" applyBorder="1" applyAlignment="1">
      <alignment horizontal="center" vertical="center"/>
    </xf>
    <xf numFmtId="165" fontId="27" fillId="0" borderId="6" xfId="0" applyNumberFormat="1" applyFont="1" applyBorder="1" applyAlignment="1">
      <alignment horizontal="center" vertical="center"/>
    </xf>
    <xf numFmtId="0" fontId="31" fillId="5" borderId="74" xfId="0" applyFont="1" applyFill="1" applyBorder="1" applyAlignment="1">
      <alignment horizontal="justify" vertical="center" wrapText="1"/>
    </xf>
    <xf numFmtId="0" fontId="31" fillId="5" borderId="19" xfId="0" applyFont="1" applyFill="1" applyBorder="1" applyAlignment="1">
      <alignment horizontal="center" vertical="center" wrapText="1"/>
    </xf>
    <xf numFmtId="0" fontId="31" fillId="5" borderId="53" xfId="0" applyFont="1" applyFill="1" applyBorder="1" applyAlignment="1">
      <alignment horizontal="center" vertical="center" wrapText="1"/>
    </xf>
    <xf numFmtId="0" fontId="0" fillId="0" borderId="34" xfId="0" applyBorder="1"/>
    <xf numFmtId="1" fontId="0" fillId="0" borderId="3" xfId="0" applyNumberFormat="1" applyBorder="1"/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5" xfId="0" applyFill="1" applyBorder="1"/>
    <xf numFmtId="1" fontId="0" fillId="7" borderId="76" xfId="0" applyNumberFormat="1" applyFill="1" applyBorder="1"/>
    <xf numFmtId="0" fontId="32" fillId="0" borderId="0" xfId="0" applyFont="1" applyAlignment="1">
      <alignment horizontal="center" vertical="center"/>
    </xf>
    <xf numFmtId="0" fontId="0" fillId="7" borderId="77" xfId="0" applyFill="1" applyBorder="1"/>
    <xf numFmtId="1" fontId="0" fillId="7" borderId="78" xfId="0" applyNumberFormat="1" applyFill="1" applyBorder="1"/>
    <xf numFmtId="0" fontId="31" fillId="13" borderId="79" xfId="0" applyFont="1" applyFill="1" applyBorder="1" applyAlignment="1">
      <alignment horizontal="justify" vertical="center" wrapText="1"/>
    </xf>
    <xf numFmtId="0" fontId="31" fillId="13" borderId="80" xfId="0" applyFont="1" applyFill="1" applyBorder="1" applyAlignment="1">
      <alignment horizontal="center" vertical="center" wrapText="1"/>
    </xf>
    <xf numFmtId="0" fontId="31" fillId="13" borderId="81" xfId="0" applyFont="1" applyFill="1" applyBorder="1" applyAlignment="1">
      <alignment horizontal="center" vertical="center" wrapText="1"/>
    </xf>
    <xf numFmtId="0" fontId="0" fillId="0" borderId="29" xfId="0" applyBorder="1"/>
    <xf numFmtId="0" fontId="33" fillId="13" borderId="82" xfId="0" applyFont="1" applyFill="1" applyBorder="1" applyAlignment="1">
      <alignment horizontal="right" vertical="center" wrapText="1"/>
    </xf>
    <xf numFmtId="0" fontId="33" fillId="13" borderId="83" xfId="0" applyFont="1" applyFill="1" applyBorder="1" applyAlignment="1">
      <alignment horizontal="center" vertical="center" wrapText="1"/>
    </xf>
    <xf numFmtId="0" fontId="33" fillId="13" borderId="84" xfId="0" applyFont="1" applyFill="1" applyBorder="1" applyAlignment="1">
      <alignment horizontal="center" vertical="center" wrapText="1"/>
    </xf>
    <xf numFmtId="0" fontId="33" fillId="13" borderId="85" xfId="0" applyFont="1" applyFill="1" applyBorder="1" applyAlignment="1">
      <alignment horizontal="center" vertical="center" wrapText="1"/>
    </xf>
    <xf numFmtId="0" fontId="33" fillId="13" borderId="86" xfId="0" applyFont="1" applyFill="1" applyBorder="1" applyAlignment="1">
      <alignment horizontal="center" vertical="center" wrapText="1"/>
    </xf>
    <xf numFmtId="0" fontId="0" fillId="0" borderId="32" xfId="0" applyBorder="1"/>
    <xf numFmtId="1" fontId="0" fillId="0" borderId="47" xfId="0" applyNumberFormat="1" applyBorder="1"/>
    <xf numFmtId="0" fontId="33" fillId="13" borderId="87" xfId="0" applyFont="1" applyFill="1" applyBorder="1" applyAlignment="1">
      <alignment horizontal="right" vertical="center" wrapText="1"/>
    </xf>
    <xf numFmtId="0" fontId="33" fillId="13" borderId="88" xfId="0" applyFont="1" applyFill="1" applyBorder="1" applyAlignment="1">
      <alignment horizontal="center" vertical="center" wrapText="1"/>
    </xf>
    <xf numFmtId="0" fontId="33" fillId="13" borderId="89" xfId="0" applyFont="1" applyFill="1" applyBorder="1" applyAlignment="1">
      <alignment horizontal="center" vertical="center" wrapText="1"/>
    </xf>
    <xf numFmtId="0" fontId="33" fillId="13" borderId="90" xfId="0" applyFont="1" applyFill="1" applyBorder="1" applyAlignment="1">
      <alignment horizontal="center" vertical="center" wrapText="1"/>
    </xf>
    <xf numFmtId="0" fontId="33" fillId="13" borderId="91" xfId="0" applyFont="1" applyFill="1" applyBorder="1" applyAlignment="1">
      <alignment horizontal="center" vertical="center" wrapText="1"/>
    </xf>
    <xf numFmtId="0" fontId="0" fillId="0" borderId="44" xfId="0" applyBorder="1"/>
    <xf numFmtId="1" fontId="0" fillId="0" borderId="8" xfId="0" applyNumberFormat="1" applyBorder="1"/>
    <xf numFmtId="0" fontId="27" fillId="0" borderId="6" xfId="0" applyFont="1" applyBorder="1" applyAlignment="1">
      <alignment horizontal="center" vertical="center" wrapText="1"/>
    </xf>
    <xf numFmtId="0" fontId="0" fillId="7" borderId="73" xfId="0" applyFill="1" applyBorder="1"/>
    <xf numFmtId="0" fontId="0" fillId="7" borderId="71" xfId="0" applyFill="1" applyBorder="1"/>
    <xf numFmtId="0" fontId="0" fillId="7" borderId="52" xfId="0" applyFill="1" applyBorder="1"/>
    <xf numFmtId="0" fontId="31" fillId="15" borderId="93" xfId="0" applyFont="1" applyFill="1" applyBorder="1" applyAlignment="1">
      <alignment horizontal="left" vertical="center"/>
    </xf>
    <xf numFmtId="0" fontId="31" fillId="15" borderId="94" xfId="0" applyFont="1" applyFill="1" applyBorder="1" applyAlignment="1">
      <alignment horizontal="center" vertical="center"/>
    </xf>
    <xf numFmtId="0" fontId="31" fillId="15" borderId="95" xfId="0" applyFont="1" applyFill="1" applyBorder="1" applyAlignment="1">
      <alignment horizontal="center" vertical="center"/>
    </xf>
    <xf numFmtId="0" fontId="31" fillId="15" borderId="95" xfId="0" applyFont="1" applyFill="1" applyBorder="1" applyAlignment="1">
      <alignment horizontal="center" vertical="center" wrapText="1"/>
    </xf>
    <xf numFmtId="0" fontId="31" fillId="15" borderId="96" xfId="0" applyFont="1" applyFill="1" applyBorder="1" applyAlignment="1">
      <alignment horizontal="center" vertical="center" wrapText="1"/>
    </xf>
    <xf numFmtId="0" fontId="27" fillId="0" borderId="6" xfId="10" applyFont="1" applyBorder="1" applyAlignment="1" applyProtection="1">
      <alignment horizontal="center" vertical="center" wrapText="1"/>
    </xf>
    <xf numFmtId="0" fontId="31" fillId="16" borderId="93" xfId="0" applyFont="1" applyFill="1" applyBorder="1" applyAlignment="1">
      <alignment horizontal="justify" vertical="center" wrapText="1"/>
    </xf>
    <xf numFmtId="0" fontId="31" fillId="16" borderId="96" xfId="0" applyFont="1" applyFill="1" applyBorder="1" applyAlignment="1">
      <alignment horizontal="center" vertical="center" wrapText="1"/>
    </xf>
    <xf numFmtId="0" fontId="33" fillId="16" borderId="97" xfId="0" applyFont="1" applyFill="1" applyBorder="1" applyAlignment="1">
      <alignment horizontal="right" vertical="center" wrapText="1"/>
    </xf>
    <xf numFmtId="0" fontId="33" fillId="16" borderId="98" xfId="0" applyFont="1" applyFill="1" applyBorder="1" applyAlignment="1">
      <alignment horizontal="center" vertical="center" wrapText="1"/>
    </xf>
    <xf numFmtId="0" fontId="33" fillId="16" borderId="99" xfId="0" applyFont="1" applyFill="1" applyBorder="1" applyAlignment="1">
      <alignment horizontal="center" vertical="center" wrapText="1"/>
    </xf>
    <xf numFmtId="0" fontId="33" fillId="16" borderId="100" xfId="0" applyFont="1" applyFill="1" applyBorder="1" applyAlignment="1">
      <alignment horizontal="center" vertical="center" wrapText="1"/>
    </xf>
    <xf numFmtId="0" fontId="33" fillId="16" borderId="101" xfId="0" applyFont="1" applyFill="1" applyBorder="1" applyAlignment="1">
      <alignment horizontal="center" vertical="center" wrapText="1"/>
    </xf>
    <xf numFmtId="0" fontId="33" fillId="16" borderId="102" xfId="0" applyFont="1" applyFill="1" applyBorder="1" applyAlignment="1">
      <alignment horizontal="center" vertical="center" wrapText="1"/>
    </xf>
    <xf numFmtId="0" fontId="0" fillId="0" borderId="42" xfId="0" applyBorder="1"/>
    <xf numFmtId="1" fontId="0" fillId="0" borderId="42" xfId="0" applyNumberFormat="1" applyBorder="1"/>
    <xf numFmtId="0" fontId="33" fillId="16" borderId="103" xfId="0" applyFont="1" applyFill="1" applyBorder="1" applyAlignment="1">
      <alignment horizontal="right" vertical="center" wrapText="1"/>
    </xf>
    <xf numFmtId="0" fontId="33" fillId="16" borderId="104" xfId="0" applyFont="1" applyFill="1" applyBorder="1" applyAlignment="1">
      <alignment horizontal="center" vertical="center" wrapText="1"/>
    </xf>
    <xf numFmtId="0" fontId="33" fillId="16" borderId="105" xfId="0" applyFont="1" applyFill="1" applyBorder="1" applyAlignment="1">
      <alignment horizontal="center" vertical="center" wrapText="1"/>
    </xf>
    <xf numFmtId="0" fontId="33" fillId="16" borderId="106" xfId="0" applyFont="1" applyFill="1" applyBorder="1" applyAlignment="1">
      <alignment horizontal="center" vertical="center" wrapText="1"/>
    </xf>
    <xf numFmtId="0" fontId="33" fillId="16" borderId="107" xfId="0" applyFont="1" applyFill="1" applyBorder="1" applyAlignment="1">
      <alignment horizontal="center" vertical="center" wrapText="1"/>
    </xf>
    <xf numFmtId="0" fontId="0" fillId="0" borderId="41" xfId="0" applyBorder="1"/>
    <xf numFmtId="1" fontId="0" fillId="0" borderId="10" xfId="0" applyNumberFormat="1" applyBorder="1"/>
    <xf numFmtId="0" fontId="31" fillId="18" borderId="109" xfId="0" applyFont="1" applyFill="1" applyBorder="1" applyAlignment="1">
      <alignment horizontal="justify" vertical="center" wrapText="1"/>
    </xf>
    <xf numFmtId="0" fontId="31" fillId="18" borderId="110" xfId="0" applyFont="1" applyFill="1" applyBorder="1" applyAlignment="1">
      <alignment horizontal="center" vertical="center" wrapText="1"/>
    </xf>
    <xf numFmtId="0" fontId="31" fillId="18" borderId="111" xfId="0" applyFont="1" applyFill="1" applyBorder="1" applyAlignment="1">
      <alignment horizontal="center" vertical="center" wrapText="1"/>
    </xf>
    <xf numFmtId="0" fontId="31" fillId="18" borderId="112" xfId="0" applyFont="1" applyFill="1" applyBorder="1" applyAlignment="1">
      <alignment horizontal="center" vertical="center" wrapText="1"/>
    </xf>
    <xf numFmtId="0" fontId="0" fillId="0" borderId="3" xfId="0" applyBorder="1"/>
    <xf numFmtId="0" fontId="31" fillId="19" borderId="113" xfId="0" applyFont="1" applyFill="1" applyBorder="1" applyAlignment="1">
      <alignment horizontal="justify" vertical="center" wrapText="1"/>
    </xf>
    <xf numFmtId="0" fontId="31" fillId="19" borderId="111" xfId="0" applyFont="1" applyFill="1" applyBorder="1" applyAlignment="1">
      <alignment horizontal="center" vertical="center" wrapText="1"/>
    </xf>
    <xf numFmtId="0" fontId="31" fillId="19" borderId="11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33" fillId="19" borderId="114" xfId="0" applyFont="1" applyFill="1" applyBorder="1" applyAlignment="1">
      <alignment horizontal="right" vertical="center" wrapText="1"/>
    </xf>
    <xf numFmtId="0" fontId="33" fillId="19" borderId="115" xfId="0" applyFont="1" applyFill="1" applyBorder="1" applyAlignment="1">
      <alignment horizontal="center" vertical="center" wrapText="1"/>
    </xf>
    <xf numFmtId="0" fontId="33" fillId="19" borderId="116" xfId="0" applyFont="1" applyFill="1" applyBorder="1" applyAlignment="1">
      <alignment horizontal="center" vertical="center" wrapText="1"/>
    </xf>
    <xf numFmtId="0" fontId="33" fillId="19" borderId="117" xfId="0" applyFont="1" applyFill="1" applyBorder="1" applyAlignment="1">
      <alignment horizontal="center" vertical="center" wrapText="1"/>
    </xf>
    <xf numFmtId="0" fontId="33" fillId="19" borderId="118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right"/>
    </xf>
    <xf numFmtId="1" fontId="0" fillId="0" borderId="42" xfId="0" applyNumberFormat="1" applyBorder="1" applyAlignment="1">
      <alignment horizontal="right"/>
    </xf>
    <xf numFmtId="0" fontId="33" fillId="19" borderId="119" xfId="0" applyFont="1" applyFill="1" applyBorder="1" applyAlignment="1">
      <alignment horizontal="right" vertical="center" wrapText="1"/>
    </xf>
    <xf numFmtId="0" fontId="33" fillId="19" borderId="120" xfId="0" applyFont="1" applyFill="1" applyBorder="1" applyAlignment="1">
      <alignment horizontal="center" vertical="center" wrapText="1"/>
    </xf>
    <xf numFmtId="0" fontId="33" fillId="19" borderId="121" xfId="0" applyFont="1" applyFill="1" applyBorder="1" applyAlignment="1">
      <alignment horizontal="center" vertical="center" wrapText="1"/>
    </xf>
    <xf numFmtId="0" fontId="33" fillId="19" borderId="12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31" fillId="18" borderId="123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34" fillId="18" borderId="124" xfId="0" applyFont="1" applyFill="1" applyBorder="1" applyAlignment="1">
      <alignment vertical="center" wrapText="1"/>
    </xf>
    <xf numFmtId="0" fontId="0" fillId="18" borderId="125" xfId="0" applyFill="1" applyBorder="1" applyAlignment="1">
      <alignment horizontal="center"/>
    </xf>
    <xf numFmtId="0" fontId="0" fillId="18" borderId="126" xfId="0" applyFill="1" applyBorder="1" applyAlignment="1">
      <alignment horizontal="center"/>
    </xf>
    <xf numFmtId="0" fontId="0" fillId="18" borderId="126" xfId="0" applyFill="1" applyBorder="1"/>
    <xf numFmtId="0" fontId="0" fillId="18" borderId="127" xfId="0" applyFill="1" applyBorder="1" applyAlignment="1">
      <alignment horizontal="center"/>
    </xf>
    <xf numFmtId="0" fontId="0" fillId="0" borderId="44" xfId="0" applyBorder="1" applyAlignment="1">
      <alignment horizontal="right"/>
    </xf>
    <xf numFmtId="0" fontId="0" fillId="7" borderId="19" xfId="0" applyFill="1" applyBorder="1"/>
    <xf numFmtId="0" fontId="0" fillId="7" borderId="53" xfId="0" applyFill="1" applyBorder="1"/>
    <xf numFmtId="0" fontId="0" fillId="7" borderId="77" xfId="0" applyFill="1" applyBorder="1" applyAlignment="1">
      <alignment horizontal="right"/>
    </xf>
    <xf numFmtId="1" fontId="0" fillId="7" borderId="75" xfId="0" applyNumberFormat="1" applyFill="1" applyBorder="1" applyAlignment="1">
      <alignment horizontal="right"/>
    </xf>
    <xf numFmtId="0" fontId="0" fillId="7" borderId="56" xfId="0" applyFill="1" applyBorder="1" applyAlignment="1">
      <alignment horizontal="right"/>
    </xf>
    <xf numFmtId="1" fontId="0" fillId="7" borderId="58" xfId="0" applyNumberFormat="1" applyFill="1" applyBorder="1" applyAlignment="1">
      <alignment horizontal="right"/>
    </xf>
    <xf numFmtId="0" fontId="31" fillId="21" borderId="129" xfId="0" applyFont="1" applyFill="1" applyBorder="1" applyAlignment="1">
      <alignment horizontal="justify" vertical="center" wrapText="1"/>
    </xf>
    <xf numFmtId="0" fontId="31" fillId="21" borderId="130" xfId="0" applyFont="1" applyFill="1" applyBorder="1" applyAlignment="1">
      <alignment horizontal="center" vertical="center" wrapText="1"/>
    </xf>
    <xf numFmtId="0" fontId="31" fillId="21" borderId="131" xfId="0" applyFont="1" applyFill="1" applyBorder="1" applyAlignment="1">
      <alignment horizontal="center" vertical="center" wrapText="1"/>
    </xf>
    <xf numFmtId="0" fontId="31" fillId="21" borderId="13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31" fillId="22" borderId="133" xfId="0" applyFont="1" applyFill="1" applyBorder="1" applyAlignment="1">
      <alignment horizontal="justify" vertical="center" wrapText="1"/>
    </xf>
    <xf numFmtId="0" fontId="31" fillId="22" borderId="132" xfId="0" applyFont="1" applyFill="1" applyBorder="1" applyAlignment="1">
      <alignment horizontal="center" vertical="center" wrapText="1"/>
    </xf>
    <xf numFmtId="0" fontId="31" fillId="22" borderId="134" xfId="0" applyFont="1" applyFill="1" applyBorder="1" applyAlignment="1">
      <alignment horizontal="center" vertical="center" wrapText="1"/>
    </xf>
    <xf numFmtId="0" fontId="31" fillId="22" borderId="135" xfId="0" applyFont="1" applyFill="1" applyBorder="1" applyAlignment="1">
      <alignment horizontal="center" vertical="center" wrapText="1"/>
    </xf>
    <xf numFmtId="0" fontId="33" fillId="22" borderId="136" xfId="0" applyFont="1" applyFill="1" applyBorder="1" applyAlignment="1">
      <alignment horizontal="right" vertical="center" wrapText="1"/>
    </xf>
    <xf numFmtId="0" fontId="33" fillId="22" borderId="137" xfId="0" applyFont="1" applyFill="1" applyBorder="1" applyAlignment="1">
      <alignment horizontal="center" vertical="center" wrapText="1"/>
    </xf>
    <xf numFmtId="0" fontId="33" fillId="22" borderId="138" xfId="0" applyFont="1" applyFill="1" applyBorder="1" applyAlignment="1">
      <alignment horizontal="center" vertical="center" wrapText="1"/>
    </xf>
    <xf numFmtId="0" fontId="33" fillId="22" borderId="139" xfId="0" applyFont="1" applyFill="1" applyBorder="1" applyAlignment="1">
      <alignment horizontal="center" vertical="center" wrapText="1"/>
    </xf>
    <xf numFmtId="0" fontId="33" fillId="22" borderId="140" xfId="0" applyFont="1" applyFill="1" applyBorder="1" applyAlignment="1">
      <alignment horizontal="center" vertical="center" wrapText="1"/>
    </xf>
    <xf numFmtId="0" fontId="33" fillId="22" borderId="141" xfId="0" applyFont="1" applyFill="1" applyBorder="1" applyAlignment="1">
      <alignment horizontal="right" vertical="center" wrapText="1"/>
    </xf>
    <xf numFmtId="0" fontId="33" fillId="22" borderId="142" xfId="0" applyFont="1" applyFill="1" applyBorder="1" applyAlignment="1">
      <alignment horizontal="center" vertical="center" wrapText="1"/>
    </xf>
    <xf numFmtId="0" fontId="33" fillId="22" borderId="143" xfId="0" applyFont="1" applyFill="1" applyBorder="1" applyAlignment="1">
      <alignment horizontal="center" vertical="center" wrapText="1"/>
    </xf>
    <xf numFmtId="0" fontId="33" fillId="22" borderId="144" xfId="0" applyFont="1" applyFill="1" applyBorder="1" applyAlignment="1">
      <alignment horizontal="center" vertical="center" wrapText="1"/>
    </xf>
    <xf numFmtId="0" fontId="33" fillId="22" borderId="145" xfId="0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center" wrapText="1"/>
    </xf>
    <xf numFmtId="0" fontId="27" fillId="0" borderId="6" xfId="0" applyFont="1" applyBorder="1" applyAlignment="1">
      <alignment horizontal="left" vertical="center" wrapText="1"/>
    </xf>
    <xf numFmtId="17" fontId="9" fillId="0" borderId="0" xfId="0" applyNumberFormat="1" applyFont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48" xfId="0" applyFont="1" applyBorder="1"/>
    <xf numFmtId="1" fontId="27" fillId="0" borderId="26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26" xfId="0" applyFont="1" applyBorder="1" applyAlignment="1">
      <alignment horizontal="center"/>
    </xf>
    <xf numFmtId="1" fontId="27" fillId="0" borderId="25" xfId="0" applyNumberFormat="1" applyFont="1" applyBorder="1" applyAlignment="1">
      <alignment horizontal="center" vertical="center"/>
    </xf>
    <xf numFmtId="165" fontId="27" fillId="0" borderId="2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11" borderId="26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1" fontId="27" fillId="0" borderId="61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29" fillId="5" borderId="10" xfId="0" applyFont="1" applyFill="1" applyBorder="1" applyAlignment="1">
      <alignment horizontal="right" vertical="center" wrapText="1"/>
    </xf>
    <xf numFmtId="0" fontId="29" fillId="5" borderId="10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1" fontId="29" fillId="5" borderId="61" xfId="0" applyNumberFormat="1" applyFont="1" applyFill="1" applyBorder="1" applyAlignment="1">
      <alignment horizontal="center" vertical="center"/>
    </xf>
    <xf numFmtId="165" fontId="29" fillId="5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9" fillId="23" borderId="146" xfId="0" applyFont="1" applyFill="1" applyBorder="1" applyAlignment="1">
      <alignment wrapText="1"/>
    </xf>
    <xf numFmtId="0" fontId="9" fillId="23" borderId="146" xfId="0" applyFont="1" applyFill="1" applyBorder="1"/>
    <xf numFmtId="0" fontId="6" fillId="9" borderId="1" xfId="1" applyFill="1" applyAlignment="1">
      <alignment horizontal="left" wrapText="1"/>
    </xf>
    <xf numFmtId="0" fontId="6" fillId="9" borderId="1" xfId="1" applyFill="1"/>
    <xf numFmtId="0" fontId="6" fillId="0" borderId="1" xfId="1" applyAlignment="1">
      <alignment horizontal="left" wrapText="1"/>
    </xf>
    <xf numFmtId="0" fontId="6" fillId="8" borderId="1" xfId="1" applyFill="1" applyAlignment="1">
      <alignment horizontal="left" wrapText="1"/>
    </xf>
    <xf numFmtId="0" fontId="9" fillId="23" borderId="147" xfId="0" applyFont="1" applyFill="1" applyBorder="1" applyAlignment="1">
      <alignment horizontal="left" wrapText="1"/>
    </xf>
    <xf numFmtId="0" fontId="9" fillId="23" borderId="147" xfId="0" applyFont="1" applyFill="1" applyBorder="1"/>
    <xf numFmtId="2" fontId="7" fillId="5" borderId="29" xfId="0" applyNumberFormat="1" applyFont="1" applyFill="1" applyBorder="1" applyAlignment="1">
      <alignment horizontal="center" vertical="center"/>
    </xf>
    <xf numFmtId="0" fontId="5" fillId="0" borderId="149" xfId="0" applyFont="1" applyBorder="1" applyAlignment="1">
      <alignment horizontal="left"/>
    </xf>
    <xf numFmtId="0" fontId="5" fillId="0" borderId="149" xfId="4" applyFont="1" applyBorder="1" applyAlignment="1">
      <alignment horizontal="left"/>
    </xf>
    <xf numFmtId="0" fontId="8" fillId="0" borderId="149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/>
    </xf>
    <xf numFmtId="2" fontId="7" fillId="5" borderId="2" xfId="0" applyNumberFormat="1" applyFont="1" applyFill="1" applyBorder="1" applyAlignment="1">
      <alignment horizontal="center" vertical="center"/>
    </xf>
    <xf numFmtId="2" fontId="7" fillId="5" borderId="148" xfId="0" applyNumberFormat="1" applyFont="1" applyFill="1" applyBorder="1" applyAlignment="1">
      <alignment horizontal="center" vertical="center"/>
    </xf>
    <xf numFmtId="1" fontId="20" fillId="0" borderId="0" xfId="0" applyNumberFormat="1" applyFont="1"/>
    <xf numFmtId="0" fontId="22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1" fontId="36" fillId="0" borderId="0" xfId="0" applyNumberFormat="1" applyFont="1"/>
    <xf numFmtId="0" fontId="37" fillId="0" borderId="0" xfId="0" applyFont="1" applyAlignment="1">
      <alignment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1" fontId="36" fillId="0" borderId="0" xfId="0" applyNumberFormat="1" applyFont="1" applyAlignment="1">
      <alignment horizontal="center"/>
    </xf>
    <xf numFmtId="0" fontId="39" fillId="0" borderId="0" xfId="0" applyFont="1"/>
    <xf numFmtId="17" fontId="36" fillId="0" borderId="0" xfId="0" applyNumberFormat="1" applyFont="1"/>
    <xf numFmtId="2" fontId="36" fillId="0" borderId="0" xfId="0" applyNumberFormat="1" applyFont="1" applyAlignment="1">
      <alignment horizont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2" fontId="40" fillId="0" borderId="0" xfId="0" applyNumberFormat="1" applyFont="1"/>
    <xf numFmtId="0" fontId="35" fillId="0" borderId="149" xfId="0" applyFont="1" applyBorder="1" applyAlignment="1">
      <alignment horizontal="left"/>
    </xf>
    <xf numFmtId="0" fontId="35" fillId="0" borderId="149" xfId="4" applyFont="1" applyBorder="1" applyAlignment="1">
      <alignment horizontal="center" vertical="center"/>
    </xf>
    <xf numFmtId="0" fontId="35" fillId="0" borderId="149" xfId="0" applyFont="1" applyBorder="1" applyAlignment="1">
      <alignment horizontal="center" vertical="center"/>
    </xf>
    <xf numFmtId="0" fontId="35" fillId="0" borderId="149" xfId="0" applyFont="1" applyBorder="1" applyAlignment="1">
      <alignment horizontal="center"/>
    </xf>
    <xf numFmtId="0" fontId="35" fillId="0" borderId="149" xfId="4" applyFont="1" applyBorder="1" applyAlignment="1">
      <alignment horizontal="left"/>
    </xf>
    <xf numFmtId="0" fontId="7" fillId="5" borderId="11" xfId="0" applyFont="1" applyFill="1" applyBorder="1" applyAlignment="1">
      <alignment horizontal="center" vertical="center"/>
    </xf>
    <xf numFmtId="0" fontId="7" fillId="5" borderId="148" xfId="0" applyFont="1" applyFill="1" applyBorder="1" applyAlignment="1">
      <alignment horizontal="right"/>
    </xf>
    <xf numFmtId="0" fontId="7" fillId="5" borderId="41" xfId="0" applyFont="1" applyFill="1" applyBorder="1" applyAlignment="1">
      <alignment horizontal="left"/>
    </xf>
    <xf numFmtId="1" fontId="7" fillId="5" borderId="148" xfId="0" applyNumberFormat="1" applyFont="1" applyFill="1" applyBorder="1" applyAlignment="1">
      <alignment horizontal="center"/>
    </xf>
    <xf numFmtId="0" fontId="41" fillId="0" borderId="0" xfId="0" applyFont="1" applyAlignment="1">
      <alignment wrapText="1"/>
    </xf>
    <xf numFmtId="0" fontId="42" fillId="0" borderId="0" xfId="0" applyFont="1" applyAlignment="1">
      <alignment wrapText="1"/>
    </xf>
    <xf numFmtId="3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2" fillId="0" borderId="0" xfId="0" applyFont="1"/>
    <xf numFmtId="0" fontId="41" fillId="0" borderId="0" xfId="0" applyFont="1"/>
    <xf numFmtId="1" fontId="41" fillId="0" borderId="0" xfId="0" applyNumberFormat="1" applyFont="1"/>
    <xf numFmtId="2" fontId="41" fillId="0" borderId="0" xfId="0" applyNumberFormat="1" applyFont="1"/>
    <xf numFmtId="0" fontId="41" fillId="0" borderId="0" xfId="0" applyFont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4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24" borderId="0" xfId="0" applyFill="1"/>
    <xf numFmtId="0" fontId="49" fillId="0" borderId="150" xfId="0" applyFont="1" applyBorder="1" applyAlignment="1">
      <alignment horizontal="center"/>
    </xf>
    <xf numFmtId="0" fontId="49" fillId="0" borderId="151" xfId="0" applyFont="1" applyBorder="1" applyAlignment="1">
      <alignment horizontal="center"/>
    </xf>
    <xf numFmtId="0" fontId="8" fillId="0" borderId="43" xfId="0" applyFont="1" applyBorder="1"/>
    <xf numFmtId="0" fontId="8" fillId="0" borderId="19" xfId="0" applyFont="1" applyBorder="1" applyAlignment="1">
      <alignment horizontal="center" vertical="center"/>
    </xf>
    <xf numFmtId="0" fontId="8" fillId="0" borderId="48" xfId="0" applyFont="1" applyBorder="1"/>
    <xf numFmtId="0" fontId="42" fillId="0" borderId="0" xfId="0" applyFont="1" applyAlignment="1">
      <alignment horizontal="center" vertical="center" wrapText="1"/>
    </xf>
    <xf numFmtId="1" fontId="40" fillId="0" borderId="0" xfId="0" applyNumberFormat="1" applyFont="1"/>
    <xf numFmtId="0" fontId="42" fillId="0" borderId="0" xfId="0" applyFont="1" applyAlignment="1">
      <alignment horizontal="center" vertical="center"/>
    </xf>
    <xf numFmtId="0" fontId="50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0" fontId="1" fillId="0" borderId="148" xfId="0" applyNumberFormat="1" applyFont="1" applyBorder="1" applyAlignment="1">
      <alignment horizontal="center"/>
    </xf>
    <xf numFmtId="2" fontId="35" fillId="0" borderId="148" xfId="0" applyNumberFormat="1" applyFont="1" applyBorder="1" applyAlignment="1">
      <alignment horizontal="center"/>
    </xf>
    <xf numFmtId="9" fontId="35" fillId="0" borderId="148" xfId="13" applyFont="1" applyBorder="1" applyAlignment="1">
      <alignment horizontal="center"/>
    </xf>
    <xf numFmtId="3" fontId="35" fillId="0" borderId="148" xfId="0" applyNumberFormat="1" applyFont="1" applyBorder="1" applyAlignment="1">
      <alignment horizontal="center"/>
    </xf>
    <xf numFmtId="17" fontId="51" fillId="0" borderId="148" xfId="0" applyNumberFormat="1" applyFont="1" applyBorder="1" applyAlignment="1">
      <alignment horizontal="center"/>
    </xf>
    <xf numFmtId="0" fontId="41" fillId="0" borderId="0" xfId="0" applyFont="1" applyBorder="1"/>
    <xf numFmtId="2" fontId="9" fillId="5" borderId="2" xfId="0" applyNumberFormat="1" applyFont="1" applyFill="1" applyBorder="1" applyAlignment="1">
      <alignment horizontal="center" vertical="center"/>
    </xf>
    <xf numFmtId="2" fontId="9" fillId="5" borderId="148" xfId="0" applyNumberFormat="1" applyFont="1" applyFill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0" fontId="8" fillId="0" borderId="149" xfId="4" applyFont="1" applyFill="1" applyBorder="1" applyAlignment="1">
      <alignment horizontal="center" vertical="center"/>
    </xf>
    <xf numFmtId="0" fontId="8" fillId="0" borderId="149" xfId="0" applyFont="1" applyFill="1" applyBorder="1" applyAlignment="1">
      <alignment horizontal="center" vertical="center"/>
    </xf>
    <xf numFmtId="0" fontId="8" fillId="0" borderId="149" xfId="0" applyFont="1" applyFill="1" applyBorder="1" applyAlignment="1">
      <alignment horizontal="center"/>
    </xf>
    <xf numFmtId="0" fontId="52" fillId="0" borderId="0" xfId="0" applyFont="1" applyAlignment="1">
      <alignment horizontal="right"/>
    </xf>
    <xf numFmtId="0" fontId="52" fillId="0" borderId="0" xfId="0" applyFont="1"/>
    <xf numFmtId="0" fontId="41" fillId="0" borderId="0" xfId="4" applyFont="1"/>
    <xf numFmtId="0" fontId="8" fillId="0" borderId="152" xfId="0" applyFont="1" applyBorder="1" applyAlignment="1">
      <alignment horizontal="left"/>
    </xf>
    <xf numFmtId="0" fontId="8" fillId="0" borderId="153" xfId="0" applyFont="1" applyBorder="1" applyAlignment="1">
      <alignment horizontal="left"/>
    </xf>
    <xf numFmtId="0" fontId="8" fillId="0" borderId="154" xfId="0" applyFont="1" applyBorder="1" applyAlignment="1">
      <alignment horizontal="left"/>
    </xf>
    <xf numFmtId="0" fontId="8" fillId="0" borderId="155" xfId="0" applyFont="1" applyBorder="1" applyAlignment="1">
      <alignment horizontal="center"/>
    </xf>
    <xf numFmtId="0" fontId="8" fillId="0" borderId="156" xfId="0" applyFont="1" applyBorder="1" applyAlignment="1">
      <alignment horizontal="center"/>
    </xf>
    <xf numFmtId="0" fontId="53" fillId="0" borderId="0" xfId="0" applyFont="1" applyAlignment="1">
      <alignment horizontal="right"/>
    </xf>
    <xf numFmtId="0" fontId="53" fillId="0" borderId="0" xfId="0" applyFont="1" applyAlignment="1">
      <alignment horizontal="center"/>
    </xf>
    <xf numFmtId="2" fontId="8" fillId="0" borderId="157" xfId="0" applyNumberFormat="1" applyFont="1" applyBorder="1" applyAlignment="1">
      <alignment horizontal="center"/>
    </xf>
    <xf numFmtId="2" fontId="8" fillId="0" borderId="158" xfId="0" applyNumberFormat="1" applyFont="1" applyBorder="1" applyAlignment="1">
      <alignment horizontal="center"/>
    </xf>
    <xf numFmtId="2" fontId="8" fillId="0" borderId="159" xfId="0" applyNumberFormat="1" applyFont="1" applyBorder="1" applyAlignment="1">
      <alignment horizontal="center"/>
    </xf>
    <xf numFmtId="0" fontId="33" fillId="25" borderId="160" xfId="0" applyFont="1" applyFill="1" applyBorder="1" applyAlignment="1">
      <alignment horizontal="center" vertical="center" wrapText="1"/>
    </xf>
    <xf numFmtId="0" fontId="7" fillId="0" borderId="16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7" fillId="26" borderId="162" xfId="0" applyFont="1" applyFill="1" applyBorder="1" applyAlignment="1">
      <alignment horizontal="center"/>
    </xf>
    <xf numFmtId="0" fontId="54" fillId="27" borderId="150" xfId="0" applyFont="1" applyFill="1" applyBorder="1" applyAlignment="1">
      <alignment horizontal="center"/>
    </xf>
    <xf numFmtId="0" fontId="54" fillId="27" borderId="163" xfId="0" applyFont="1" applyFill="1" applyBorder="1" applyAlignment="1">
      <alignment horizontal="center"/>
    </xf>
    <xf numFmtId="0" fontId="54" fillId="27" borderId="151" xfId="0" applyFont="1" applyFill="1" applyBorder="1" applyAlignment="1">
      <alignment horizontal="center"/>
    </xf>
    <xf numFmtId="0" fontId="8" fillId="0" borderId="164" xfId="0" applyFont="1" applyBorder="1" applyAlignment="1"/>
    <xf numFmtId="0" fontId="0" fillId="0" borderId="164" xfId="0" applyBorder="1" applyAlignment="1">
      <alignment horizontal="center"/>
    </xf>
    <xf numFmtId="0" fontId="0" fillId="0" borderId="149" xfId="0" applyBorder="1" applyAlignment="1">
      <alignment horizontal="left"/>
    </xf>
    <xf numFmtId="0" fontId="0" fillId="0" borderId="149" xfId="0" applyBorder="1" applyAlignment="1">
      <alignment horizontal="center"/>
    </xf>
    <xf numFmtId="0" fontId="8" fillId="0" borderId="149" xfId="0" applyFont="1" applyBorder="1" applyAlignment="1"/>
    <xf numFmtId="0" fontId="8" fillId="0" borderId="165" xfId="0" applyFont="1" applyBorder="1" applyAlignment="1"/>
    <xf numFmtId="0" fontId="0" fillId="0" borderId="165" xfId="0" applyBorder="1" applyAlignment="1">
      <alignment horizontal="center"/>
    </xf>
    <xf numFmtId="0" fontId="55" fillId="0" borderId="149" xfId="0" applyFont="1" applyBorder="1" applyAlignment="1">
      <alignment horizontal="left"/>
    </xf>
    <xf numFmtId="0" fontId="8" fillId="0" borderId="149" xfId="0" applyFont="1" applyFill="1" applyBorder="1" applyAlignment="1"/>
    <xf numFmtId="0" fontId="7" fillId="26" borderId="164" xfId="0" applyFont="1" applyFill="1" applyBorder="1" applyAlignment="1">
      <alignment horizontal="center"/>
    </xf>
    <xf numFmtId="0" fontId="54" fillId="27" borderId="164" xfId="0" applyFont="1" applyFill="1" applyBorder="1" applyAlignment="1">
      <alignment horizontal="center"/>
    </xf>
    <xf numFmtId="0" fontId="41" fillId="0" borderId="0" xfId="0" applyFont="1" applyFill="1" applyBorder="1"/>
    <xf numFmtId="17" fontId="41" fillId="0" borderId="0" xfId="0" applyNumberFormat="1" applyFont="1" applyFill="1" applyBorder="1" applyAlignment="1">
      <alignment horizontal="center"/>
    </xf>
    <xf numFmtId="17" fontId="41" fillId="0" borderId="0" xfId="0" applyNumberFormat="1" applyFont="1" applyFill="1" applyBorder="1" applyAlignment="1">
      <alignment horizontal="center" vertical="center"/>
    </xf>
    <xf numFmtId="165" fontId="41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/>
    </xf>
    <xf numFmtId="1" fontId="41" fillId="0" borderId="0" xfId="0" applyNumberFormat="1" applyFont="1" applyFill="1" applyBorder="1" applyAlignment="1">
      <alignment horizontal="left" vertical="center"/>
    </xf>
    <xf numFmtId="1" fontId="41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wrapText="1"/>
    </xf>
    <xf numFmtId="17" fontId="45" fillId="0" borderId="0" xfId="0" applyNumberFormat="1" applyFont="1" applyFill="1" applyBorder="1"/>
    <xf numFmtId="17" fontId="45" fillId="0" borderId="0" xfId="0" applyNumberFormat="1" applyFont="1" applyFill="1" applyBorder="1" applyAlignment="1">
      <alignment horizontal="center" vertical="center"/>
    </xf>
    <xf numFmtId="17" fontId="45" fillId="0" borderId="0" xfId="0" applyNumberFormat="1" applyFont="1" applyFill="1" applyBorder="1" applyAlignment="1">
      <alignment horizontal="center" vertical="center" wrapText="1"/>
    </xf>
    <xf numFmtId="1" fontId="45" fillId="0" borderId="0" xfId="0" applyNumberFormat="1" applyFont="1" applyFill="1" applyBorder="1" applyAlignment="1">
      <alignment horizontal="center" vertical="center"/>
    </xf>
    <xf numFmtId="165" fontId="45" fillId="0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167" fontId="45" fillId="0" borderId="0" xfId="0" applyNumberFormat="1" applyFont="1" applyFill="1" applyBorder="1" applyAlignment="1">
      <alignment horizontal="center" vertical="center"/>
    </xf>
    <xf numFmtId="1" fontId="41" fillId="0" borderId="0" xfId="0" applyNumberFormat="1" applyFont="1" applyFill="1" applyBorder="1"/>
    <xf numFmtId="0" fontId="45" fillId="0" borderId="0" xfId="0" applyFont="1" applyFill="1" applyBorder="1"/>
    <xf numFmtId="0" fontId="45" fillId="0" borderId="0" xfId="0" applyFont="1" applyFill="1" applyBorder="1" applyAlignment="1">
      <alignment horizontal="center"/>
    </xf>
    <xf numFmtId="1" fontId="45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165" fontId="45" fillId="0" borderId="0" xfId="0" applyNumberFormat="1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/>
    </xf>
    <xf numFmtId="0" fontId="29" fillId="5" borderId="41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9" fillId="5" borderId="148" xfId="0" applyFont="1" applyFill="1" applyBorder="1" applyAlignment="1">
      <alignment horizontal="center" vertical="center"/>
    </xf>
    <xf numFmtId="0" fontId="40" fillId="0" borderId="0" xfId="0" applyFont="1" applyFill="1"/>
    <xf numFmtId="1" fontId="40" fillId="0" borderId="0" xfId="0" applyNumberFormat="1" applyFont="1" applyFill="1"/>
    <xf numFmtId="0" fontId="56" fillId="0" borderId="0" xfId="0" applyFont="1"/>
    <xf numFmtId="0" fontId="38" fillId="0" borderId="0" xfId="0" applyFont="1"/>
    <xf numFmtId="17" fontId="57" fillId="0" borderId="0" xfId="0" applyNumberFormat="1" applyFont="1" applyBorder="1" applyAlignment="1">
      <alignment horizontal="center" vertical="center"/>
    </xf>
    <xf numFmtId="0" fontId="57" fillId="0" borderId="0" xfId="0" applyNumberFormat="1" applyFont="1" applyBorder="1" applyAlignment="1">
      <alignment horizontal="center" vertical="center"/>
    </xf>
    <xf numFmtId="3" fontId="57" fillId="0" borderId="0" xfId="0" applyNumberFormat="1" applyFont="1" applyBorder="1" applyAlignment="1">
      <alignment horizontal="center" vertical="center"/>
    </xf>
    <xf numFmtId="17" fontId="57" fillId="0" borderId="0" xfId="0" applyNumberFormat="1" applyFont="1" applyFill="1" applyBorder="1" applyAlignment="1">
      <alignment horizontal="center" vertical="center"/>
    </xf>
    <xf numFmtId="0" fontId="57" fillId="0" borderId="0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4" fillId="27" borderId="149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165" fontId="38" fillId="0" borderId="0" xfId="0" applyNumberFormat="1" applyFont="1" applyAlignment="1">
      <alignment horizontal="center" vertical="center"/>
    </xf>
    <xf numFmtId="0" fontId="59" fillId="0" borderId="0" xfId="0" applyFont="1" applyAlignment="1">
      <alignment horizontal="right" vertical="center" wrapText="1"/>
    </xf>
    <xf numFmtId="0" fontId="59" fillId="0" borderId="0" xfId="0" applyFont="1" applyAlignment="1">
      <alignment horizontal="center" vertical="center"/>
    </xf>
    <xf numFmtId="1" fontId="59" fillId="0" borderId="0" xfId="0" applyNumberFormat="1" applyFont="1" applyAlignment="1">
      <alignment horizontal="center" vertical="center"/>
    </xf>
    <xf numFmtId="165" fontId="59" fillId="0" borderId="0" xfId="0" applyNumberFormat="1" applyFont="1" applyAlignment="1">
      <alignment horizontal="center" vertical="center"/>
    </xf>
    <xf numFmtId="0" fontId="38" fillId="0" borderId="0" xfId="0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 vertical="center"/>
    </xf>
    <xf numFmtId="1" fontId="38" fillId="0" borderId="0" xfId="0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1" fontId="38" fillId="0" borderId="0" xfId="0" applyNumberFormat="1" applyFont="1" applyBorder="1" applyAlignment="1">
      <alignment horizontal="center" vertical="center"/>
    </xf>
    <xf numFmtId="165" fontId="38" fillId="0" borderId="0" xfId="0" applyNumberFormat="1" applyFont="1" applyBorder="1" applyAlignment="1">
      <alignment horizontal="center" vertical="center"/>
    </xf>
    <xf numFmtId="0" fontId="46" fillId="0" borderId="0" xfId="10" applyFont="1" applyBorder="1" applyAlignment="1" applyProtection="1">
      <alignment horizontal="center" wrapText="1"/>
    </xf>
    <xf numFmtId="0" fontId="46" fillId="0" borderId="0" xfId="0" applyFont="1" applyBorder="1" applyAlignment="1">
      <alignment horizontal="center" vertical="center"/>
    </xf>
    <xf numFmtId="1" fontId="46" fillId="0" borderId="0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 wrapText="1"/>
    </xf>
    <xf numFmtId="0" fontId="46" fillId="0" borderId="0" xfId="10" applyFont="1" applyBorder="1" applyAlignment="1" applyProtection="1">
      <alignment horizontal="center" vertical="center" wrapText="1"/>
    </xf>
    <xf numFmtId="0" fontId="48" fillId="0" borderId="0" xfId="0" applyFont="1" applyBorder="1" applyAlignment="1">
      <alignment horizontal="center" vertical="center"/>
    </xf>
    <xf numFmtId="1" fontId="48" fillId="0" borderId="0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center" wrapText="1"/>
    </xf>
    <xf numFmtId="0" fontId="46" fillId="0" borderId="0" xfId="0" applyFont="1" applyBorder="1" applyAlignment="1">
      <alignment horizontal="center"/>
    </xf>
    <xf numFmtId="0" fontId="46" fillId="0" borderId="0" xfId="0" applyFont="1" applyBorder="1"/>
    <xf numFmtId="1" fontId="46" fillId="0" borderId="0" xfId="0" applyNumberFormat="1" applyFont="1" applyBorder="1" applyAlignment="1">
      <alignment horizontal="center"/>
    </xf>
    <xf numFmtId="0" fontId="46" fillId="0" borderId="0" xfId="0" applyFont="1" applyBorder="1" applyAlignment="1">
      <alignment horizontal="left" vertical="center" wrapText="1"/>
    </xf>
    <xf numFmtId="0" fontId="38" fillId="0" borderId="42" xfId="4" applyFont="1" applyBorder="1"/>
    <xf numFmtId="0" fontId="38" fillId="0" borderId="43" xfId="4" applyFont="1" applyBorder="1" applyAlignment="1">
      <alignment horizontal="center" vertical="center"/>
    </xf>
    <xf numFmtId="0" fontId="38" fillId="0" borderId="19" xfId="0" applyFont="1" applyBorder="1"/>
    <xf numFmtId="1" fontId="38" fillId="0" borderId="19" xfId="4" applyNumberFormat="1" applyFont="1" applyBorder="1" applyAlignment="1">
      <alignment horizontal="center" vertical="center"/>
    </xf>
    <xf numFmtId="0" fontId="38" fillId="0" borderId="19" xfId="4" applyFont="1" applyBorder="1" applyAlignment="1">
      <alignment horizontal="center" vertical="center"/>
    </xf>
    <xf numFmtId="0" fontId="38" fillId="0" borderId="20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58" fillId="0" borderId="42" xfId="4" applyFont="1" applyBorder="1" applyAlignment="1">
      <alignment horizontal="center" vertical="center"/>
    </xf>
    <xf numFmtId="1" fontId="58" fillId="0" borderId="44" xfId="0" applyNumberFormat="1" applyFont="1" applyBorder="1" applyAlignment="1">
      <alignment horizontal="center" vertical="center"/>
    </xf>
    <xf numFmtId="2" fontId="58" fillId="0" borderId="42" xfId="4" applyNumberFormat="1" applyFont="1" applyBorder="1" applyAlignment="1">
      <alignment horizontal="center" vertical="center"/>
    </xf>
    <xf numFmtId="0" fontId="38" fillId="0" borderId="6" xfId="4" applyFont="1" applyBorder="1"/>
    <xf numFmtId="0" fontId="38" fillId="0" borderId="45" xfId="4" applyFont="1" applyBorder="1" applyAlignment="1">
      <alignment horizontal="center" vertical="center"/>
    </xf>
    <xf numFmtId="0" fontId="38" fillId="0" borderId="20" xfId="0" applyFont="1" applyBorder="1"/>
    <xf numFmtId="1" fontId="38" fillId="0" borderId="20" xfId="4" applyNumberFormat="1" applyFont="1" applyBorder="1" applyAlignment="1">
      <alignment horizontal="center" vertical="center"/>
    </xf>
    <xf numFmtId="0" fontId="38" fillId="0" borderId="20" xfId="4" applyFont="1" applyBorder="1" applyAlignment="1">
      <alignment horizontal="center" vertical="center"/>
    </xf>
    <xf numFmtId="0" fontId="58" fillId="0" borderId="6" xfId="4" applyFont="1" applyBorder="1" applyAlignment="1">
      <alignment horizontal="center" vertical="center"/>
    </xf>
    <xf numFmtId="1" fontId="58" fillId="0" borderId="34" xfId="0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left"/>
    </xf>
    <xf numFmtId="0" fontId="38" fillId="0" borderId="45" xfId="0" applyFont="1" applyBorder="1" applyAlignment="1">
      <alignment horizontal="center" vertical="center"/>
    </xf>
    <xf numFmtId="1" fontId="38" fillId="0" borderId="20" xfId="0" applyNumberFormat="1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6" xfId="0" applyFont="1" applyBorder="1"/>
    <xf numFmtId="0" fontId="38" fillId="0" borderId="20" xfId="0" applyFont="1" applyFill="1" applyBorder="1" applyAlignment="1">
      <alignment horizontal="center"/>
    </xf>
    <xf numFmtId="0" fontId="37" fillId="0" borderId="20" xfId="0" applyFont="1" applyBorder="1"/>
    <xf numFmtId="0" fontId="37" fillId="0" borderId="20" xfId="0" applyFont="1" applyBorder="1" applyAlignment="1">
      <alignment horizontal="center"/>
    </xf>
    <xf numFmtId="0" fontId="38" fillId="0" borderId="26" xfId="4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58" fillId="0" borderId="28" xfId="4" applyFont="1" applyBorder="1" applyAlignment="1">
      <alignment horizontal="center" vertical="center"/>
    </xf>
    <xf numFmtId="1" fontId="58" fillId="0" borderId="46" xfId="0" applyNumberFormat="1" applyFont="1" applyBorder="1" applyAlignment="1">
      <alignment horizontal="center" vertical="center"/>
    </xf>
    <xf numFmtId="2" fontId="58" fillId="0" borderId="47" xfId="4" applyNumberFormat="1" applyFont="1" applyBorder="1" applyAlignment="1">
      <alignment horizontal="center" vertical="center"/>
    </xf>
    <xf numFmtId="0" fontId="38" fillId="0" borderId="8" xfId="0" applyFont="1" applyBorder="1"/>
    <xf numFmtId="0" fontId="38" fillId="0" borderId="48" xfId="0" applyFont="1" applyBorder="1" applyAlignment="1">
      <alignment horizontal="center" vertical="center"/>
    </xf>
    <xf numFmtId="0" fontId="38" fillId="0" borderId="26" xfId="0" applyFont="1" applyBorder="1"/>
    <xf numFmtId="1" fontId="38" fillId="0" borderId="26" xfId="0" applyNumberFormat="1" applyFont="1" applyBorder="1" applyAlignment="1">
      <alignment horizontal="center" vertical="center"/>
    </xf>
    <xf numFmtId="0" fontId="38" fillId="0" borderId="26" xfId="0" applyFont="1" applyBorder="1" applyAlignment="1">
      <alignment horizontal="center"/>
    </xf>
    <xf numFmtId="2" fontId="58" fillId="0" borderId="28" xfId="4" applyNumberFormat="1" applyFont="1" applyBorder="1" applyAlignment="1">
      <alignment horizontal="center" vertical="center"/>
    </xf>
    <xf numFmtId="3" fontId="60" fillId="0" borderId="0" xfId="0" applyNumberFormat="1" applyFont="1" applyAlignment="1">
      <alignment horizontal="center" vertical="center"/>
    </xf>
    <xf numFmtId="165" fontId="41" fillId="0" borderId="0" xfId="0" applyNumberFormat="1" applyFont="1"/>
    <xf numFmtId="3" fontId="41" fillId="0" borderId="0" xfId="0" applyNumberFormat="1" applyFont="1"/>
    <xf numFmtId="0" fontId="27" fillId="0" borderId="50" xfId="0" applyFont="1" applyBorder="1" applyAlignment="1">
      <alignment horizontal="center" vertical="center"/>
    </xf>
    <xf numFmtId="1" fontId="27" fillId="0" borderId="38" xfId="0" applyNumberFormat="1" applyFont="1" applyBorder="1" applyAlignment="1">
      <alignment horizontal="center" vertical="center"/>
    </xf>
    <xf numFmtId="0" fontId="0" fillId="0" borderId="15" xfId="0" applyBorder="1" applyAlignment="1"/>
    <xf numFmtId="0" fontId="10" fillId="0" borderId="0" xfId="0" applyFont="1" applyAlignment="1">
      <alignment wrapText="1"/>
    </xf>
    <xf numFmtId="0" fontId="0" fillId="0" borderId="0" xfId="0" applyAlignment="1"/>
    <xf numFmtId="0" fontId="38" fillId="0" borderId="0" xfId="0" applyFont="1" applyAlignment="1"/>
    <xf numFmtId="2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/>
    <xf numFmtId="0" fontId="41" fillId="0" borderId="0" xfId="0" applyFont="1" applyAlignment="1"/>
    <xf numFmtId="0" fontId="7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0" fillId="28" borderId="166" xfId="0" applyFill="1" applyBorder="1" applyAlignment="1">
      <alignment horizontal="center"/>
    </xf>
    <xf numFmtId="0" fontId="0" fillId="28" borderId="167" xfId="0" applyFill="1" applyBorder="1" applyAlignment="1">
      <alignment horizontal="center"/>
    </xf>
    <xf numFmtId="0" fontId="9" fillId="20" borderId="128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9" fillId="14" borderId="92" xfId="0" applyFont="1" applyFill="1" applyBorder="1" applyAlignment="1">
      <alignment horizontal="center" vertical="center"/>
    </xf>
    <xf numFmtId="0" fontId="9" fillId="17" borderId="108" xfId="0" applyFont="1" applyFill="1" applyBorder="1" applyAlignment="1">
      <alignment horizontal="center"/>
    </xf>
  </cellXfs>
  <cellStyles count="14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Porcentagem" xfId="13" builtinId="5"/>
    <cellStyle name="Título 3" xfId="1" builtinId="18" customBuiltin="1"/>
    <cellStyle name="Vírgula 2" xfId="12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AGOSTO/2023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Protocolos!$I$19:$I$23</c:f>
              <c:numCache>
                <c:formatCode>General</c:formatCode>
                <c:ptCount val="5"/>
                <c:pt idx="0">
                  <c:v>189</c:v>
                </c:pt>
                <c:pt idx="1">
                  <c:v>90</c:v>
                </c:pt>
                <c:pt idx="2">
                  <c:v>4511</c:v>
                </c:pt>
                <c:pt idx="3">
                  <c:v>233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3 últimos meses</a:t>
            </a:r>
          </a:p>
        </c:rich>
      </c:tx>
      <c:layout>
        <c:manualLayout>
          <c:xMode val="edge"/>
          <c:yMode val="edge"/>
          <c:x val="0.20952980476370936"/>
          <c:y val="1.1173184357541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'ASSUNTOS_10+_últimos_3_meses'!$A$7:$A$7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489</c:v>
                </c:pt>
                <c:pt idx="1">
                  <c:v>369</c:v>
                </c:pt>
                <c:pt idx="2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9-4F46-904A-3032EA673355}"/>
            </c:ext>
          </c:extLst>
        </c:ser>
        <c:ser>
          <c:idx val="1"/>
          <c:order val="1"/>
          <c:tx>
            <c:strRef>
              <c:f>'ASSUNTOS_10+_últimos_3_meses'!$A$8:$A$8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467</c:v>
                </c:pt>
                <c:pt idx="1">
                  <c:v>523</c:v>
                </c:pt>
                <c:pt idx="2">
                  <c:v>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9-4F46-904A-3032EA673355}"/>
            </c:ext>
          </c:extLst>
        </c:ser>
        <c:ser>
          <c:idx val="2"/>
          <c:order val="2"/>
          <c:tx>
            <c:strRef>
              <c:f>'ASSUNTOS_10+_últimos_3_meses'!$A$9:$A$9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351</c:v>
                </c:pt>
                <c:pt idx="1">
                  <c:v>291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9-4F46-904A-3032EA673355}"/>
            </c:ext>
          </c:extLst>
        </c:ser>
        <c:ser>
          <c:idx val="3"/>
          <c:order val="3"/>
          <c:tx>
            <c:strRef>
              <c:f>'ASSUNTOS_10+_últimos_3_meses'!$A$10:$A$10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298</c:v>
                </c:pt>
                <c:pt idx="1">
                  <c:v>300</c:v>
                </c:pt>
                <c:pt idx="2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9-4F46-904A-3032EA673355}"/>
            </c:ext>
          </c:extLst>
        </c:ser>
        <c:ser>
          <c:idx val="4"/>
          <c:order val="4"/>
          <c:tx>
            <c:strRef>
              <c:f>'ASSUNTOS_10+_últimos_3_meses'!$A$11:$A$11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207</c:v>
                </c:pt>
                <c:pt idx="1">
                  <c:v>204</c:v>
                </c:pt>
                <c:pt idx="2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9-4F46-904A-3032EA673355}"/>
            </c:ext>
          </c:extLst>
        </c:ser>
        <c:ser>
          <c:idx val="5"/>
          <c:order val="5"/>
          <c:tx>
            <c:strRef>
              <c:f>'ASSUNTOS_10+_últimos_3_meses'!$A$12:$A$12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146</c:v>
                </c:pt>
                <c:pt idx="1">
                  <c:v>168</c:v>
                </c:pt>
                <c:pt idx="2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B9-4F46-904A-3032EA673355}"/>
            </c:ext>
          </c:extLst>
        </c:ser>
        <c:ser>
          <c:idx val="6"/>
          <c:order val="6"/>
          <c:tx>
            <c:strRef>
              <c:f>'ASSUNTOS_10+_últimos_3_meses'!$A$13:$A$13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176</c:v>
                </c:pt>
                <c:pt idx="1">
                  <c:v>139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B9-4F46-904A-3032EA673355}"/>
            </c:ext>
          </c:extLst>
        </c:ser>
        <c:ser>
          <c:idx val="7"/>
          <c:order val="7"/>
          <c:tx>
            <c:strRef>
              <c:f>'ASSUNTOS_10+_últimos_3_meses'!$A$14:$A$14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140</c:v>
                </c:pt>
                <c:pt idx="1">
                  <c:v>126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B9-4F46-904A-3032EA673355}"/>
            </c:ext>
          </c:extLst>
        </c:ser>
        <c:ser>
          <c:idx val="8"/>
          <c:order val="8"/>
          <c:tx>
            <c:strRef>
              <c:f>'ASSUNTOS_10+_últimos_3_meses'!$A$15:$A$15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134</c:v>
                </c:pt>
                <c:pt idx="1">
                  <c:v>133</c:v>
                </c:pt>
                <c:pt idx="2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B9-4F46-904A-3032EA673355}"/>
            </c:ext>
          </c:extLst>
        </c:ser>
        <c:ser>
          <c:idx val="9"/>
          <c:order val="9"/>
          <c:tx>
            <c:strRef>
              <c:f>'ASSUNTOS_10+_últimos_3_meses'!$A$16:$A$16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122</c:v>
                </c:pt>
                <c:pt idx="1">
                  <c:v>151</c:v>
                </c:pt>
                <c:pt idx="2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B9-4F46-904A-3032EA673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8453647"/>
        <c:axId val="1818454063"/>
      </c:barChart>
      <c:valAx>
        <c:axId val="1818454063"/>
        <c:scaling>
          <c:orientation val="minMax"/>
          <c:max val="800"/>
          <c:min val="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647"/>
        <c:crosses val="autoZero"/>
        <c:crossBetween val="between"/>
        <c:majorUnit val="100"/>
        <c:minorUnit val="50"/>
      </c:valAx>
      <c:dateAx>
        <c:axId val="1818453647"/>
        <c:scaling>
          <c:orientation val="minMax"/>
        </c:scaling>
        <c:delete val="0"/>
        <c:axPos val="l"/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063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230231211041358"/>
          <c:y val="9.2901866975879155E-2"/>
          <c:w val="0.2483654406366132"/>
          <c:h val="0.807981810892994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'10_ASSUNTOS_+_demandados_AGO_23'!$B$24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'10_ASSUNTOS_+_demandados_AGO_23'!$B$25</c:f>
              <c:numCache>
                <c:formatCode>General</c:formatCode>
                <c:ptCount val="1"/>
                <c:pt idx="0">
                  <c:v>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'10_ASSUNTOS_+_demandados_AGO_23'!$C$24:$C$24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'10_ASSUNTOS_+_demandados_AGO_23'!$C$25:$C$25</c:f>
              <c:numCache>
                <c:formatCode>General</c:formatCode>
                <c:ptCount val="1"/>
                <c:pt idx="0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'10_ASSUNTOS_+_demandados_AGO_23'!$D$24:$D$24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'10_ASSUNTOS_+_demandados_AGO_23'!$D$25:$D$26</c:f>
              <c:numCache>
                <c:formatCode>General</c:formatCode>
                <c:ptCount val="2"/>
                <c:pt idx="0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'10_ASSUNTOS_+_demandados_AGO_23'!$E$24:$E$24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'10_ASSUNTOS_+_demandados_AGO_23'!$E$25:$E$26</c:f>
              <c:numCache>
                <c:formatCode>General</c:formatCode>
                <c:ptCount val="2"/>
                <c:pt idx="0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'10_ASSUNTOS_+_demandados_AGO_23'!$F$24:$F$24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'10_ASSUNTOS_+_demandados_AGO_23'!$F$25:$F$26</c:f>
              <c:numCache>
                <c:formatCode>General</c:formatCode>
                <c:ptCount val="2"/>
                <c:pt idx="0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'10_ASSUNTOS_+_demandados_AGO_23'!$G$24:$G$24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'10_ASSUNTOS_+_demandados_AGO_23'!$G$25:$G$26</c:f>
              <c:numCache>
                <c:formatCode>General</c:formatCode>
                <c:ptCount val="2"/>
                <c:pt idx="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'10_ASSUNTOS_+_demandados_AGO_23'!$H$24:$H$24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'10_ASSUNTOS_+_demandados_AGO_23'!$H$25:$H$26</c:f>
              <c:numCache>
                <c:formatCode>General</c:formatCode>
                <c:ptCount val="2"/>
                <c:pt idx="0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'10_ASSUNTOS_+_demandados_AGO_23'!$I$24:$I$24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'10_ASSUNTOS_+_demandados_AGO_23'!$I$25:$I$26</c:f>
              <c:numCache>
                <c:formatCode>General</c:formatCode>
                <c:ptCount val="2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'10_ASSUNTOS_+_demandados_AGO_23'!$J$24:$J$24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'10_ASSUNTOS_+_demandados_AGO_23'!$J$25:$J$26</c:f>
              <c:numCache>
                <c:formatCode>General</c:formatCode>
                <c:ptCount val="2"/>
                <c:pt idx="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'10_ASSUNTOS_+_demandados_AGO_23'!$K$24:$K$24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val>
            <c:numRef>
              <c:f>'10_ASSUNTOS_+_demandados_AGO_23'!$K$25:$K$26</c:f>
              <c:numCache>
                <c:formatCode>General</c:formatCode>
                <c:ptCount val="2"/>
                <c:pt idx="0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'10_ASSUNTOS_+_demandados_AGO_23'!$L$24:$L$24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'10_ASSUNTOS_+_demandados_AGO_23'!$L$25:$L$26</c:f>
              <c:numCache>
                <c:formatCode>General</c:formatCode>
                <c:ptCount val="2"/>
                <c:pt idx="1">
                  <c:v>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  <c:max val="5000"/>
          <c:min val="0"/>
        </c:scaling>
        <c:delete val="0"/>
        <c:axPos val="l"/>
        <c:majorGridlines>
          <c:spPr>
            <a:ln>
              <a:solidFill>
                <a:srgbClr val="868686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2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24865152725474532"/>
          <c:w val="0.28674900974076606"/>
          <c:h val="0.56987615678474979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do mês de AGOSTO/23</a:t>
            </a:r>
          </a:p>
        </c:rich>
      </c:tx>
      <c:layout>
        <c:manualLayout>
          <c:xMode val="edge"/>
          <c:yMode val="edge"/>
          <c:x val="0.17346666331245336"/>
          <c:y val="3.438462084131375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'10_ASSUNTOS_+_demandados_AGO_23'!$B$6:$B$6</c:f>
              <c:strCache>
                <c:ptCount val="1"/>
                <c:pt idx="0">
                  <c:v>ago/23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cat>
            <c:strRef>
              <c:f>'10_ASSUNTOS_+_demandados_AGO_23'!$A$7:$A$16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Sinalização e Circulação de veículos e Pedestres</c:v>
                </c:pt>
                <c:pt idx="6">
                  <c:v>Calçadas, guias e postes</c:v>
                </c:pt>
                <c:pt idx="7">
                  <c:v>Processo Administrativo</c:v>
                </c:pt>
                <c:pt idx="8">
                  <c:v>Veículos abandonados</c:v>
                </c:pt>
                <c:pt idx="9">
                  <c:v>Estabelecimentos comerciais, indústrias e serviços</c:v>
                </c:pt>
              </c:strCache>
            </c:strRef>
          </c:cat>
          <c:val>
            <c:numRef>
              <c:f>'10_ASSUNTOS_+_demandados_AGO_23'!$B$7:$B$16</c:f>
              <c:numCache>
                <c:formatCode>General</c:formatCode>
                <c:ptCount val="10"/>
                <c:pt idx="0">
                  <c:v>489</c:v>
                </c:pt>
                <c:pt idx="1">
                  <c:v>467</c:v>
                </c:pt>
                <c:pt idx="2">
                  <c:v>351</c:v>
                </c:pt>
                <c:pt idx="3">
                  <c:v>298</c:v>
                </c:pt>
                <c:pt idx="4">
                  <c:v>207</c:v>
                </c:pt>
                <c:pt idx="5">
                  <c:v>176</c:v>
                </c:pt>
                <c:pt idx="6">
                  <c:v>146</c:v>
                </c:pt>
                <c:pt idx="7">
                  <c:v>140</c:v>
                </c:pt>
                <c:pt idx="8">
                  <c:v>134</c:v>
                </c:pt>
                <c:pt idx="9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  <c:max val="6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ajorUnit val="100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0"/>
        <c:ser>
          <c:idx val="0"/>
          <c:order val="0"/>
          <c:tx>
            <c:v>Série4</c:v>
          </c:tx>
          <c:spPr>
            <a:solidFill>
              <a:srgbClr val="6600C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cat>
            <c:strRef>
              <c:f>'10_UNIDADES_+_demandadas_2023'!$A$7:$A$16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</c:strCache>
            </c:strRef>
          </c:cat>
          <c:val>
            <c:numRef>
              <c:f>'10_UNIDADES_+_demandadas_2023'!$O$7:$O$16</c:f>
              <c:numCache>
                <c:formatCode>0</c:formatCode>
                <c:ptCount val="10"/>
                <c:pt idx="0">
                  <c:v>723.75</c:v>
                </c:pt>
                <c:pt idx="1">
                  <c:v>637.625</c:v>
                </c:pt>
                <c:pt idx="2">
                  <c:v>356.5</c:v>
                </c:pt>
                <c:pt idx="3">
                  <c:v>288.25</c:v>
                </c:pt>
                <c:pt idx="4">
                  <c:v>278.625</c:v>
                </c:pt>
                <c:pt idx="5">
                  <c:v>254.375</c:v>
                </c:pt>
                <c:pt idx="6">
                  <c:v>234.75</c:v>
                </c:pt>
                <c:pt idx="7">
                  <c:v>220.375</c:v>
                </c:pt>
                <c:pt idx="8">
                  <c:v>93.5</c:v>
                </c:pt>
                <c:pt idx="9">
                  <c:v>91.875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ax val="800"/>
          <c:min val="0"/>
        </c:scaling>
        <c:delete val="0"/>
        <c:axPos val="l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'10_UNIDADES_+_demandadas_2023'!$A$7:$A$18</c15:sqref>
                  </c15:fullRef>
                </c:ext>
              </c:extLst>
              <c:f>('10_UNIDADES_+_demandadas_2023'!$A$7:$A$16,'10_UNIDADES_+_demandadas_2023'!$A$18)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Lapa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'10_UNIDADES_+_demandadas_2023'!$P$7:$P$18</c15:sqref>
                  </c15:fullRef>
                </c:ext>
              </c:extLst>
              <c:f>('10_UNIDADES_+_demandadas_2023'!$P$7:$P$16,'10_UNIDADES_+_demandadas_2023'!$P$18)</c:f>
              <c:numCache>
                <c:formatCode>0.00</c:formatCode>
                <c:ptCount val="11"/>
                <c:pt idx="0">
                  <c:v>12.911133810010215</c:v>
                </c:pt>
                <c:pt idx="1">
                  <c:v>14.300306435137896</c:v>
                </c:pt>
                <c:pt idx="2">
                  <c:v>7.6404494382022472</c:v>
                </c:pt>
                <c:pt idx="3">
                  <c:v>6.6189989785495404</c:v>
                </c:pt>
                <c:pt idx="4">
                  <c:v>5.3728294177732376</c:v>
                </c:pt>
                <c:pt idx="5">
                  <c:v>4.5352400408580182</c:v>
                </c:pt>
                <c:pt idx="6">
                  <c:v>5.3319713993871298</c:v>
                </c:pt>
                <c:pt idx="7">
                  <c:v>4.3922369765066396</c:v>
                </c:pt>
                <c:pt idx="8">
                  <c:v>2.4514811031664965</c:v>
                </c:pt>
                <c:pt idx="9">
                  <c:v>1.5526046986721145</c:v>
                </c:pt>
                <c:pt idx="10">
                  <c:v>34.892747701736468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'10_UNIDADES_+_demandadas_2023'!$P$17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  Média - Unidades 10 mais demandadas 3 últimos meses</a:t>
            </a:r>
          </a:p>
        </c:rich>
      </c:tx>
      <c:layout>
        <c:manualLayout>
          <c:xMode val="edge"/>
          <c:yMode val="edge"/>
          <c:x val="8.44554782478983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spPr>
              <a:solidFill>
                <a:srgbClr val="DB84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spPr>
              <a:solidFill>
                <a:srgbClr val="A99B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cat>
            <c:strRef>
              <c:f>'UNIDADES_-_10+_últimos_3_meses'!$A$7:$A$16</c:f>
              <c:strCache>
                <c:ptCount val="10"/>
                <c:pt idx="0">
                  <c:v>Secretaria Municipal das Subprefeituras</c:v>
                </c:pt>
                <c:pt idx="1">
                  <c:v>Secretaria Municipal de Assistência e Desenvolvimento Social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São Paulo Transportes - SPTRANS</c:v>
                </c:pt>
                <c:pt idx="6">
                  <c:v>Secretaria Executiva de Limpeza Urbana**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Secretaria Municipal do Verde e Meio Ambiente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723.66666666666663</c:v>
                </c:pt>
                <c:pt idx="1">
                  <c:v>633.66666666666663</c:v>
                </c:pt>
                <c:pt idx="2">
                  <c:v>353</c:v>
                </c:pt>
                <c:pt idx="3">
                  <c:v>280</c:v>
                </c:pt>
                <c:pt idx="4">
                  <c:v>267.66666666666669</c:v>
                </c:pt>
                <c:pt idx="5">
                  <c:v>226</c:v>
                </c:pt>
                <c:pt idx="6">
                  <c:v>222.66666666666666</c:v>
                </c:pt>
                <c:pt idx="7">
                  <c:v>180</c:v>
                </c:pt>
                <c:pt idx="8">
                  <c:v>106.66666666666667</c:v>
                </c:pt>
                <c:pt idx="9">
                  <c:v>104.66666666666667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  <c:max val="8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56671"/>
        <c:crosses val="autoZero"/>
        <c:crossBetween val="between"/>
        <c:majorUnit val="100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700</c:v>
                </c:pt>
                <c:pt idx="1">
                  <c:v>734</c:v>
                </c:pt>
                <c:pt idx="2">
                  <c:v>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632</c:v>
                </c:pt>
                <c:pt idx="1">
                  <c:v>485</c:v>
                </c:pt>
                <c:pt idx="2">
                  <c:v>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374</c:v>
                </c:pt>
                <c:pt idx="1">
                  <c:v>342</c:v>
                </c:pt>
                <c:pt idx="2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324</c:v>
                </c:pt>
                <c:pt idx="1">
                  <c:v>244</c:v>
                </c:pt>
                <c:pt idx="2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263</c:v>
                </c:pt>
                <c:pt idx="1">
                  <c:v>298</c:v>
                </c:pt>
                <c:pt idx="2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261</c:v>
                </c:pt>
                <c:pt idx="1">
                  <c:v>207</c:v>
                </c:pt>
                <c:pt idx="2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222</c:v>
                </c:pt>
                <c:pt idx="1">
                  <c:v>174</c:v>
                </c:pt>
                <c:pt idx="2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215</c:v>
                </c:pt>
                <c:pt idx="1">
                  <c:v>164</c:v>
                </c:pt>
                <c:pt idx="2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120</c:v>
                </c:pt>
                <c:pt idx="1">
                  <c:v>118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Secretaria Municipal do Verde e Meio Ambiente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45139</c:v>
                </c:pt>
                <c:pt idx="1">
                  <c:v>45108</c:v>
                </c:pt>
                <c:pt idx="2">
                  <c:v>45078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143</c:v>
                </c:pt>
                <c:pt idx="1">
                  <c:v>110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  <c:max val="9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239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539137823599392"/>
          <c:y val="0.1124780326372247"/>
          <c:w val="0.32528186727505715"/>
          <c:h val="0.791659011364842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'10_Unidades+_demandados__AGO_23'!$B$22:$B$22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'10_Unidades+_demandados__AGO_23'!$B$23:$B$25</c:f>
              <c:numCache>
                <c:formatCode>General</c:formatCode>
                <c:ptCount val="3"/>
                <c:pt idx="0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'10_Unidades+_demandados__AGO_23'!$C$22:$C$22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'10_Unidades+_demandados__AGO_23'!$C$23:$C$25</c:f>
              <c:numCache>
                <c:formatCode>General</c:formatCode>
                <c:ptCount val="3"/>
                <c:pt idx="0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'10_Unidades+_demandados__AGO_23'!$D$22:$D$22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'10_Unidades+_demandados__AGO_23'!$D$23:$D$25</c:f>
              <c:numCache>
                <c:formatCode>General</c:formatCode>
                <c:ptCount val="3"/>
                <c:pt idx="0">
                  <c:v>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'10_Unidades+_demandados__AGO_23'!$E$22:$E$22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'10_Unidades+_demandados__AGO_23'!$E$23:$E$25</c:f>
              <c:numCache>
                <c:formatCode>General</c:formatCode>
                <c:ptCount val="3"/>
                <c:pt idx="0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'10_Unidades+_demandados__AGO_23'!$F$22:$F$22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'10_Unidades+_demandados__AGO_23'!$F$23:$F$25</c:f>
              <c:numCache>
                <c:formatCode>General</c:formatCode>
                <c:ptCount val="3"/>
                <c:pt idx="0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'10_Unidades+_demandados__AGO_23'!$G$22:$G$22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'10_Unidades+_demandados__AGO_23'!$G$23:$G$25</c:f>
              <c:numCache>
                <c:formatCode>General</c:formatCode>
                <c:ptCount val="3"/>
                <c:pt idx="0">
                  <c:v>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'10_Unidades+_demandados__AGO_23'!$H$22:$H$22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'10_Unidades+_demandados__AGO_23'!$H$23:$H$25</c:f>
              <c:numCache>
                <c:formatCode>General</c:formatCode>
                <c:ptCount val="3"/>
                <c:pt idx="0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'10_Unidades+_demandados__AGO_23'!$I$22:$I$22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'10_Unidades+_demandados__AGO_23'!$I$23:$I$25</c:f>
              <c:numCache>
                <c:formatCode>General</c:formatCode>
                <c:ptCount val="3"/>
                <c:pt idx="0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'10_Unidades+_demandados__AGO_23'!$J$22:$J$22</c:f>
              <c:strCache>
                <c:ptCount val="1"/>
                <c:pt idx="0">
                  <c:v>Secretaria Municipal do Verde e Meio Ambiente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'10_Unidades+_demandados__AGO_23'!$J$23:$J$25</c:f>
              <c:numCache>
                <c:formatCode>General</c:formatCode>
                <c:ptCount val="3"/>
                <c:pt idx="0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'10_Unidades+_demandados__AGO_23'!$K$22:$K$22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val>
            <c:numRef>
              <c:f>'10_Unidades+_demandados__AGO_23'!$K$23:$K$25</c:f>
              <c:numCache>
                <c:formatCode>General</c:formatCode>
                <c:ptCount val="3"/>
                <c:pt idx="0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'10_Unidades+_demandados__AGO_23'!$L$22:$L$22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'10_Unidades+_demandados__AGO_23'!$L$23:$L$25</c:f>
              <c:numCache>
                <c:formatCode>#,##0</c:formatCode>
                <c:ptCount val="3"/>
                <c:pt idx="2">
                  <c:v>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  <c:max val="5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10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AGOSTO/23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'10_Unidades+_demandados__AGO_23'!$B$6:$B$6</c:f>
              <c:strCache>
                <c:ptCount val="1"/>
                <c:pt idx="0">
                  <c:v>ago/23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cat>
            <c:strRef>
              <c:f>'10_Unidades+_demandados__AGO_23'!$A$7:$A$16</c:f>
              <c:strCache>
                <c:ptCount val="10"/>
                <c:pt idx="0">
                  <c:v>Secretaria Municipal das Subprefeituras</c:v>
                </c:pt>
                <c:pt idx="1">
                  <c:v>Secretaria Municipal de Assistência e Desenvolvimento Social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São Paulo Transportes - SPTRANS</c:v>
                </c:pt>
                <c:pt idx="6">
                  <c:v>Secretaria Executiva de Limpeza Urbana**</c:v>
                </c:pt>
                <c:pt idx="7">
                  <c:v>Secretaria Municipal de Educação</c:v>
                </c:pt>
                <c:pt idx="8">
                  <c:v>Secretaria Municipal do Verde e Meio Ambiente</c:v>
                </c:pt>
                <c:pt idx="9">
                  <c:v>Órgão externo</c:v>
                </c:pt>
              </c:strCache>
            </c:strRef>
          </c:cat>
          <c:val>
            <c:numRef>
              <c:f>'10_Unidades+_demandados__AGO_23'!$B$7:$B$16</c:f>
              <c:numCache>
                <c:formatCode>General</c:formatCode>
                <c:ptCount val="10"/>
                <c:pt idx="0">
                  <c:v>700</c:v>
                </c:pt>
                <c:pt idx="1">
                  <c:v>632</c:v>
                </c:pt>
                <c:pt idx="2">
                  <c:v>374</c:v>
                </c:pt>
                <c:pt idx="3">
                  <c:v>324</c:v>
                </c:pt>
                <c:pt idx="4">
                  <c:v>263</c:v>
                </c:pt>
                <c:pt idx="5">
                  <c:v>261</c:v>
                </c:pt>
                <c:pt idx="6">
                  <c:v>222</c:v>
                </c:pt>
                <c:pt idx="7">
                  <c:v>215</c:v>
                </c:pt>
                <c:pt idx="8">
                  <c:v>143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  <c:max val="75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  <c:majorUnit val="250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2023 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Subprefeituras_2023!$P$4:$P$4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Subprefeituras_2023!$P$5:$P$36</c:f>
              <c:numCache>
                <c:formatCode>0.0</c:formatCode>
                <c:ptCount val="32"/>
                <c:pt idx="0">
                  <c:v>2.3387519664394336</c:v>
                </c:pt>
                <c:pt idx="1">
                  <c:v>4.9921342422653385</c:v>
                </c:pt>
                <c:pt idx="2">
                  <c:v>4.3104352385946507</c:v>
                </c:pt>
                <c:pt idx="3">
                  <c:v>3.0309386470896698</c:v>
                </c:pt>
                <c:pt idx="4">
                  <c:v>2.9365495542737285</c:v>
                </c:pt>
                <c:pt idx="5">
                  <c:v>3.3665443104352386</c:v>
                </c:pt>
                <c:pt idx="6">
                  <c:v>0.59779758783429471</c:v>
                </c:pt>
                <c:pt idx="7">
                  <c:v>1.1746198217094914</c:v>
                </c:pt>
                <c:pt idx="8">
                  <c:v>2.0450970110120608</c:v>
                </c:pt>
                <c:pt idx="9">
                  <c:v>0.91242789722076556</c:v>
                </c:pt>
                <c:pt idx="10">
                  <c:v>4.069218668065024</c:v>
                </c:pt>
                <c:pt idx="11">
                  <c:v>2.1919244887257472</c:v>
                </c:pt>
                <c:pt idx="12">
                  <c:v>3.7650760356581019</c:v>
                </c:pt>
                <c:pt idx="13">
                  <c:v>1.9611955951756683</c:v>
                </c:pt>
                <c:pt idx="14">
                  <c:v>2.1499737808075512</c:v>
                </c:pt>
                <c:pt idx="15">
                  <c:v>7.708442579968537</c:v>
                </c:pt>
                <c:pt idx="16">
                  <c:v>2.2233875196643944</c:v>
                </c:pt>
                <c:pt idx="17">
                  <c:v>5.0655479811221813</c:v>
                </c:pt>
                <c:pt idx="18">
                  <c:v>1.006816990036707</c:v>
                </c:pt>
                <c:pt idx="19">
                  <c:v>5.3172522286313582</c:v>
                </c:pt>
                <c:pt idx="20">
                  <c:v>0.73413738856843214</c:v>
                </c:pt>
                <c:pt idx="21">
                  <c:v>3.7650760356581019</c:v>
                </c:pt>
                <c:pt idx="22">
                  <c:v>3.7126376507603567</c:v>
                </c:pt>
                <c:pt idx="23">
                  <c:v>4.1845831148400636</c:v>
                </c:pt>
                <c:pt idx="24">
                  <c:v>5.2018877818563185</c:v>
                </c:pt>
                <c:pt idx="25">
                  <c:v>2.2338751966439432</c:v>
                </c:pt>
                <c:pt idx="26">
                  <c:v>1.4997378080755113</c:v>
                </c:pt>
                <c:pt idx="27">
                  <c:v>1.6465652857891977</c:v>
                </c:pt>
                <c:pt idx="28">
                  <c:v>5.820660723649711</c:v>
                </c:pt>
                <c:pt idx="29">
                  <c:v>2.8841111693759833</c:v>
                </c:pt>
                <c:pt idx="30">
                  <c:v>4.6460409019402205</c:v>
                </c:pt>
                <c:pt idx="31">
                  <c:v>2.506554798112218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Subprefeituras_2023!$O$4:$O$4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Subprefeituras_2023!$O$5:$O$36</c:f>
              <c:numCache>
                <c:formatCode>0</c:formatCode>
                <c:ptCount val="32"/>
                <c:pt idx="0">
                  <c:v>27.875</c:v>
                </c:pt>
                <c:pt idx="1">
                  <c:v>59.5</c:v>
                </c:pt>
                <c:pt idx="2">
                  <c:v>51.375</c:v>
                </c:pt>
                <c:pt idx="3">
                  <c:v>36.125</c:v>
                </c:pt>
                <c:pt idx="4">
                  <c:v>35</c:v>
                </c:pt>
                <c:pt idx="5">
                  <c:v>40.125</c:v>
                </c:pt>
                <c:pt idx="6">
                  <c:v>7.125</c:v>
                </c:pt>
                <c:pt idx="7">
                  <c:v>14</c:v>
                </c:pt>
                <c:pt idx="8">
                  <c:v>24.375</c:v>
                </c:pt>
                <c:pt idx="9">
                  <c:v>10.875</c:v>
                </c:pt>
                <c:pt idx="10">
                  <c:v>48.5</c:v>
                </c:pt>
                <c:pt idx="11">
                  <c:v>26.125</c:v>
                </c:pt>
                <c:pt idx="12">
                  <c:v>44.875</c:v>
                </c:pt>
                <c:pt idx="13">
                  <c:v>23.375</c:v>
                </c:pt>
                <c:pt idx="14">
                  <c:v>25.625</c:v>
                </c:pt>
                <c:pt idx="15">
                  <c:v>91.875</c:v>
                </c:pt>
                <c:pt idx="16">
                  <c:v>26.5</c:v>
                </c:pt>
                <c:pt idx="17">
                  <c:v>60.375</c:v>
                </c:pt>
                <c:pt idx="18">
                  <c:v>12</c:v>
                </c:pt>
                <c:pt idx="19">
                  <c:v>63.375</c:v>
                </c:pt>
                <c:pt idx="20">
                  <c:v>8.75</c:v>
                </c:pt>
                <c:pt idx="21">
                  <c:v>44.875</c:v>
                </c:pt>
                <c:pt idx="22">
                  <c:v>44.25</c:v>
                </c:pt>
                <c:pt idx="23">
                  <c:v>49.875</c:v>
                </c:pt>
                <c:pt idx="24">
                  <c:v>62</c:v>
                </c:pt>
                <c:pt idx="25">
                  <c:v>26.625</c:v>
                </c:pt>
                <c:pt idx="26">
                  <c:v>17.875</c:v>
                </c:pt>
                <c:pt idx="27">
                  <c:v>19.625</c:v>
                </c:pt>
                <c:pt idx="28">
                  <c:v>69.375</c:v>
                </c:pt>
                <c:pt idx="29">
                  <c:v>34.375</c:v>
                </c:pt>
                <c:pt idx="30">
                  <c:v>55.375</c:v>
                </c:pt>
                <c:pt idx="31">
                  <c:v>29.875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365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- 2023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0"/>
              <c:layout>
                <c:manualLayout>
                  <c:x val="-1.4652069048078975E-2"/>
                  <c:y val="5.5403434930994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61-4862-9DF0-204F09DD44AB}"/>
                </c:ext>
              </c:extLst>
            </c:dLbl>
            <c:dLbl>
              <c:idx val="1"/>
              <c:layout>
                <c:manualLayout>
                  <c:x val="-1.6668449331386781E-3"/>
                  <c:y val="-2.7362165314921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61-4862-9DF0-204F09DD44AB}"/>
                </c:ext>
              </c:extLst>
            </c:dLbl>
            <c:dLbl>
              <c:idx val="2"/>
              <c:layout>
                <c:manualLayout>
                  <c:x val="-4.1648266319072536E-2"/>
                  <c:y val="-0.23539444956767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dLbl>
              <c:idx val="3"/>
              <c:layout>
                <c:manualLayout>
                  <c:x val="2.5845078578432629E-2"/>
                  <c:y val="8.786960188534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61-4862-9DF0-204F09DD44AB}"/>
                </c:ext>
              </c:extLst>
            </c:dLbl>
            <c:dLbl>
              <c:idx val="4"/>
              <c:layout>
                <c:manualLayout>
                  <c:x val="-6.1091298098498448E-2"/>
                  <c:y val="-3.9396561916246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3.3117871671366892</c:v>
                </c:pt>
                <c:pt idx="1">
                  <c:v>1.4799470912675634</c:v>
                </c:pt>
                <c:pt idx="2">
                  <c:v>89.016446629564001</c:v>
                </c:pt>
                <c:pt idx="3">
                  <c:v>4.8541266315605585</c:v>
                </c:pt>
                <c:pt idx="4">
                  <c:v>1.3376924804711872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222961247491125"/>
          <c:y val="0.23912164132636574"/>
          <c:w val="0.19416341556984093"/>
          <c:h val="0.4773560962537340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'10_SUB''s_+_demandadas_2023'!$O$6:$O$6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spPr>
              <a:solidFill>
                <a:srgbClr val="AA464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spPr>
              <a:solidFill>
                <a:srgbClr val="66FF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cat>
            <c:strRef>
              <c:f>'10_SUB''s_+_demandadas_2023'!$A$7:$A$16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Santo Amaro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Campo Limpo</c:v>
                </c:pt>
                <c:pt idx="8">
                  <c:v>Santana/Tucuruvi</c:v>
                </c:pt>
                <c:pt idx="9">
                  <c:v>Ipiranga</c:v>
                </c:pt>
              </c:strCache>
            </c:strRef>
          </c:cat>
          <c:val>
            <c:numRef>
              <c:f>'10_SUB''s_+_demandadas_2023'!$O$7:$O$16</c:f>
              <c:numCache>
                <c:formatCode>0</c:formatCode>
                <c:ptCount val="10"/>
                <c:pt idx="0">
                  <c:v>91.875</c:v>
                </c:pt>
                <c:pt idx="1">
                  <c:v>69.375</c:v>
                </c:pt>
                <c:pt idx="2">
                  <c:v>63.375</c:v>
                </c:pt>
                <c:pt idx="3">
                  <c:v>62</c:v>
                </c:pt>
                <c:pt idx="4">
                  <c:v>60.375</c:v>
                </c:pt>
                <c:pt idx="5">
                  <c:v>59.5</c:v>
                </c:pt>
                <c:pt idx="6">
                  <c:v>55.375</c:v>
                </c:pt>
                <c:pt idx="7">
                  <c:v>51.375</c:v>
                </c:pt>
                <c:pt idx="8">
                  <c:v>49.875</c:v>
                </c:pt>
                <c:pt idx="9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Subprefeituras - % em relação ao todo de AGOSTO/23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(exetuando-se denúncias)</a:t>
            </a:r>
          </a:p>
        </c:rich>
      </c:tx>
      <c:layout>
        <c:manualLayout>
          <c:xMode val="edge"/>
          <c:yMode val="edge"/>
          <c:x val="9.9953558301352316E-2"/>
          <c:y val="3.174603174603174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076574709811343E-2"/>
          <c:y val="0.22710786151731038"/>
          <c:w val="0.77194983628468916"/>
          <c:h val="0.68141919760030001"/>
        </c:manualLayout>
      </c:layout>
      <c:ofPieChart>
        <c:ofPieType val="pie"/>
        <c:varyColors val="1"/>
        <c:ser>
          <c:idx val="13"/>
          <c:order val="0"/>
          <c:dPt>
            <c:idx val="0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1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A104-4F2F-82F2-3C37F1C0F7D9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104-4F2F-82F2-3C37F1C0F7D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A104-4F2F-82F2-3C37F1C0F7D9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B-A104-4F2F-82F2-3C37F1C0F7D9}"/>
              </c:ext>
            </c:extLst>
          </c:dPt>
          <c:dPt>
            <c:idx val="8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E-A104-4F2F-82F2-3C37F1C0F7D9}"/>
              </c:ext>
            </c:extLst>
          </c:dPt>
          <c:dPt>
            <c:idx val="1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12-A104-4F2F-82F2-3C37F1C0F7D9}"/>
              </c:ext>
            </c:extLst>
          </c:dPt>
          <c:dLbls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04-4F2F-82F2-3C37F1C0F7D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104-4F2F-82F2-3C37F1C0F7D9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A104-4F2F-82F2-3C37F1C0F7D9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104-4F2F-82F2-3C37F1C0F7D9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A104-4F2F-82F2-3C37F1C0F7D9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A104-4F2F-82F2-3C37F1C0F7D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Santo Amaro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Campo Limpo</c:v>
                </c:pt>
                <c:pt idx="8">
                  <c:v>Santana/Tucuruvi</c:v>
                </c:pt>
                <c:pt idx="9">
                  <c:v>Ipiranga</c:v>
                </c:pt>
                <c:pt idx="10">
                  <c:v>Outros</c:v>
                </c:pt>
              </c:strCache>
              <c:extLst/>
            </c:strRef>
          </c:cat>
          <c:val>
            <c:numRef>
              <c:f>('10_SUB''s_+_demandadas_2023'!$P$7:$P$16,'10_SUB''s_+_demandadas_2023'!$P$18)</c:f>
              <c:numCache>
                <c:formatCode>0.00</c:formatCode>
                <c:ptCount val="11"/>
                <c:pt idx="0">
                  <c:v>6.5972222222222223</c:v>
                </c:pt>
                <c:pt idx="1">
                  <c:v>4.947916666666667</c:v>
                </c:pt>
                <c:pt idx="2">
                  <c:v>6.8576388888888893</c:v>
                </c:pt>
                <c:pt idx="3">
                  <c:v>5.5555555555555554</c:v>
                </c:pt>
                <c:pt idx="4">
                  <c:v>4.947916666666667</c:v>
                </c:pt>
                <c:pt idx="5">
                  <c:v>5.5555555555555554</c:v>
                </c:pt>
                <c:pt idx="6">
                  <c:v>4.6006944444444446</c:v>
                </c:pt>
                <c:pt idx="7">
                  <c:v>3.7326388888888888</c:v>
                </c:pt>
                <c:pt idx="8">
                  <c:v>5.1215277777777777</c:v>
                </c:pt>
                <c:pt idx="9">
                  <c:v>3.9930555555555554</c:v>
                </c:pt>
                <c:pt idx="10">
                  <c:v>48.090277777777779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3-A104-4F2F-82F2-3C37F1C0F7D9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4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5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6-A104-4F2F-82F2-3C37F1C0F7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7-A104-4F2F-82F2-3C37F1C0F7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8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9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A-A104-4F2F-82F2-3C37F1C0F7D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B-A104-4F2F-82F2-3C37F1C0F7D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C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D-A104-4F2F-82F2-3C37F1C0F7D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F-A104-4F2F-82F2-3C37F1C0F7D9}"/>
              </c:ext>
            </c:extLst>
          </c:dPt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Santo Amaro</c:v>
                </c:pt>
                <c:pt idx="4">
                  <c:v>Mooca</c:v>
                </c:pt>
                <c:pt idx="5">
                  <c:v>Butantã</c:v>
                </c:pt>
                <c:pt idx="6">
                  <c:v>Vila Mariana</c:v>
                </c:pt>
                <c:pt idx="7">
                  <c:v>Campo Limpo</c:v>
                </c:pt>
                <c:pt idx="8">
                  <c:v>Santana/Tucuruvi</c:v>
                </c:pt>
                <c:pt idx="9">
                  <c:v>Ipiranga</c:v>
                </c:pt>
                <c:pt idx="10">
                  <c:v>Outros</c:v>
                </c:pt>
              </c:strCache>
              <c:extLst/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0-A104-4F2F-82F2-3C37F1C0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17.8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42383590940028"/>
          <c:y val="0.12662698412698412"/>
          <c:w val="0.15217296911960076"/>
          <c:h val="0.8584520684914385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1.6088686282635725E-2"/>
          <c:y val="0.10013597313992807"/>
          <c:w val="0.98391062301422838"/>
          <c:h val="0.82701062215477994"/>
        </c:manualLayout>
      </c:layout>
      <c:radarChart>
        <c:radarStyle val="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5"/>
          </c:marker>
          <c:cat>
            <c:strRef>
              <c:f>Ranking_subprefeituras_AGO_23!$A$5:$A$36</c:f>
              <c:strCache>
                <c:ptCount val="32"/>
                <c:pt idx="0">
                  <c:v>Penha</c:v>
                </c:pt>
                <c:pt idx="1">
                  <c:v>Lapa</c:v>
                </c:pt>
                <c:pt idx="2">
                  <c:v>Butantã</c:v>
                </c:pt>
                <c:pt idx="3">
                  <c:v>Santo Amaro</c:v>
                </c:pt>
                <c:pt idx="4">
                  <c:v>Santana/Tucuruvi</c:v>
                </c:pt>
                <c:pt idx="5">
                  <c:v>Mooca</c:v>
                </c:pt>
                <c:pt idx="6">
                  <c:v>Sé</c:v>
                </c:pt>
                <c:pt idx="7">
                  <c:v>Vila Mariana</c:v>
                </c:pt>
                <c:pt idx="8">
                  <c:v>Ipiranga</c:v>
                </c:pt>
                <c:pt idx="9">
                  <c:v>Pirituba/Jaraguá</c:v>
                </c:pt>
                <c:pt idx="10">
                  <c:v>Campo Limpo</c:v>
                </c:pt>
                <c:pt idx="11">
                  <c:v>Itaquera</c:v>
                </c:pt>
                <c:pt idx="12">
                  <c:v>Vila Maria/Vila Guilherme</c:v>
                </c:pt>
                <c:pt idx="13">
                  <c:v>Capela do Socorro</c:v>
                </c:pt>
                <c:pt idx="14">
                  <c:v>Jaçanã/Tremembé</c:v>
                </c:pt>
                <c:pt idx="15">
                  <c:v>Cidade Ademar</c:v>
                </c:pt>
                <c:pt idx="16">
                  <c:v>Pinheiros</c:v>
                </c:pt>
                <c:pt idx="17">
                  <c:v>Freguesia/Brasilândia</c:v>
                </c:pt>
                <c:pt idx="18">
                  <c:v>Jabaquara</c:v>
                </c:pt>
                <c:pt idx="19">
                  <c:v>Vila Prudente</c:v>
                </c:pt>
                <c:pt idx="20">
                  <c:v>M'Boi Mirim</c:v>
                </c:pt>
                <c:pt idx="21">
                  <c:v>Aricanduva</c:v>
                </c:pt>
                <c:pt idx="22">
                  <c:v>Casa Verde</c:v>
                </c:pt>
                <c:pt idx="23">
                  <c:v>Itaim Paulista</c:v>
                </c:pt>
                <c:pt idx="24">
                  <c:v>São Mateus</c:v>
                </c:pt>
                <c:pt idx="25">
                  <c:v>Ermelino Matarazzo</c:v>
                </c:pt>
                <c:pt idx="26">
                  <c:v>Sapopemba</c:v>
                </c:pt>
                <c:pt idx="27">
                  <c:v>São Miguel Paulista</c:v>
                </c:pt>
                <c:pt idx="28">
                  <c:v>Parelheiros</c:v>
                </c:pt>
                <c:pt idx="29">
                  <c:v>Guaianases</c:v>
                </c:pt>
                <c:pt idx="30">
                  <c:v>Perus</c:v>
                </c:pt>
                <c:pt idx="31">
                  <c:v>Cidade Tiradentes</c:v>
                </c:pt>
              </c:strCache>
            </c:strRef>
          </c:cat>
          <c:val>
            <c:numRef>
              <c:f>Ranking_subprefeituras_AGO_23!$B$5:$B$36</c:f>
              <c:numCache>
                <c:formatCode>General</c:formatCode>
                <c:ptCount val="32"/>
                <c:pt idx="0">
                  <c:v>79</c:v>
                </c:pt>
                <c:pt idx="1">
                  <c:v>76</c:v>
                </c:pt>
                <c:pt idx="2">
                  <c:v>64</c:v>
                </c:pt>
                <c:pt idx="3">
                  <c:v>64</c:v>
                </c:pt>
                <c:pt idx="4">
                  <c:v>59</c:v>
                </c:pt>
                <c:pt idx="5">
                  <c:v>57</c:v>
                </c:pt>
                <c:pt idx="6">
                  <c:v>57</c:v>
                </c:pt>
                <c:pt idx="7">
                  <c:v>53</c:v>
                </c:pt>
                <c:pt idx="8">
                  <c:v>46</c:v>
                </c:pt>
                <c:pt idx="9">
                  <c:v>46</c:v>
                </c:pt>
                <c:pt idx="10">
                  <c:v>43</c:v>
                </c:pt>
                <c:pt idx="11">
                  <c:v>43</c:v>
                </c:pt>
                <c:pt idx="12">
                  <c:v>40</c:v>
                </c:pt>
                <c:pt idx="13">
                  <c:v>38</c:v>
                </c:pt>
                <c:pt idx="14">
                  <c:v>38</c:v>
                </c:pt>
                <c:pt idx="15">
                  <c:v>37</c:v>
                </c:pt>
                <c:pt idx="16">
                  <c:v>31</c:v>
                </c:pt>
                <c:pt idx="17">
                  <c:v>29</c:v>
                </c:pt>
                <c:pt idx="18">
                  <c:v>29</c:v>
                </c:pt>
                <c:pt idx="19">
                  <c:v>26</c:v>
                </c:pt>
                <c:pt idx="20">
                  <c:v>25</c:v>
                </c:pt>
                <c:pt idx="21">
                  <c:v>23</c:v>
                </c:pt>
                <c:pt idx="22">
                  <c:v>23</c:v>
                </c:pt>
                <c:pt idx="23">
                  <c:v>22</c:v>
                </c:pt>
                <c:pt idx="24">
                  <c:v>22</c:v>
                </c:pt>
                <c:pt idx="25">
                  <c:v>16</c:v>
                </c:pt>
                <c:pt idx="26">
                  <c:v>16</c:v>
                </c:pt>
                <c:pt idx="27">
                  <c:v>15</c:v>
                </c:pt>
                <c:pt idx="28">
                  <c:v>14</c:v>
                </c:pt>
                <c:pt idx="29">
                  <c:v>11</c:v>
                </c:pt>
                <c:pt idx="30">
                  <c:v>7</c:v>
                </c:pt>
                <c:pt idx="3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5-4247-A7CB-B8B12C7B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9071"/>
        <c:axId val="1820269903"/>
      </c:radarChart>
      <c:valAx>
        <c:axId val="1820269903"/>
        <c:scaling>
          <c:orientation val="minMax"/>
          <c:max val="1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071"/>
        <c:crosses val="autoZero"/>
        <c:crossBetween val="between"/>
        <c:majorUnit val="10"/>
      </c:valAx>
      <c:catAx>
        <c:axId val="182026907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Denúncia_Protocolos_2023!$B$6:$M$6</c:f>
              <c:numCache>
                <c:formatCode>General</c:formatCode>
                <c:ptCount val="12"/>
                <c:pt idx="4">
                  <c:v>99</c:v>
                </c:pt>
                <c:pt idx="5">
                  <c:v>113</c:v>
                </c:pt>
                <c:pt idx="6">
                  <c:v>111</c:v>
                </c:pt>
                <c:pt idx="7">
                  <c:v>58</c:v>
                </c:pt>
                <c:pt idx="8">
                  <c:v>49</c:v>
                </c:pt>
                <c:pt idx="9">
                  <c:v>71</c:v>
                </c:pt>
                <c:pt idx="10">
                  <c:v>40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Denúncia_Protocolos_2023!$A$7:$A$7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Denúncia_Protocolos_2023!$B$7:$M$7</c:f>
              <c:numCache>
                <c:formatCode>General</c:formatCode>
                <c:ptCount val="12"/>
                <c:pt idx="4">
                  <c:v>88</c:v>
                </c:pt>
                <c:pt idx="5">
                  <c:v>80</c:v>
                </c:pt>
                <c:pt idx="6">
                  <c:v>126</c:v>
                </c:pt>
                <c:pt idx="7">
                  <c:v>112</c:v>
                </c:pt>
                <c:pt idx="8">
                  <c:v>80</c:v>
                </c:pt>
                <c:pt idx="9">
                  <c:v>91</c:v>
                </c:pt>
                <c:pt idx="10">
                  <c:v>61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Denúncia_Protocolos_2023!$B$10:$M$10</c:f>
              <c:numCache>
                <c:formatCode>General</c:formatCode>
                <c:ptCount val="12"/>
                <c:pt idx="4">
                  <c:v>189</c:v>
                </c:pt>
                <c:pt idx="5">
                  <c:v>194</c:v>
                </c:pt>
                <c:pt idx="6">
                  <c:v>239</c:v>
                </c:pt>
                <c:pt idx="7">
                  <c:v>174</c:v>
                </c:pt>
                <c:pt idx="8">
                  <c:v>129</c:v>
                </c:pt>
                <c:pt idx="9">
                  <c:v>164</c:v>
                </c:pt>
                <c:pt idx="10">
                  <c:v>102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Denúncia_Protocolos_2023!$A$13:$A$13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Denúncia_Protocolos_2023!$B$13:$M$13</c:f>
              <c:numCache>
                <c:formatCode>General</c:formatCode>
                <c:ptCount val="12"/>
                <c:pt idx="4">
                  <c:v>181</c:v>
                </c:pt>
                <c:pt idx="5">
                  <c:v>165</c:v>
                </c:pt>
                <c:pt idx="6">
                  <c:v>108</c:v>
                </c:pt>
                <c:pt idx="7">
                  <c:v>91</c:v>
                </c:pt>
                <c:pt idx="8">
                  <c:v>120</c:v>
                </c:pt>
                <c:pt idx="9">
                  <c:v>149</c:v>
                </c:pt>
                <c:pt idx="10">
                  <c:v>143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  <c:max val="3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2023 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Denúncia_Protocolos_2023!$N$4:$N$4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Denúncia_Protocolos_2023!$A$6:$A$7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Denúncia_Protocolos_2023!$N$6:$N$7</c:f>
              <c:numCache>
                <c:formatCode>General</c:formatCode>
                <c:ptCount val="2"/>
                <c:pt idx="0">
                  <c:v>579</c:v>
                </c:pt>
                <c:pt idx="1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8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2023 -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Denúncia_Protocolos_2023!$A$48:$A$48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Denúncia_Protocolos_2023!$B$48:$H$48</c:f>
              <c:numCache>
                <c:formatCode>General</c:formatCode>
                <c:ptCount val="7"/>
                <c:pt idx="0">
                  <c:v>74</c:v>
                </c:pt>
                <c:pt idx="1">
                  <c:v>9</c:v>
                </c:pt>
                <c:pt idx="2">
                  <c:v>448</c:v>
                </c:pt>
                <c:pt idx="3">
                  <c:v>48</c:v>
                </c:pt>
                <c:pt idx="4">
                  <c:v>92</c:v>
                </c:pt>
                <c:pt idx="5">
                  <c:v>67</c:v>
                </c:pt>
                <c:pt idx="6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Denúncia_Protocolos_2023!$A$63:$A$63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Denúncia_Protocolos_2023!$B$63:$H$63</c:f>
              <c:numCache>
                <c:formatCode>General</c:formatCode>
                <c:ptCount val="7"/>
                <c:pt idx="0">
                  <c:v>49</c:v>
                </c:pt>
                <c:pt idx="1">
                  <c:v>26</c:v>
                </c:pt>
                <c:pt idx="2">
                  <c:v>210</c:v>
                </c:pt>
                <c:pt idx="3">
                  <c:v>32</c:v>
                </c:pt>
                <c:pt idx="4">
                  <c:v>177</c:v>
                </c:pt>
                <c:pt idx="5">
                  <c:v>85</c:v>
                </c:pt>
                <c:pt idx="6">
                  <c:v>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ofPieChart>
        <c:ofPieType val="pie"/>
        <c:varyColors val="1"/>
        <c:ser>
          <c:idx val="0"/>
          <c:order val="0"/>
          <c:tx>
            <c:strRef>
              <c:f>Denúncia_Protocolos_2023!$Q$4</c:f>
              <c:strCache>
                <c:ptCount val="1"/>
                <c:pt idx="0">
                  <c:v>% Total 2023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B35-4DEA-B952-3B69A97C4DD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B35-4DEA-B952-3B69A97C4D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B35-4DEA-B952-3B69A97C4DDF}"/>
              </c:ext>
            </c:extLst>
          </c:dPt>
          <c:dLbls>
            <c:dLbl>
              <c:idx val="1"/>
              <c:layout>
                <c:manualLayout>
                  <c:x val="-4.6247899994095933E-2"/>
                  <c:y val="5.79520465347237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35-4DEA-B952-3B69A97C4DDF}"/>
                </c:ext>
              </c:extLst>
            </c:dLbl>
            <c:dLbl>
              <c:idx val="2"/>
              <c:layout>
                <c:manualLayout>
                  <c:x val="1.0983903085733915E-3"/>
                  <c:y val="3.898220117983644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35-4DEA-B952-3B69A97C4DD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Denúncia_Protocolos_2023!$A$6:$A$13</c15:sqref>
                  </c15:fullRef>
                </c:ext>
              </c:extLst>
              <c:f>(Denúncia_Protocolos_2023!$A$6:$A$8,Denúncia_Protocolos_2023!$A$13)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Denúncia_Protocolos_2023!$Q$6:$Q$13</c15:sqref>
                  </c15:fullRef>
                </c:ext>
              </c:extLst>
              <c:f>(Denúncia_Protocolos_2023!$Q$6:$Q$8,Denúncia_Protocolos_2023!$Q$13)</c:f>
              <c:numCache>
                <c:formatCode>0.00</c:formatCode>
                <c:ptCount val="4"/>
                <c:pt idx="0">
                  <c:v>24.135056273447269</c:v>
                </c:pt>
                <c:pt idx="1">
                  <c:v>30.762817840766989</c:v>
                </c:pt>
                <c:pt idx="2">
                  <c:v>0.54189245518966234</c:v>
                </c:pt>
                <c:pt idx="3">
                  <c:v>44.560233430596078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Denúncia_Protocolos_2023!$Q$9</c15:sqref>
                  <c15:bubble3D val="0"/>
                </c15:categoryFilterException>
                <c15:categoryFilterException>
                  <c15:sqref>Denúncia_Protocolos_2023!$Q$10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FB35-4DEA-B952-3B69A97C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2023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'e-SIC_2023'!$B$5:$B$5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'e-SIC_2023'!$B$6:$B$17</c:f>
              <c:numCache>
                <c:formatCode>#,##0</c:formatCode>
                <c:ptCount val="12"/>
                <c:pt idx="0">
                  <c:v>728</c:v>
                </c:pt>
                <c:pt idx="1">
                  <c:v>532</c:v>
                </c:pt>
                <c:pt idx="2">
                  <c:v>728</c:v>
                </c:pt>
                <c:pt idx="3">
                  <c:v>799</c:v>
                </c:pt>
                <c:pt idx="4">
                  <c:v>736</c:v>
                </c:pt>
                <c:pt idx="5">
                  <c:v>662</c:v>
                </c:pt>
                <c:pt idx="6">
                  <c:v>706</c:v>
                </c:pt>
                <c:pt idx="7">
                  <c:v>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'e-SIC_2023'!$C$5:$C$5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'e-SIC_2023'!$C$6:$C$17</c:f>
              <c:numCache>
                <c:formatCode>0.00</c:formatCode>
                <c:ptCount val="12"/>
                <c:pt idx="0">
                  <c:v>0</c:v>
                </c:pt>
                <c:pt idx="1">
                  <c:v>-26.923076923076923</c:v>
                </c:pt>
                <c:pt idx="2">
                  <c:v>36.84210526315789</c:v>
                </c:pt>
                <c:pt idx="3">
                  <c:v>9.7527472527472536</c:v>
                </c:pt>
                <c:pt idx="4">
                  <c:v>-7.8848560700876096</c:v>
                </c:pt>
                <c:pt idx="5">
                  <c:v>-10.054347826086957</c:v>
                </c:pt>
                <c:pt idx="6">
                  <c:v>6.6465256797583088</c:v>
                </c:pt>
                <c:pt idx="7">
                  <c:v>-9.9150141643059495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2023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'e-SIC_2023'!$P$104:$P$104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6.5577524079462823E-2"/>
                  <c:y val="8.0453840907681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'e-SIC_2023'!$A$105:$A$114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SME</c:v>
                </c:pt>
                <c:pt idx="3">
                  <c:v>SPTrans</c:v>
                </c:pt>
                <c:pt idx="4">
                  <c:v>SF</c:v>
                </c:pt>
                <c:pt idx="5">
                  <c:v>SMSUB</c:v>
                </c:pt>
                <c:pt idx="6">
                  <c:v>SMT</c:v>
                </c:pt>
                <c:pt idx="7">
                  <c:v>SMC</c:v>
                </c:pt>
                <c:pt idx="8">
                  <c:v>SMADS</c:v>
                </c:pt>
                <c:pt idx="9">
                  <c:v>SEGES</c:v>
                </c:pt>
              </c:strCache>
            </c:strRef>
          </c:cat>
          <c:val>
            <c:numRef>
              <c:f>'e-SIC_2023'!$N$105:$N$114</c:f>
              <c:numCache>
                <c:formatCode>General</c:formatCode>
                <c:ptCount val="10"/>
                <c:pt idx="0">
                  <c:v>835</c:v>
                </c:pt>
                <c:pt idx="1">
                  <c:v>472</c:v>
                </c:pt>
                <c:pt idx="2">
                  <c:v>406</c:v>
                </c:pt>
                <c:pt idx="3">
                  <c:v>389</c:v>
                </c:pt>
                <c:pt idx="4">
                  <c:v>351</c:v>
                </c:pt>
                <c:pt idx="5">
                  <c:v>260</c:v>
                </c:pt>
                <c:pt idx="6">
                  <c:v>172</c:v>
                </c:pt>
                <c:pt idx="7">
                  <c:v>159</c:v>
                </c:pt>
                <c:pt idx="8">
                  <c:v>142</c:v>
                </c:pt>
                <c:pt idx="9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4396</c:v>
                </c:pt>
                <c:pt idx="1">
                  <c:v>4747</c:v>
                </c:pt>
                <c:pt idx="2">
                  <c:v>5681</c:v>
                </c:pt>
                <c:pt idx="3">
                  <c:v>4816</c:v>
                </c:pt>
                <c:pt idx="4">
                  <c:v>5527</c:v>
                </c:pt>
                <c:pt idx="5">
                  <c:v>4921</c:v>
                </c:pt>
                <c:pt idx="6">
                  <c:v>4897</c:v>
                </c:pt>
                <c:pt idx="7">
                  <c:v>5084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AGOSTO_23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'e-SIC_2023'!$X$22</c:f>
              <c:strCache>
                <c:ptCount val="1"/>
                <c:pt idx="0">
                  <c:v>ago/23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('e-SIC_2023'!$X$27,'e-SIC_2023'!$X$33,'e-SIC_2023'!$X$39,'e-SIC_2023'!$X$47)</c:f>
              <c:numCache>
                <c:formatCode>General</c:formatCode>
                <c:ptCount val="4"/>
                <c:pt idx="0">
                  <c:v>599</c:v>
                </c:pt>
                <c:pt idx="1">
                  <c:v>36</c:v>
                </c:pt>
                <c:pt idx="2">
                  <c:v>55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  <c:max val="9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Alteração_de_Processo_Dados!$E$20</c:f>
              <c:numCache>
                <c:formatCode>General</c:formatCode>
                <c:ptCount val="1"/>
                <c:pt idx="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Alteração_de_Processo_Dados!$D$17:$D$19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Alteração_de_Processo_Dados!$E$17:$E$19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- 2023 </a:t>
            </a:r>
          </a:p>
        </cx:rich>
      </cx:tx>
    </cx:title>
    <cx:plotArea>
      <cx:plotAreaRegion>
        <cx:series layoutId="treemap" uniqueId="{B800DED6-DF96-47A0-96BD-EA66E2948B05}"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  <cx:dataLabel idx="1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Fevereiro
38</a:t>
                  </a:r>
                </a:p>
              </cx:txPr>
              <cx:visibility seriesName="0" categoryName="1" value="1"/>
              <cx:separator>
</cx:separator>
            </cx:dataLabel>
            <cx:dataLabel idx="2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Março
17</a:t>
                  </a:r>
                </a:p>
              </cx:txPr>
              <cx:visibility seriesName="0" categoryName="1" value="1"/>
              <cx:separator>
</cx:separator>
            </cx:dataLabel>
            <cx:dataLabel idx="3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Abril
16</a:t>
                  </a:r>
                </a:p>
              </cx:txPr>
              <cx:visibility seriesName="0" categoryName="1" value="1"/>
              <cx:separator>
</cx:separator>
            </cx:dataLabel>
            <cx:dataLabel idx="4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Maio
17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Canais de entrada - AGOSTO/2023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9974699108557373E-3"/>
          <c:y val="0.19418899991761121"/>
          <c:w val="0.65403475916861742"/>
          <c:h val="0.77117568824076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45139</c:v>
                </c:pt>
              </c:numCache>
            </c:numRef>
          </c:cat>
          <c:val>
            <c:numRef>
              <c:f>Canais_atendimento!$F$5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45139</c:v>
                </c:pt>
              </c:numCache>
            </c:numRef>
          </c:cat>
          <c:val>
            <c:numRef>
              <c:f>Canais_atendimento!$F$6</c:f>
              <c:numCache>
                <c:formatCode>General</c:formatCode>
                <c:ptCount val="1"/>
                <c:pt idx="0">
                  <c:v>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45139</c:v>
                </c:pt>
              </c:numCache>
            </c:numRef>
          </c:cat>
          <c:val>
            <c:numRef>
              <c:f>Canais_atendimento!$F$7</c:f>
              <c:numCache>
                <c:formatCode>General</c:formatCode>
                <c:ptCount val="1"/>
                <c:pt idx="0">
                  <c:v>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</c:spPr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45139</c:v>
                </c:pt>
              </c:numCache>
            </c:numRef>
          </c:cat>
          <c:val>
            <c:numRef>
              <c:f>Canais_atendimento!$F$8</c:f>
              <c:numCache>
                <c:formatCode>General</c:formatCode>
                <c:ptCount val="1"/>
                <c:pt idx="0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45139</c:v>
                </c:pt>
              </c:numCache>
            </c:numRef>
          </c:cat>
          <c:val>
            <c:numRef>
              <c:f>Canais_atendimento!$F$9</c:f>
              <c:numCache>
                <c:formatCode>General</c:formatCode>
                <c:ptCount val="1"/>
                <c:pt idx="0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Canais_atendimento!$F$4</c:f>
              <c:numCache>
                <c:formatCode>mmm\-yy</c:formatCode>
                <c:ptCount val="1"/>
                <c:pt idx="0">
                  <c:v>45139</c:v>
                </c:pt>
              </c:numCache>
            </c:numRef>
          </c:cat>
          <c:val>
            <c:numRef>
              <c:f>Canais_atendimento!$F$10</c:f>
              <c:numCache>
                <c:formatCode>General</c:formatCode>
                <c:ptCount val="1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ax val="2500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903"/>
        <c:crosses val="autoZero"/>
        <c:crossBetween val="between"/>
        <c:majorUnit val="250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567"/>
        <c:crosses val="autoZero"/>
        <c:auto val="1"/>
        <c:lblOffset val="100"/>
        <c:baseTimeUnit val="day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489565155706886"/>
          <c:y val="0.1731734990525287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canais de entrada - 2023</a:t>
            </a:r>
          </a:p>
        </c:rich>
      </c:tx>
      <c:layout>
        <c:manualLayout>
          <c:xMode val="edge"/>
          <c:yMode val="edge"/>
          <c:x val="0.1093049999766072"/>
          <c:y val="2.953552680914885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3812698546371546E-3"/>
          <c:y val="0.15074732845894262"/>
          <c:w val="0.7087873641463267"/>
          <c:h val="0.79724339145106859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ln w="19046" cap="rnd">
              <a:solidFill>
                <a:srgbClr val="66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Canais_atendimento!$B$5:$M$5</c:f>
              <c:numCache>
                <c:formatCode>0</c:formatCode>
                <c:ptCount val="12"/>
                <c:pt idx="4" formatCode="General">
                  <c:v>20</c:v>
                </c:pt>
                <c:pt idx="5">
                  <c:v>10</c:v>
                </c:pt>
                <c:pt idx="6">
                  <c:v>13</c:v>
                </c:pt>
                <c:pt idx="7">
                  <c:v>8</c:v>
                </c:pt>
                <c:pt idx="8">
                  <c:v>19</c:v>
                </c:pt>
                <c:pt idx="9">
                  <c:v>9</c:v>
                </c:pt>
                <c:pt idx="10">
                  <c:v>12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ln w="19046" cap="rnd">
              <a:solidFill>
                <a:srgbClr val="92D050"/>
              </a:solidFill>
              <a:prstDash val="solid"/>
              <a:round/>
            </a:ln>
          </c:spPr>
          <c:marker>
            <c:symbol val="diamond"/>
            <c:size val="9"/>
          </c:marker>
          <c:trendline>
            <c:spPr>
              <a:ln w="6345" cap="rnd">
                <a:solidFill>
                  <a:srgbClr val="385723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Canais_atendimento!$B$6:$M$6</c:f>
              <c:numCache>
                <c:formatCode>0</c:formatCode>
                <c:ptCount val="12"/>
                <c:pt idx="4" formatCode="General">
                  <c:v>1818</c:v>
                </c:pt>
                <c:pt idx="5">
                  <c:v>1633</c:v>
                </c:pt>
                <c:pt idx="6">
                  <c:v>1974</c:v>
                </c:pt>
                <c:pt idx="7">
                  <c:v>1982</c:v>
                </c:pt>
                <c:pt idx="8">
                  <c:v>1875</c:v>
                </c:pt>
                <c:pt idx="9">
                  <c:v>1921</c:v>
                </c:pt>
                <c:pt idx="10">
                  <c:v>1612</c:v>
                </c:pt>
                <c:pt idx="11">
                  <c:v>1490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ln w="19046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7"/>
          </c:marker>
          <c:trendline>
            <c:spPr>
              <a:ln w="6345" cap="rnd">
                <a:solidFill>
                  <a:srgbClr val="2F5597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Canais_atendimento!$B$7:$M$7</c:f>
              <c:numCache>
                <c:formatCode>0</c:formatCode>
                <c:ptCount val="12"/>
                <c:pt idx="4" formatCode="General">
                  <c:v>812</c:v>
                </c:pt>
                <c:pt idx="5">
                  <c:v>845</c:v>
                </c:pt>
                <c:pt idx="6">
                  <c:v>815</c:v>
                </c:pt>
                <c:pt idx="7">
                  <c:v>956</c:v>
                </c:pt>
                <c:pt idx="8">
                  <c:v>778</c:v>
                </c:pt>
                <c:pt idx="9">
                  <c:v>895</c:v>
                </c:pt>
                <c:pt idx="10">
                  <c:v>799</c:v>
                </c:pt>
                <c:pt idx="11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 w="19046" cap="rnd">
              <a:solidFill>
                <a:srgbClr val="FF0000"/>
              </a:solidFill>
              <a:prstDash val="solid"/>
              <a:round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Canais_atendimento!$B$8:$M$8</c:f>
              <c:numCache>
                <c:formatCode>0</c:formatCode>
                <c:ptCount val="12"/>
                <c:pt idx="4" formatCode="General">
                  <c:v>93</c:v>
                </c:pt>
                <c:pt idx="5">
                  <c:v>134</c:v>
                </c:pt>
                <c:pt idx="6">
                  <c:v>22</c:v>
                </c:pt>
                <c:pt idx="7">
                  <c:v>32</c:v>
                </c:pt>
                <c:pt idx="8">
                  <c:v>57</c:v>
                </c:pt>
                <c:pt idx="9">
                  <c:v>28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ln w="19046" cap="rnd">
              <a:solidFill>
                <a:srgbClr val="FF00FF"/>
              </a:solidFill>
              <a:prstDash val="solid"/>
              <a:round/>
            </a:ln>
          </c:spPr>
          <c:marker>
            <c:symbol val="dash"/>
            <c:size val="9"/>
          </c:marker>
          <c:trendline>
            <c:spPr>
              <a:ln w="6345" cap="rnd">
                <a:solidFill>
                  <a:srgbClr val="9900FF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Canais_atendimento!$B$9:$M$9</c:f>
              <c:numCache>
                <c:formatCode>0</c:formatCode>
                <c:ptCount val="12"/>
                <c:pt idx="4" formatCode="General">
                  <c:v>2210</c:v>
                </c:pt>
                <c:pt idx="5">
                  <c:v>2137</c:v>
                </c:pt>
                <c:pt idx="6">
                  <c:v>2023</c:v>
                </c:pt>
                <c:pt idx="7">
                  <c:v>2437</c:v>
                </c:pt>
                <c:pt idx="8">
                  <c:v>2001</c:v>
                </c:pt>
                <c:pt idx="9">
                  <c:v>2696</c:v>
                </c:pt>
                <c:pt idx="10">
                  <c:v>2195</c:v>
                </c:pt>
                <c:pt idx="11">
                  <c:v>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ln w="19046" cap="rnd">
              <a:solidFill>
                <a:srgbClr val="FFFF00"/>
              </a:solidFill>
              <a:prstDash val="solid"/>
              <a:round/>
            </a:ln>
          </c:spPr>
          <c:marker>
            <c:symbol val="square"/>
            <c:size val="7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Canais_atendimento!$B$10:$M$10</c:f>
              <c:numCache>
                <c:formatCode>0</c:formatCode>
                <c:ptCount val="12"/>
                <c:pt idx="4" formatCode="General">
                  <c:v>131</c:v>
                </c:pt>
                <c:pt idx="5">
                  <c:v>138</c:v>
                </c:pt>
                <c:pt idx="6">
                  <c:v>74</c:v>
                </c:pt>
                <c:pt idx="7">
                  <c:v>112</c:v>
                </c:pt>
                <c:pt idx="8">
                  <c:v>86</c:v>
                </c:pt>
                <c:pt idx="9">
                  <c:v>132</c:v>
                </c:pt>
                <c:pt idx="10">
                  <c:v>116</c:v>
                </c:pt>
                <c:pt idx="11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4927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1657754010695185"/>
          <c:y val="0.15834962620714318"/>
          <c:w val="0.26203208556149732"/>
          <c:h val="0.6752910513045665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22033235275342955"/>
          <c:w val="0.60540541545947335"/>
          <c:h val="0.713263502575922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AGO/23</c:v>
                </c:pt>
              </c:strCache>
            </c:strRef>
          </c:cat>
          <c:val>
            <c:numRef>
              <c:f>Canais_atendimento!$Q$5:$Q$5</c:f>
              <c:numCache>
                <c:formatCode>0.0</c:formatCode>
                <c:ptCount val="1"/>
                <c:pt idx="0">
                  <c:v>0.39339103068450038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AGO/23</c:v>
                </c:pt>
              </c:strCache>
            </c:strRef>
          </c:cat>
          <c:val>
            <c:numRef>
              <c:f>Canais_atendimento!$Q$6:$Q$6</c:f>
              <c:numCache>
                <c:formatCode>0.0</c:formatCode>
                <c:ptCount val="1"/>
                <c:pt idx="0">
                  <c:v>35.759244689221084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0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AGO/23</c:v>
                </c:pt>
              </c:strCache>
            </c:strRef>
          </c:cat>
          <c:val>
            <c:numRef>
              <c:f>Canais_atendimento!$Q$7:$Q$7</c:f>
              <c:numCache>
                <c:formatCode>0.0</c:formatCode>
                <c:ptCount val="1"/>
                <c:pt idx="0">
                  <c:v>15.971675845790715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Canais_atendimento!$Q$4:$Q$4</c:f>
              <c:strCache>
                <c:ptCount val="1"/>
                <c:pt idx="0">
                  <c:v>% Canais de entrada AGO/23</c:v>
                </c:pt>
              </c:strCache>
            </c:strRef>
          </c:cat>
          <c:val>
            <c:numRef>
              <c:f>Canais_atendimento!$Q$8:$Q$8</c:f>
              <c:numCache>
                <c:formatCode>0.0</c:formatCode>
                <c:ptCount val="1"/>
                <c:pt idx="0">
                  <c:v>1.8292682926829269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AGO/23</c:v>
                </c:pt>
              </c:strCache>
            </c:strRef>
          </c:cat>
          <c:val>
            <c:numRef>
              <c:f>Canais_atendimento!$Q$9:$Q$9</c:f>
              <c:numCache>
                <c:formatCode>0.0</c:formatCode>
                <c:ptCount val="1"/>
                <c:pt idx="0">
                  <c:v>43.469708890637293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AGO/23</c:v>
                </c:pt>
              </c:strCache>
            </c:strRef>
          </c:cat>
          <c:val>
            <c:numRef>
              <c:f>Canais_atendimento!$Q$10:$Q$10</c:f>
              <c:numCache>
                <c:formatCode>0.0</c:formatCode>
                <c:ptCount val="1"/>
                <c:pt idx="0">
                  <c:v>2.5767112509834775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982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1136769502075248"/>
          <c:y val="0.2129495938594077"/>
          <c:w val="0.28863230497924752"/>
          <c:h val="0.7233116212163477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- Média/2023</a:t>
            </a:r>
          </a:p>
        </c:rich>
      </c:tx>
      <c:layout>
        <c:manualLayout>
          <c:xMode val="edge"/>
          <c:yMode val="edge"/>
          <c:x val="0.11865925175194685"/>
          <c:y val="3.325135539159967E-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cat>
            <c:strRef>
              <c:f>'10_Assuntos_+_demadados_2023'!$A$7:$A$16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Sinalização e Circulação de veículos e Pedestres</c:v>
                </c:pt>
                <c:pt idx="6">
                  <c:v>Estabelecimentos comerciais, indústrias e serviços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Ônibus</c:v>
                </c:pt>
              </c:strCache>
            </c:strRef>
          </c:cat>
          <c:val>
            <c:numRef>
              <c:f>'10_Assuntos_+_demadados_2023'!$O$7:$O$16</c:f>
              <c:numCache>
                <c:formatCode>0</c:formatCode>
                <c:ptCount val="10"/>
                <c:pt idx="0">
                  <c:v>649.5</c:v>
                </c:pt>
                <c:pt idx="1">
                  <c:v>403</c:v>
                </c:pt>
                <c:pt idx="2">
                  <c:v>319.625</c:v>
                </c:pt>
                <c:pt idx="3">
                  <c:v>274.875</c:v>
                </c:pt>
                <c:pt idx="4">
                  <c:v>198.125</c:v>
                </c:pt>
                <c:pt idx="5">
                  <c:v>147.5</c:v>
                </c:pt>
                <c:pt idx="6">
                  <c:v>143.25</c:v>
                </c:pt>
                <c:pt idx="7">
                  <c:v>138.25</c:v>
                </c:pt>
                <c:pt idx="8">
                  <c:v>125.5</c:v>
                </c:pt>
                <c:pt idx="9">
                  <c:v>119.75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ax val="700"/>
          <c:min val="0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AGO/23 (exetuando-se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spPr>
              <a:solidFill>
                <a:srgbClr val="99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spPr>
              <a:solidFill>
                <a:srgbClr val="00F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004824678789659E-2"/>
                  <c:y val="-4.277704164758432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('10_Assuntos_+_demadados_2023'!$A$7:$A$16,'10_Assuntos_+_demadados_2023'!$A$18)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Sinalização e Circulação de veículos e Pedestres</c:v>
                </c:pt>
                <c:pt idx="6">
                  <c:v>Estabelecimentos comerciais, indústrias e serviços</c:v>
                </c:pt>
                <c:pt idx="7">
                  <c:v>Calçadas, guias e postes</c:v>
                </c:pt>
                <c:pt idx="8">
                  <c:v>Veículos abandonados</c:v>
                </c:pt>
                <c:pt idx="9">
                  <c:v>Ônibus</c:v>
                </c:pt>
                <c:pt idx="10">
                  <c:v>Outros</c:v>
                </c:pt>
              </c:strCache>
            </c:strRef>
          </c:cat>
          <c:val>
            <c:numRef>
              <c:f>('10_Assuntos_+_demadados_2023'!$P$7:$P$16,'10_Assuntos_+_demadados_2023'!$P$18)</c:f>
              <c:numCache>
                <c:formatCode>0.00</c:formatCode>
                <c:ptCount val="11"/>
                <c:pt idx="0">
                  <c:v>9.9897854954034724</c:v>
                </c:pt>
                <c:pt idx="1">
                  <c:v>9.540347293156282</c:v>
                </c:pt>
                <c:pt idx="2">
                  <c:v>7.1705822267620016</c:v>
                </c:pt>
                <c:pt idx="3">
                  <c:v>6.0878447395301327</c:v>
                </c:pt>
                <c:pt idx="4">
                  <c:v>4.2288049029622066</c:v>
                </c:pt>
                <c:pt idx="5">
                  <c:v>3.595505617977528</c:v>
                </c:pt>
                <c:pt idx="6">
                  <c:v>2.4923391215526047</c:v>
                </c:pt>
                <c:pt idx="7">
                  <c:v>2.9826353421859042</c:v>
                </c:pt>
                <c:pt idx="8">
                  <c:v>2.7374872318692542</c:v>
                </c:pt>
                <c:pt idx="9">
                  <c:v>2.4310520939734421</c:v>
                </c:pt>
                <c:pt idx="10">
                  <c:v>48.743615934627172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Média - 10 assuntos mais demandados dos 3 últimos meses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Calçadas, guias e postes</c:v>
                </c:pt>
                <c:pt idx="6">
                  <c:v>Sinalização e Circulação de veículos e Pedestres</c:v>
                </c:pt>
                <c:pt idx="7">
                  <c:v>Processo Administrativo</c:v>
                </c:pt>
                <c:pt idx="8">
                  <c:v>Veículos abandonados</c:v>
                </c:pt>
                <c:pt idx="9">
                  <c:v>Estabelecimentos comerciais, indústrias e serviços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528.33333333333337</c:v>
                </c:pt>
                <c:pt idx="1">
                  <c:v>506.33333333333331</c:v>
                </c:pt>
                <c:pt idx="2">
                  <c:v>320.66666666666669</c:v>
                </c:pt>
                <c:pt idx="3">
                  <c:v>293.33333333333331</c:v>
                </c:pt>
                <c:pt idx="4">
                  <c:v>194</c:v>
                </c:pt>
                <c:pt idx="5">
                  <c:v>155.66666666666666</c:v>
                </c:pt>
                <c:pt idx="6">
                  <c:v>150.66666666666666</c:v>
                </c:pt>
                <c:pt idx="7">
                  <c:v>134.33333333333334</c:v>
                </c:pt>
                <c:pt idx="8">
                  <c:v>128.33333333333334</c:v>
                </c:pt>
                <c:pt idx="9">
                  <c:v>125.66666666666667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  <c:max val="6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374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16</xdr:col>
          <xdr:colOff>447675</xdr:colOff>
          <xdr:row>52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83919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104771</xdr:colOff>
      <xdr:row>0</xdr:row>
      <xdr:rowOff>0</xdr:rowOff>
    </xdr:from>
    <xdr:ext cx="5348819" cy="3679829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9363071" y="0"/>
          <a:ext cx="5348819" cy="3679829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2023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76200</xdr:colOff>
      <xdr:row>17</xdr:row>
      <xdr:rowOff>57150</xdr:rowOff>
    </xdr:from>
    <xdr:to>
      <xdr:col>12</xdr:col>
      <xdr:colOff>142875</xdr:colOff>
      <xdr:row>34</xdr:row>
      <xdr:rowOff>19050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47621</xdr:colOff>
      <xdr:row>3</xdr:row>
      <xdr:rowOff>9528</xdr:rowOff>
    </xdr:from>
    <xdr:ext cx="7239003" cy="6276971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3171821" y="590553"/>
          <a:ext cx="7239003" cy="6276971"/>
          <a:chOff x="3171821" y="581028"/>
          <a:chExt cx="7239003" cy="6276971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GraphicFramePr/>
        </xdr:nvGraphicFramePr>
        <xdr:xfrm>
          <a:off x="3171821" y="581028"/>
          <a:ext cx="7239003" cy="62769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 txBox="1"/>
        </xdr:nvSpPr>
        <xdr:spPr>
          <a:xfrm>
            <a:off x="3209925" y="647696"/>
            <a:ext cx="7181853" cy="38100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Ranking das Subprefeituras mais demandadas - AGOSTO/2023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104775</xdr:colOff>
      <xdr:row>15</xdr:row>
      <xdr:rowOff>161925</xdr:rowOff>
    </xdr:from>
    <xdr:to>
      <xdr:col>16</xdr:col>
      <xdr:colOff>523875</xdr:colOff>
      <xdr:row>30</xdr:row>
      <xdr:rowOff>9525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 e reclassificadas - 2023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1</xdr:row>
      <xdr:rowOff>0</xdr:rowOff>
    </xdr:from>
    <xdr:to>
      <xdr:col>14</xdr:col>
      <xdr:colOff>123064</xdr:colOff>
      <xdr:row>68</xdr:row>
      <xdr:rowOff>152400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0" y="190500"/>
          <a:ext cx="5618989" cy="12934950"/>
        </a:xfrm>
        <a:prstGeom prst="rect">
          <a:avLst/>
        </a:prstGeom>
        <a:ln>
          <a:solidFill>
            <a:schemeClr val="tx1"/>
          </a:solidFill>
        </a:ln>
        <a:effectLst>
          <a:softEdge rad="0"/>
        </a:effectLst>
      </xdr:spPr>
    </xdr:pic>
    <xdr:clientData/>
  </xdr:twoCellAnchor>
  <xdr:twoCellAnchor editAs="oneCell">
    <xdr:from>
      <xdr:col>15</xdr:col>
      <xdr:colOff>0</xdr:colOff>
      <xdr:row>1</xdr:row>
      <xdr:rowOff>9525</xdr:rowOff>
    </xdr:from>
    <xdr:to>
      <xdr:col>22</xdr:col>
      <xdr:colOff>299100</xdr:colOff>
      <xdr:row>15</xdr:row>
      <xdr:rowOff>66913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68300" y="200025"/>
          <a:ext cx="4566300" cy="274343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85725</xdr:rowOff>
        </xdr:from>
        <xdr:to>
          <xdr:col>10</xdr:col>
          <xdr:colOff>180975</xdr:colOff>
          <xdr:row>38</xdr:row>
          <xdr:rowOff>180975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285750</xdr:colOff>
      <xdr:row>14</xdr:row>
      <xdr:rowOff>104774</xdr:rowOff>
    </xdr:from>
    <xdr:to>
      <xdr:col>15</xdr:col>
      <xdr:colOff>590549</xdr:colOff>
      <xdr:row>29</xdr:row>
      <xdr:rowOff>142875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78335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171825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11</xdr:row>
      <xdr:rowOff>48981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174174</xdr:colOff>
      <xdr:row>11</xdr:row>
      <xdr:rowOff>42185</xdr:rowOff>
    </xdr:from>
    <xdr:ext cx="483870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782643" y="2697279"/>
          <a:ext cx="483870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277596" y="2733678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AGOSTO/2023</a:t>
            </a: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endParaRP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19046</xdr:rowOff>
    </xdr:from>
    <xdr:ext cx="5772149" cy="36290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47625</xdr:rowOff>
    </xdr:from>
    <xdr:to>
      <xdr:col>9</xdr:col>
      <xdr:colOff>60325</xdr:colOff>
      <xdr:row>24</xdr:row>
      <xdr:rowOff>174625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19046</xdr:colOff>
      <xdr:row>17</xdr:row>
      <xdr:rowOff>57150</xdr:rowOff>
    </xdr:from>
    <xdr:ext cx="7124703" cy="3409953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686175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demandados do mês de junho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AGOSTO/23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400" b="1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9</xdr:col>
      <xdr:colOff>1733546</xdr:colOff>
      <xdr:row>2</xdr:row>
      <xdr:rowOff>47621</xdr:rowOff>
    </xdr:from>
    <xdr:ext cx="5962646" cy="4581528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28575</xdr:rowOff>
    </xdr:from>
    <xdr:ext cx="6438903" cy="3838578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1326279" y="28575"/>
          <a:ext cx="6438903" cy="3838578"/>
          <a:chOff x="11306171" y="28575"/>
          <a:chExt cx="6438903" cy="383857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aphicFramePr/>
        </xdr:nvGraphicFramePr>
        <xdr:xfrm>
          <a:off x="11306171" y="28575"/>
          <a:ext cx="6438903" cy="3838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2973050" y="66678"/>
            <a:ext cx="3781428" cy="31432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Média/2023</a:t>
            </a:r>
          </a:p>
        </xdr:txBody>
      </xdr:sp>
    </xdr:grpSp>
    <xdr:clientData/>
  </xdr:oneCellAnchor>
  <xdr:twoCellAnchor editAs="oneCell">
    <xdr:from>
      <xdr:col>0</xdr:col>
      <xdr:colOff>95250</xdr:colOff>
      <xdr:row>17</xdr:row>
      <xdr:rowOff>60325</xdr:rowOff>
    </xdr:from>
    <xdr:to>
      <xdr:col>9</xdr:col>
      <xdr:colOff>390525</xdr:colOff>
      <xdr:row>26</xdr:row>
      <xdr:rowOff>89958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AGO/23 (exetuando-se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38103</xdr:colOff>
      <xdr:row>17</xdr:row>
      <xdr:rowOff>57150</xdr:rowOff>
    </xdr:from>
    <xdr:ext cx="6619871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815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demandados do mês de junho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AGOSTO/23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4.emf"/><Relationship Id="rId4" Type="http://schemas.openxmlformats.org/officeDocument/2006/relationships/package" Target="../embeddings/Documento_do_Microsoft_Word1.docx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Q1"/>
  <sheetViews>
    <sheetView showGridLines="0" tabSelected="1" workbookViewId="0">
      <selection activeCell="Q1" sqref="Q1"/>
    </sheetView>
  </sheetViews>
  <sheetFormatPr defaultRowHeight="15"/>
  <cols>
    <col min="1" max="1" width="9.140625" customWidth="1"/>
  </cols>
  <sheetData>
    <row r="1" spans="17:17">
      <c r="Q1" t="s">
        <v>337</v>
      </c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447675</xdr:colOff>
                <xdr:row>52</xdr:row>
                <xdr:rowOff>19050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="90" zoomScaleNormal="90" workbookViewId="0">
      <selection activeCell="F8" sqref="F8"/>
    </sheetView>
  </sheetViews>
  <sheetFormatPr defaultColWidth="5.5703125" defaultRowHeight="14.25"/>
  <cols>
    <col min="1" max="1" width="52.140625" style="13" customWidth="1"/>
    <col min="2" max="2" width="7.5703125" style="13" bestFit="1" customWidth="1"/>
    <col min="3" max="3" width="7.7109375" style="134" bestFit="1" customWidth="1"/>
    <col min="4" max="4" width="7.140625" style="13" bestFit="1" customWidth="1"/>
    <col min="5" max="5" width="7" style="132" bestFit="1" customWidth="1"/>
    <col min="6" max="6" width="7.5703125" style="13" bestFit="1" customWidth="1"/>
    <col min="7" max="7" width="6.28515625" style="132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5.85546875" style="13" bestFit="1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30" t="s">
        <v>0</v>
      </c>
      <c r="B1" s="130"/>
      <c r="C1" s="131"/>
      <c r="D1" s="130"/>
      <c r="G1" s="665"/>
      <c r="H1" s="663"/>
      <c r="I1" s="663"/>
      <c r="J1" s="663"/>
      <c r="K1" s="663"/>
      <c r="L1" s="663"/>
      <c r="M1" s="663"/>
      <c r="N1" s="663"/>
      <c r="O1" s="663"/>
      <c r="P1" s="663"/>
    </row>
    <row r="2" spans="1:20" ht="15">
      <c r="A2" s="1" t="s">
        <v>1</v>
      </c>
      <c r="B2" s="1"/>
      <c r="C2" s="94"/>
      <c r="D2" s="1"/>
      <c r="G2" s="665"/>
      <c r="H2" s="663"/>
      <c r="I2" s="663"/>
      <c r="J2" s="663"/>
      <c r="K2" s="663"/>
      <c r="L2" s="663"/>
      <c r="M2" s="663"/>
      <c r="N2" s="663"/>
      <c r="O2" s="663"/>
      <c r="P2" s="663"/>
    </row>
    <row r="3" spans="1:20" ht="15">
      <c r="A3" s="1"/>
      <c r="B3" s="1"/>
      <c r="C3" s="94"/>
      <c r="D3" s="1"/>
      <c r="G3" s="665"/>
      <c r="H3" s="663"/>
      <c r="I3" s="663"/>
      <c r="J3" s="663"/>
      <c r="K3" s="663"/>
      <c r="L3" s="663"/>
      <c r="M3" s="663"/>
      <c r="N3" s="663"/>
      <c r="O3" s="663"/>
      <c r="P3" s="663"/>
    </row>
    <row r="4" spans="1:20" ht="15">
      <c r="A4" s="1" t="s">
        <v>290</v>
      </c>
      <c r="B4" s="1"/>
      <c r="C4" s="94"/>
      <c r="D4" s="1"/>
      <c r="G4" s="665"/>
      <c r="H4" s="663"/>
      <c r="I4" s="663"/>
      <c r="J4" s="663"/>
      <c r="K4" s="663"/>
      <c r="L4" s="663"/>
      <c r="M4" s="663"/>
      <c r="N4" s="663"/>
      <c r="O4" s="663"/>
      <c r="P4" s="676">
        <v>4895</v>
      </c>
    </row>
    <row r="5" spans="1:20">
      <c r="E5" s="13"/>
      <c r="F5" s="132"/>
      <c r="G5" s="663"/>
      <c r="H5" s="665"/>
      <c r="I5" s="663"/>
      <c r="J5" s="663"/>
      <c r="K5" s="663"/>
      <c r="L5" s="663"/>
      <c r="M5" s="663"/>
      <c r="N5" s="663"/>
      <c r="O5" s="663"/>
      <c r="P5" s="663"/>
    </row>
    <row r="6" spans="1:20" ht="48.75" thickBot="1">
      <c r="A6" s="66" t="s">
        <v>213</v>
      </c>
      <c r="B6" s="226">
        <v>45261</v>
      </c>
      <c r="C6" s="25">
        <v>45231</v>
      </c>
      <c r="D6" s="102">
        <v>45200</v>
      </c>
      <c r="E6" s="102">
        <v>45170</v>
      </c>
      <c r="F6" s="102">
        <v>45139</v>
      </c>
      <c r="G6" s="227">
        <v>45108</v>
      </c>
      <c r="H6" s="25">
        <v>45078</v>
      </c>
      <c r="I6" s="227">
        <v>45047</v>
      </c>
      <c r="J6" s="226">
        <v>45017</v>
      </c>
      <c r="K6" s="25">
        <v>44986</v>
      </c>
      <c r="L6" s="102">
        <v>44958</v>
      </c>
      <c r="M6" s="25">
        <v>44927</v>
      </c>
      <c r="N6" s="102" t="s">
        <v>5</v>
      </c>
      <c r="O6" s="65" t="s">
        <v>6</v>
      </c>
      <c r="P6" s="228" t="s">
        <v>456</v>
      </c>
    </row>
    <row r="7" spans="1:20" ht="14.25" customHeight="1" thickBot="1">
      <c r="A7" s="208" t="s">
        <v>239</v>
      </c>
      <c r="B7" s="707"/>
      <c r="C7" s="707"/>
      <c r="D7" s="35"/>
      <c r="E7" s="35"/>
      <c r="F7" s="35">
        <v>632</v>
      </c>
      <c r="G7" s="35">
        <v>485</v>
      </c>
      <c r="H7" s="708">
        <v>784</v>
      </c>
      <c r="I7" s="35">
        <v>878</v>
      </c>
      <c r="J7" s="35">
        <v>1034</v>
      </c>
      <c r="K7" s="35">
        <v>886</v>
      </c>
      <c r="L7" s="35">
        <v>527</v>
      </c>
      <c r="M7" s="35">
        <v>564</v>
      </c>
      <c r="N7" s="229">
        <f t="shared" ref="N7:N16" si="0">SUM(B7:M7)</f>
        <v>5790</v>
      </c>
      <c r="O7" s="230">
        <f t="shared" ref="O7:O17" si="1">AVERAGE(B7:M7)</f>
        <v>723.75</v>
      </c>
      <c r="P7" s="138">
        <f>(F7*100)/$P$4</f>
        <v>12.911133810010215</v>
      </c>
      <c r="S7" s="132"/>
      <c r="T7" s="132"/>
    </row>
    <row r="8" spans="1:20" ht="15" customHeight="1" thickBot="1">
      <c r="A8" s="208" t="s">
        <v>238</v>
      </c>
      <c r="B8" s="232"/>
      <c r="C8" s="232"/>
      <c r="D8" s="45"/>
      <c r="E8" s="45"/>
      <c r="F8" s="45">
        <v>700</v>
      </c>
      <c r="G8" s="45">
        <v>734</v>
      </c>
      <c r="H8" s="45">
        <v>737</v>
      </c>
      <c r="I8" s="45">
        <v>704</v>
      </c>
      <c r="J8" s="45">
        <v>572</v>
      </c>
      <c r="K8" s="45">
        <v>573</v>
      </c>
      <c r="L8" s="45">
        <v>536</v>
      </c>
      <c r="M8" s="45">
        <v>545</v>
      </c>
      <c r="N8" s="231">
        <f t="shared" si="0"/>
        <v>5101</v>
      </c>
      <c r="O8" s="206">
        <f t="shared" si="1"/>
        <v>637.625</v>
      </c>
      <c r="P8" s="138">
        <f t="shared" ref="P8:P17" si="2">(F8*100)/$P$4</f>
        <v>14.300306435137896</v>
      </c>
      <c r="S8" s="132"/>
      <c r="T8" s="132"/>
    </row>
    <row r="9" spans="1:20" ht="15.75" thickBot="1">
      <c r="A9" s="208" t="s">
        <v>237</v>
      </c>
      <c r="B9" s="211"/>
      <c r="C9" s="211"/>
      <c r="D9" s="45"/>
      <c r="E9" s="45"/>
      <c r="F9" s="45">
        <v>374</v>
      </c>
      <c r="G9" s="45">
        <v>342</v>
      </c>
      <c r="H9" s="45">
        <v>343</v>
      </c>
      <c r="I9" s="45">
        <v>427</v>
      </c>
      <c r="J9" s="45">
        <v>332</v>
      </c>
      <c r="K9" s="45">
        <v>373</v>
      </c>
      <c r="L9" s="45">
        <v>318</v>
      </c>
      <c r="M9" s="45">
        <v>343</v>
      </c>
      <c r="N9" s="231">
        <f t="shared" si="0"/>
        <v>2852</v>
      </c>
      <c r="O9" s="206">
        <f t="shared" si="1"/>
        <v>356.5</v>
      </c>
      <c r="P9" s="138">
        <f t="shared" si="2"/>
        <v>7.6404494382022472</v>
      </c>
      <c r="S9" s="132"/>
      <c r="T9" s="132"/>
    </row>
    <row r="10" spans="1:20" ht="15.75" thickBot="1">
      <c r="A10" s="208" t="s">
        <v>224</v>
      </c>
      <c r="B10" s="232"/>
      <c r="C10" s="46"/>
      <c r="D10" s="154"/>
      <c r="E10" s="154"/>
      <c r="F10" s="45">
        <v>324</v>
      </c>
      <c r="G10" s="45">
        <v>244</v>
      </c>
      <c r="H10" s="45">
        <v>272</v>
      </c>
      <c r="I10" s="45">
        <v>279</v>
      </c>
      <c r="J10" s="45">
        <v>231</v>
      </c>
      <c r="K10" s="45">
        <v>299</v>
      </c>
      <c r="L10" s="45">
        <v>330</v>
      </c>
      <c r="M10" s="45">
        <v>327</v>
      </c>
      <c r="N10" s="231">
        <f t="shared" si="0"/>
        <v>2306</v>
      </c>
      <c r="O10" s="206">
        <f t="shared" si="1"/>
        <v>288.25</v>
      </c>
      <c r="P10" s="138">
        <f t="shared" si="2"/>
        <v>6.6189989785495404</v>
      </c>
      <c r="S10" s="132"/>
      <c r="T10" s="132"/>
    </row>
    <row r="11" spans="1:20" ht="15.75" thickBot="1">
      <c r="A11" s="208" t="s">
        <v>235</v>
      </c>
      <c r="B11" s="232"/>
      <c r="C11" s="232"/>
      <c r="D11" s="45"/>
      <c r="E11" s="45"/>
      <c r="F11" s="45">
        <v>263</v>
      </c>
      <c r="G11" s="45">
        <v>298</v>
      </c>
      <c r="H11" s="46">
        <v>242</v>
      </c>
      <c r="I11" s="45">
        <v>278</v>
      </c>
      <c r="J11" s="45">
        <v>222</v>
      </c>
      <c r="K11" s="45">
        <v>306</v>
      </c>
      <c r="L11" s="45">
        <v>292</v>
      </c>
      <c r="M11" s="45">
        <v>328</v>
      </c>
      <c r="N11" s="231">
        <f t="shared" si="0"/>
        <v>2229</v>
      </c>
      <c r="O11" s="206">
        <f t="shared" si="1"/>
        <v>278.625</v>
      </c>
      <c r="P11" s="138">
        <f t="shared" si="2"/>
        <v>5.3728294177732376</v>
      </c>
      <c r="S11" s="132"/>
      <c r="T11" s="132"/>
    </row>
    <row r="12" spans="1:20" ht="15" customHeight="1" thickBot="1">
      <c r="A12" s="208" t="s">
        <v>234</v>
      </c>
      <c r="B12" s="232"/>
      <c r="C12" s="232"/>
      <c r="D12" s="45"/>
      <c r="E12" s="45"/>
      <c r="F12" s="45">
        <v>222</v>
      </c>
      <c r="G12" s="45">
        <v>174</v>
      </c>
      <c r="H12" s="45">
        <v>272</v>
      </c>
      <c r="I12" s="45">
        <v>269</v>
      </c>
      <c r="J12" s="45">
        <v>247</v>
      </c>
      <c r="K12" s="45">
        <v>318</v>
      </c>
      <c r="L12" s="45">
        <v>286</v>
      </c>
      <c r="M12" s="45">
        <v>247</v>
      </c>
      <c r="N12" s="231">
        <f t="shared" si="0"/>
        <v>2035</v>
      </c>
      <c r="O12" s="206">
        <f t="shared" si="1"/>
        <v>254.375</v>
      </c>
      <c r="P12" s="138">
        <f t="shared" si="2"/>
        <v>4.5352400408580182</v>
      </c>
      <c r="S12" s="132"/>
      <c r="T12" s="132"/>
    </row>
    <row r="13" spans="1:20" ht="15.75" thickBot="1">
      <c r="A13" s="208" t="s">
        <v>230</v>
      </c>
      <c r="B13" s="232"/>
      <c r="C13" s="232"/>
      <c r="D13" s="45"/>
      <c r="E13" s="45"/>
      <c r="F13" s="45">
        <v>261</v>
      </c>
      <c r="G13" s="45">
        <v>207</v>
      </c>
      <c r="H13" s="45">
        <v>210</v>
      </c>
      <c r="I13" s="45">
        <v>285</v>
      </c>
      <c r="J13" s="45">
        <v>238</v>
      </c>
      <c r="K13" s="45">
        <v>333</v>
      </c>
      <c r="L13" s="45">
        <v>204</v>
      </c>
      <c r="M13" s="45">
        <v>140</v>
      </c>
      <c r="N13" s="231">
        <f t="shared" si="0"/>
        <v>1878</v>
      </c>
      <c r="O13" s="206">
        <f t="shared" si="1"/>
        <v>234.75</v>
      </c>
      <c r="P13" s="138">
        <f t="shared" si="2"/>
        <v>5.3319713993871298</v>
      </c>
      <c r="S13" s="132"/>
      <c r="T13" s="132"/>
    </row>
    <row r="14" spans="1:20" ht="15.75" thickBot="1">
      <c r="A14" s="208" t="s">
        <v>243</v>
      </c>
      <c r="B14" s="232"/>
      <c r="C14" s="232"/>
      <c r="D14" s="45"/>
      <c r="E14" s="45"/>
      <c r="F14" s="45">
        <v>215</v>
      </c>
      <c r="G14" s="45">
        <v>164</v>
      </c>
      <c r="H14" s="46">
        <v>161</v>
      </c>
      <c r="I14" s="45">
        <v>206</v>
      </c>
      <c r="J14" s="45">
        <v>183</v>
      </c>
      <c r="K14" s="45">
        <v>326</v>
      </c>
      <c r="L14" s="45">
        <v>377</v>
      </c>
      <c r="M14" s="45">
        <v>131</v>
      </c>
      <c r="N14" s="231">
        <f t="shared" si="0"/>
        <v>1763</v>
      </c>
      <c r="O14" s="206">
        <f t="shared" si="1"/>
        <v>220.375</v>
      </c>
      <c r="P14" s="138">
        <f t="shared" si="2"/>
        <v>4.3922369765066396</v>
      </c>
      <c r="S14" s="132"/>
      <c r="T14" s="132"/>
    </row>
    <row r="15" spans="1:20" ht="15.75" thickBot="1">
      <c r="A15" s="208" t="s">
        <v>147</v>
      </c>
      <c r="B15" s="232"/>
      <c r="C15" s="232"/>
      <c r="D15" s="45"/>
      <c r="E15" s="45"/>
      <c r="F15" s="45">
        <v>120</v>
      </c>
      <c r="G15" s="45">
        <v>118</v>
      </c>
      <c r="H15" s="45">
        <v>82</v>
      </c>
      <c r="I15" s="45">
        <v>107</v>
      </c>
      <c r="J15" s="45">
        <v>76</v>
      </c>
      <c r="K15" s="45">
        <v>89</v>
      </c>
      <c r="L15" s="45">
        <v>72</v>
      </c>
      <c r="M15" s="45">
        <v>84</v>
      </c>
      <c r="N15" s="231">
        <f t="shared" si="0"/>
        <v>748</v>
      </c>
      <c r="O15" s="206">
        <f t="shared" si="1"/>
        <v>93.5</v>
      </c>
      <c r="P15" s="138">
        <f t="shared" si="2"/>
        <v>2.4514811031664965</v>
      </c>
      <c r="S15" s="132"/>
      <c r="T15" s="132"/>
    </row>
    <row r="16" spans="1:20" ht="15.75" thickBot="1">
      <c r="A16" s="212" t="s">
        <v>271</v>
      </c>
      <c r="B16" s="709"/>
      <c r="C16" s="709"/>
      <c r="D16" s="52"/>
      <c r="E16" s="52"/>
      <c r="F16" s="52">
        <v>76</v>
      </c>
      <c r="G16" s="52">
        <v>80</v>
      </c>
      <c r="H16" s="52">
        <v>82</v>
      </c>
      <c r="I16" s="52">
        <v>125</v>
      </c>
      <c r="J16" s="52">
        <v>91</v>
      </c>
      <c r="K16" s="52">
        <v>140</v>
      </c>
      <c r="L16" s="52">
        <v>71</v>
      </c>
      <c r="M16" s="52">
        <v>70</v>
      </c>
      <c r="N16" s="233">
        <f t="shared" si="0"/>
        <v>735</v>
      </c>
      <c r="O16" s="218">
        <f t="shared" si="1"/>
        <v>91.875</v>
      </c>
      <c r="P16" s="138">
        <f t="shared" si="2"/>
        <v>1.5526046986721145</v>
      </c>
      <c r="S16" s="132"/>
      <c r="T16" s="132"/>
    </row>
    <row r="17" spans="1:41" ht="15.75" customHeight="1" thickBot="1">
      <c r="A17" s="685" t="s">
        <v>5</v>
      </c>
      <c r="B17" s="684"/>
      <c r="C17" s="59"/>
      <c r="D17" s="59"/>
      <c r="E17" s="59"/>
      <c r="F17" s="59">
        <f t="shared" ref="F17:N17" si="3">SUM(F7:F16)</f>
        <v>3187</v>
      </c>
      <c r="G17" s="59">
        <f t="shared" si="3"/>
        <v>2846</v>
      </c>
      <c r="H17" s="59">
        <f t="shared" si="3"/>
        <v>3185</v>
      </c>
      <c r="I17" s="59">
        <f t="shared" si="3"/>
        <v>3558</v>
      </c>
      <c r="J17" s="59">
        <f t="shared" si="3"/>
        <v>3226</v>
      </c>
      <c r="K17" s="59">
        <f t="shared" si="3"/>
        <v>3643</v>
      </c>
      <c r="L17" s="59">
        <f t="shared" si="3"/>
        <v>3013</v>
      </c>
      <c r="M17" s="171">
        <f t="shared" si="3"/>
        <v>2779</v>
      </c>
      <c r="N17" s="234">
        <f t="shared" si="3"/>
        <v>25437</v>
      </c>
      <c r="O17" s="145">
        <f t="shared" si="1"/>
        <v>3179.625</v>
      </c>
      <c r="P17" s="138">
        <f t="shared" si="2"/>
        <v>65.107252298263532</v>
      </c>
      <c r="S17" s="132"/>
      <c r="T17" s="132"/>
    </row>
    <row r="18" spans="1:41" s="676" customFormat="1" ht="23.25" customHeight="1">
      <c r="A18" s="676" t="s">
        <v>214</v>
      </c>
      <c r="C18" s="677"/>
      <c r="O18" s="676" t="s">
        <v>215</v>
      </c>
      <c r="P18" s="678">
        <f>100-P17</f>
        <v>34.892747701736468</v>
      </c>
    </row>
    <row r="19" spans="1:41" ht="54.75" customHeight="1">
      <c r="A19" s="689"/>
      <c r="B19" s="689"/>
      <c r="C19" s="710"/>
      <c r="D19" s="676"/>
      <c r="E19" s="711"/>
      <c r="F19" s="676"/>
      <c r="G19" s="676"/>
      <c r="H19" s="676"/>
      <c r="I19" s="676"/>
      <c r="J19" s="676"/>
      <c r="K19" s="676"/>
      <c r="L19" s="676"/>
      <c r="M19" s="676"/>
      <c r="N19" s="889"/>
      <c r="O19" s="889"/>
      <c r="P19" s="889"/>
      <c r="Q19" s="676"/>
      <c r="R19" s="676"/>
      <c r="S19" s="676"/>
      <c r="T19" s="676"/>
      <c r="U19" s="676"/>
      <c r="V19" s="676"/>
      <c r="W19" s="711"/>
      <c r="X19" s="676"/>
      <c r="Y19" s="676"/>
      <c r="Z19" s="676"/>
      <c r="AA19" s="676"/>
      <c r="AB19" s="676"/>
      <c r="AC19" s="676"/>
      <c r="AD19" s="676"/>
      <c r="AE19" s="676"/>
      <c r="AF19" s="676"/>
      <c r="AG19" s="676"/>
    </row>
    <row r="20" spans="1:41">
      <c r="A20" s="694"/>
      <c r="B20" s="694"/>
      <c r="C20" s="712"/>
      <c r="D20" s="676"/>
      <c r="E20" s="711"/>
      <c r="F20" s="676"/>
      <c r="G20" s="676"/>
      <c r="H20" s="676"/>
      <c r="I20" s="676"/>
      <c r="J20" s="676"/>
      <c r="K20" s="676"/>
      <c r="L20" s="676"/>
      <c r="M20" s="676"/>
      <c r="N20" s="676"/>
      <c r="O20" s="711"/>
      <c r="P20" s="676"/>
      <c r="Q20" s="676"/>
      <c r="R20" s="676"/>
      <c r="S20" s="676"/>
      <c r="T20" s="676"/>
      <c r="U20" s="676"/>
      <c r="V20" s="676"/>
      <c r="W20" s="711"/>
      <c r="X20" s="676"/>
      <c r="Y20" s="676"/>
      <c r="Z20" s="676"/>
      <c r="AA20" s="676"/>
      <c r="AB20" s="676"/>
      <c r="AC20" s="691"/>
      <c r="AD20" s="692"/>
      <c r="AE20" s="692"/>
      <c r="AF20" s="692"/>
      <c r="AG20" s="692"/>
      <c r="AH20" s="150"/>
      <c r="AI20" s="150"/>
      <c r="AJ20" s="134"/>
      <c r="AK20" s="150"/>
      <c r="AL20" s="150"/>
      <c r="AM20" s="150"/>
      <c r="AN20" s="150"/>
      <c r="AO20" s="151"/>
    </row>
    <row r="21" spans="1:41" ht="92.25" customHeight="1">
      <c r="A21" s="689"/>
      <c r="B21" s="689"/>
      <c r="C21" s="710"/>
      <c r="D21" s="676"/>
      <c r="E21" s="711"/>
      <c r="F21" s="676"/>
      <c r="G21" s="676"/>
      <c r="H21" s="676"/>
      <c r="I21" s="676"/>
      <c r="J21" s="676"/>
      <c r="K21" s="676"/>
      <c r="L21" s="713"/>
      <c r="M21" s="676"/>
      <c r="N21" s="889"/>
      <c r="O21" s="889"/>
      <c r="P21" s="889"/>
      <c r="Q21" s="676"/>
      <c r="R21" s="676"/>
      <c r="S21" s="676"/>
      <c r="T21" s="676"/>
      <c r="U21" s="676"/>
      <c r="V21" s="676"/>
      <c r="W21" s="711"/>
      <c r="X21" s="676"/>
      <c r="Y21" s="676"/>
      <c r="Z21" s="676"/>
      <c r="AA21" s="676"/>
      <c r="AB21" s="676"/>
      <c r="AC21" s="691"/>
      <c r="AD21" s="692"/>
      <c r="AE21" s="692"/>
      <c r="AF21" s="692"/>
      <c r="AG21" s="692"/>
      <c r="AH21" s="150"/>
      <c r="AI21" s="150"/>
      <c r="AJ21" s="134"/>
      <c r="AK21" s="150"/>
      <c r="AL21" s="150"/>
      <c r="AM21" s="150"/>
      <c r="AN21" s="150"/>
      <c r="AO21" s="151"/>
    </row>
    <row r="22" spans="1:41">
      <c r="A22" s="689"/>
      <c r="B22" s="689"/>
      <c r="C22" s="710"/>
      <c r="D22" s="676"/>
      <c r="E22" s="711"/>
      <c r="F22" s="676"/>
      <c r="G22" s="676"/>
      <c r="H22" s="676"/>
      <c r="I22" s="676"/>
      <c r="J22" s="676"/>
      <c r="K22" s="676"/>
      <c r="L22" s="676"/>
      <c r="M22" s="676"/>
      <c r="N22" s="676"/>
      <c r="O22" s="711"/>
      <c r="P22" s="676"/>
      <c r="Q22" s="676"/>
      <c r="R22" s="676"/>
      <c r="S22" s="676"/>
      <c r="T22" s="676"/>
      <c r="U22" s="676"/>
      <c r="V22" s="676"/>
      <c r="W22" s="714"/>
      <c r="X22" s="676"/>
      <c r="Y22" s="676"/>
      <c r="Z22" s="676"/>
      <c r="AA22" s="676"/>
      <c r="AB22" s="676"/>
      <c r="AC22" s="691"/>
      <c r="AD22" s="692"/>
      <c r="AE22" s="692"/>
      <c r="AF22" s="692"/>
      <c r="AG22" s="692"/>
      <c r="AH22" s="150"/>
      <c r="AI22" s="150"/>
      <c r="AJ22" s="134"/>
      <c r="AK22" s="150"/>
      <c r="AL22" s="150"/>
      <c r="AM22" s="150"/>
      <c r="AN22" s="150"/>
      <c r="AO22" s="151"/>
    </row>
    <row r="23" spans="1:41" ht="66.75" customHeight="1">
      <c r="A23" s="689"/>
      <c r="B23" s="689"/>
      <c r="C23" s="710"/>
      <c r="D23" s="676"/>
      <c r="E23" s="711"/>
      <c r="F23" s="676"/>
      <c r="G23" s="676"/>
      <c r="H23" s="676"/>
      <c r="I23" s="676"/>
      <c r="J23" s="676"/>
      <c r="K23" s="676"/>
      <c r="L23" s="676"/>
      <c r="M23" s="676"/>
      <c r="N23" s="889"/>
      <c r="O23" s="889"/>
      <c r="P23" s="889"/>
      <c r="Q23" s="676"/>
      <c r="R23" s="676"/>
      <c r="S23" s="676"/>
      <c r="T23" s="676"/>
      <c r="U23" s="676"/>
      <c r="V23" s="676"/>
      <c r="W23" s="711"/>
      <c r="X23" s="676"/>
      <c r="Y23" s="676"/>
      <c r="Z23" s="676"/>
      <c r="AA23" s="676"/>
      <c r="AB23" s="676"/>
      <c r="AC23" s="691"/>
      <c r="AD23" s="692"/>
      <c r="AE23" s="692"/>
      <c r="AF23" s="692"/>
      <c r="AG23" s="692"/>
      <c r="AH23" s="150"/>
      <c r="AI23" s="150"/>
      <c r="AJ23" s="134"/>
      <c r="AK23" s="150"/>
      <c r="AL23" s="150"/>
      <c r="AM23" s="150"/>
      <c r="AN23" s="150"/>
      <c r="AO23" s="151"/>
    </row>
    <row r="24" spans="1:41">
      <c r="A24" s="694"/>
      <c r="B24" s="694"/>
      <c r="C24" s="712"/>
      <c r="D24" s="676"/>
      <c r="E24" s="711"/>
      <c r="F24" s="676"/>
      <c r="G24" s="676"/>
      <c r="H24" s="676"/>
      <c r="I24" s="676"/>
      <c r="J24" s="676"/>
      <c r="K24" s="676"/>
      <c r="L24" s="676"/>
      <c r="M24" s="676"/>
      <c r="N24" s="676"/>
      <c r="O24" s="676"/>
      <c r="P24" s="676"/>
      <c r="Q24" s="676"/>
      <c r="R24" s="676"/>
      <c r="S24" s="676"/>
      <c r="T24" s="676"/>
      <c r="U24" s="676"/>
      <c r="V24" s="676"/>
      <c r="W24" s="711"/>
      <c r="X24" s="676"/>
      <c r="Y24" s="676"/>
      <c r="Z24" s="676"/>
      <c r="AA24" s="676"/>
      <c r="AB24" s="676"/>
      <c r="AC24" s="691"/>
      <c r="AD24" s="692"/>
      <c r="AE24" s="692"/>
      <c r="AF24" s="692"/>
      <c r="AG24" s="692"/>
      <c r="AH24" s="150"/>
      <c r="AI24" s="150"/>
      <c r="AJ24" s="134"/>
      <c r="AK24" s="150"/>
      <c r="AL24" s="150"/>
      <c r="AM24" s="150"/>
      <c r="AN24" s="150"/>
      <c r="AO24" s="151"/>
    </row>
    <row r="25" spans="1:41">
      <c r="A25" s="689"/>
      <c r="B25" s="689"/>
      <c r="C25" s="710"/>
      <c r="D25" s="676"/>
      <c r="E25" s="711"/>
      <c r="F25" s="676"/>
      <c r="G25" s="676"/>
      <c r="H25" s="676"/>
      <c r="I25" s="676"/>
      <c r="J25" s="676"/>
      <c r="K25" s="676"/>
      <c r="L25" s="676"/>
      <c r="M25" s="676"/>
      <c r="N25" s="676"/>
      <c r="O25" s="676"/>
      <c r="P25" s="676"/>
      <c r="Q25" s="676"/>
      <c r="R25" s="676"/>
      <c r="S25" s="676"/>
      <c r="T25" s="676"/>
      <c r="U25" s="676"/>
      <c r="V25" s="676"/>
      <c r="W25" s="711"/>
      <c r="X25" s="676"/>
      <c r="Y25" s="676"/>
      <c r="Z25" s="676"/>
      <c r="AA25" s="676"/>
      <c r="AB25" s="676"/>
      <c r="AC25" s="691"/>
      <c r="AD25" s="692"/>
      <c r="AE25" s="692"/>
      <c r="AF25" s="692"/>
      <c r="AG25" s="692"/>
      <c r="AH25" s="150"/>
      <c r="AI25" s="150"/>
      <c r="AJ25" s="134"/>
      <c r="AK25" s="150"/>
      <c r="AL25" s="150"/>
      <c r="AM25" s="150"/>
      <c r="AN25" s="150"/>
      <c r="AO25" s="151"/>
    </row>
    <row r="26" spans="1:41">
      <c r="A26" s="676"/>
      <c r="B26" s="676"/>
      <c r="C26" s="677"/>
      <c r="D26" s="676"/>
      <c r="E26" s="711"/>
      <c r="F26" s="676"/>
      <c r="G26" s="711"/>
      <c r="H26" s="676"/>
      <c r="I26" s="676"/>
      <c r="J26" s="676"/>
      <c r="K26" s="676"/>
      <c r="L26" s="676"/>
      <c r="M26" s="676"/>
      <c r="N26" s="676"/>
      <c r="O26" s="676"/>
      <c r="P26" s="676"/>
      <c r="Q26" s="676"/>
      <c r="R26" s="676"/>
      <c r="S26" s="676"/>
      <c r="T26" s="676"/>
      <c r="U26" s="676"/>
      <c r="V26" s="676"/>
      <c r="W26" s="676"/>
      <c r="X26" s="676"/>
      <c r="Y26" s="676"/>
      <c r="Z26" s="676"/>
      <c r="AA26" s="676"/>
      <c r="AB26" s="676"/>
      <c r="AC26" s="691"/>
      <c r="AD26" s="692"/>
      <c r="AE26" s="692"/>
      <c r="AF26" s="692"/>
      <c r="AG26" s="692"/>
      <c r="AH26" s="150"/>
      <c r="AI26" s="150"/>
      <c r="AJ26" s="134"/>
      <c r="AK26" s="150"/>
      <c r="AL26" s="150"/>
      <c r="AM26" s="150"/>
      <c r="AN26" s="150"/>
      <c r="AO26" s="151"/>
    </row>
    <row r="27" spans="1:41">
      <c r="A27" s="676"/>
      <c r="B27" s="676"/>
      <c r="C27" s="677"/>
      <c r="D27" s="676"/>
      <c r="E27" s="711"/>
      <c r="F27" s="676"/>
      <c r="G27" s="711"/>
      <c r="H27" s="676"/>
      <c r="I27" s="676"/>
      <c r="J27" s="676"/>
      <c r="K27" s="676"/>
      <c r="L27" s="676"/>
      <c r="M27" s="676"/>
      <c r="N27" s="676"/>
      <c r="O27" s="676"/>
      <c r="P27" s="676"/>
      <c r="Q27" s="676"/>
      <c r="R27" s="691"/>
      <c r="S27" s="692"/>
      <c r="T27" s="693"/>
      <c r="U27" s="693"/>
      <c r="V27" s="693"/>
      <c r="W27" s="715"/>
      <c r="X27" s="676"/>
      <c r="Y27" s="676"/>
      <c r="Z27" s="676"/>
      <c r="AA27" s="676"/>
      <c r="AB27" s="676"/>
      <c r="AC27" s="691"/>
      <c r="AD27" s="692"/>
      <c r="AE27" s="692"/>
      <c r="AF27" s="692"/>
      <c r="AG27" s="692"/>
      <c r="AH27" s="150"/>
      <c r="AI27" s="150"/>
      <c r="AJ27" s="134"/>
      <c r="AK27" s="150"/>
      <c r="AL27" s="150"/>
      <c r="AM27" s="150"/>
      <c r="AN27" s="150"/>
      <c r="AO27" s="151"/>
    </row>
    <row r="28" spans="1:41">
      <c r="A28" s="676"/>
      <c r="B28" s="676"/>
      <c r="C28" s="677"/>
      <c r="D28" s="676"/>
      <c r="E28" s="711"/>
      <c r="F28" s="676"/>
      <c r="G28" s="711"/>
      <c r="H28" s="676"/>
      <c r="I28" s="676"/>
      <c r="J28" s="676"/>
      <c r="K28" s="676"/>
      <c r="L28" s="676"/>
      <c r="M28" s="676"/>
      <c r="N28" s="676"/>
      <c r="O28" s="676"/>
      <c r="P28" s="676"/>
      <c r="Q28" s="676"/>
      <c r="R28" s="691"/>
      <c r="S28" s="692"/>
      <c r="T28" s="693"/>
      <c r="U28" s="693"/>
      <c r="V28" s="693"/>
      <c r="W28" s="715"/>
      <c r="X28" s="676"/>
      <c r="Y28" s="676"/>
      <c r="Z28" s="676"/>
      <c r="AA28" s="676"/>
      <c r="AB28" s="676"/>
      <c r="AC28" s="691"/>
      <c r="AD28" s="692"/>
      <c r="AE28" s="692"/>
      <c r="AF28" s="692"/>
      <c r="AG28" s="692"/>
      <c r="AH28" s="150"/>
      <c r="AI28" s="150"/>
      <c r="AJ28" s="134"/>
      <c r="AK28" s="150"/>
      <c r="AL28" s="150"/>
      <c r="AM28" s="150"/>
      <c r="AN28" s="150"/>
      <c r="AO28" s="151"/>
    </row>
    <row r="29" spans="1:41">
      <c r="A29" s="676"/>
      <c r="B29" s="676"/>
      <c r="C29" s="677"/>
      <c r="D29" s="676"/>
      <c r="E29" s="711"/>
      <c r="F29" s="676"/>
      <c r="G29" s="711"/>
      <c r="H29" s="676"/>
      <c r="I29" s="676"/>
      <c r="J29" s="676"/>
      <c r="K29" s="676"/>
      <c r="L29" s="676"/>
      <c r="M29" s="676"/>
      <c r="N29" s="676"/>
      <c r="O29" s="676"/>
      <c r="P29" s="676"/>
      <c r="Q29" s="676"/>
      <c r="R29" s="691"/>
      <c r="S29" s="692"/>
      <c r="T29" s="693"/>
      <c r="U29" s="693"/>
      <c r="V29" s="693"/>
      <c r="W29" s="715"/>
      <c r="X29" s="676"/>
      <c r="Y29" s="676"/>
      <c r="Z29" s="676"/>
      <c r="AA29" s="676"/>
      <c r="AB29" s="676"/>
      <c r="AC29" s="691"/>
      <c r="AD29" s="692"/>
      <c r="AE29" s="692"/>
      <c r="AF29" s="692"/>
      <c r="AG29" s="692"/>
      <c r="AH29" s="150"/>
      <c r="AI29" s="150"/>
      <c r="AJ29" s="134"/>
      <c r="AK29" s="150"/>
      <c r="AL29" s="150"/>
      <c r="AM29" s="150"/>
      <c r="AN29" s="150"/>
      <c r="AO29" s="151"/>
    </row>
    <row r="30" spans="1:41">
      <c r="A30" s="676"/>
      <c r="B30" s="676"/>
      <c r="C30" s="677"/>
      <c r="D30" s="676"/>
      <c r="E30" s="711"/>
      <c r="F30" s="676"/>
      <c r="G30" s="711"/>
      <c r="H30" s="676"/>
      <c r="I30" s="676"/>
      <c r="J30" s="676"/>
      <c r="K30" s="676"/>
      <c r="L30" s="676"/>
      <c r="M30" s="676"/>
      <c r="N30" s="676"/>
      <c r="O30" s="676"/>
      <c r="P30" s="676"/>
      <c r="Q30" s="676"/>
      <c r="R30" s="691"/>
      <c r="S30" s="692"/>
      <c r="T30" s="693"/>
      <c r="U30" s="693"/>
      <c r="V30" s="693"/>
      <c r="W30" s="715"/>
      <c r="X30" s="676"/>
      <c r="Y30" s="676"/>
      <c r="Z30" s="676"/>
      <c r="AA30" s="676"/>
      <c r="AB30" s="676"/>
      <c r="AC30" s="676"/>
      <c r="AD30" s="676"/>
      <c r="AE30" s="676"/>
      <c r="AF30" s="676"/>
      <c r="AG30" s="676"/>
      <c r="AO30" s="132"/>
    </row>
    <row r="31" spans="1:41">
      <c r="A31" s="676"/>
      <c r="B31" s="676"/>
      <c r="C31" s="677"/>
      <c r="D31" s="676"/>
      <c r="E31" s="711"/>
      <c r="F31" s="676"/>
      <c r="G31" s="711"/>
      <c r="H31" s="676"/>
      <c r="I31" s="676"/>
      <c r="J31" s="676"/>
      <c r="K31" s="676"/>
      <c r="L31" s="676"/>
      <c r="M31" s="676"/>
      <c r="N31" s="676"/>
      <c r="O31" s="676"/>
      <c r="P31" s="676"/>
      <c r="Q31" s="676"/>
      <c r="R31" s="691"/>
      <c r="S31" s="692"/>
      <c r="T31" s="693"/>
      <c r="U31" s="693"/>
      <c r="V31" s="693"/>
      <c r="W31" s="715"/>
      <c r="X31" s="676"/>
      <c r="Y31" s="676"/>
      <c r="Z31" s="676"/>
      <c r="AA31" s="676"/>
      <c r="AB31" s="676"/>
      <c r="AC31" s="676"/>
      <c r="AD31" s="676"/>
      <c r="AE31" s="676"/>
      <c r="AF31" s="676"/>
      <c r="AG31" s="676"/>
    </row>
    <row r="32" spans="1:41">
      <c r="A32" s="676"/>
      <c r="B32" s="676"/>
      <c r="C32" s="677"/>
      <c r="D32" s="676"/>
      <c r="E32" s="711"/>
      <c r="F32" s="676"/>
      <c r="G32" s="711"/>
      <c r="H32" s="676"/>
      <c r="I32" s="676"/>
      <c r="J32" s="676"/>
      <c r="K32" s="676"/>
      <c r="L32" s="676"/>
      <c r="M32" s="676"/>
      <c r="N32" s="676"/>
      <c r="O32" s="676"/>
      <c r="P32" s="676"/>
      <c r="Q32" s="676"/>
      <c r="R32" s="691"/>
      <c r="S32" s="692"/>
      <c r="T32" s="693"/>
      <c r="U32" s="693"/>
      <c r="V32" s="693"/>
      <c r="W32" s="715"/>
      <c r="X32" s="676"/>
      <c r="Y32" s="676"/>
      <c r="Z32" s="676"/>
      <c r="AA32" s="676"/>
      <c r="AB32" s="676"/>
      <c r="AC32" s="676"/>
      <c r="AD32" s="676"/>
      <c r="AE32" s="676"/>
      <c r="AF32" s="676"/>
      <c r="AG32" s="676"/>
    </row>
    <row r="33" spans="1:33">
      <c r="A33" s="676"/>
      <c r="B33" s="676"/>
      <c r="C33" s="677"/>
      <c r="D33" s="676"/>
      <c r="E33" s="711"/>
      <c r="F33" s="676"/>
      <c r="G33" s="711"/>
      <c r="H33" s="676"/>
      <c r="I33" s="676"/>
      <c r="J33" s="676"/>
      <c r="K33" s="676"/>
      <c r="L33" s="676"/>
      <c r="M33" s="676"/>
      <c r="N33" s="676"/>
      <c r="O33" s="676"/>
      <c r="P33" s="676"/>
      <c r="Q33" s="676"/>
      <c r="R33" s="691"/>
      <c r="S33" s="692"/>
      <c r="T33" s="693"/>
      <c r="U33" s="693"/>
      <c r="V33" s="693"/>
      <c r="W33" s="715"/>
      <c r="X33" s="676"/>
      <c r="Y33" s="676"/>
      <c r="Z33" s="676"/>
      <c r="AA33" s="676"/>
      <c r="AB33" s="676"/>
      <c r="AC33" s="676"/>
      <c r="AD33" s="676"/>
      <c r="AE33" s="676"/>
      <c r="AF33" s="676"/>
      <c r="AG33" s="676"/>
    </row>
    <row r="34" spans="1:33">
      <c r="A34" s="676"/>
      <c r="B34" s="676"/>
      <c r="C34" s="677"/>
      <c r="D34" s="676"/>
      <c r="E34" s="711"/>
      <c r="F34" s="676"/>
      <c r="G34" s="711"/>
      <c r="H34" s="676"/>
      <c r="I34" s="676"/>
      <c r="J34" s="676"/>
      <c r="K34" s="676"/>
      <c r="L34" s="676"/>
      <c r="M34" s="676"/>
      <c r="N34" s="676"/>
      <c r="O34" s="676"/>
      <c r="P34" s="676"/>
      <c r="Q34" s="676"/>
      <c r="R34" s="691"/>
      <c r="S34" s="692"/>
      <c r="T34" s="693"/>
      <c r="U34" s="693"/>
      <c r="V34" s="693"/>
      <c r="W34" s="715"/>
      <c r="X34" s="676"/>
      <c r="Y34" s="676"/>
      <c r="Z34" s="676"/>
      <c r="AA34" s="676"/>
      <c r="AB34" s="676"/>
      <c r="AC34" s="676"/>
      <c r="AD34" s="676"/>
      <c r="AE34" s="676"/>
      <c r="AF34" s="676"/>
      <c r="AG34" s="676"/>
    </row>
    <row r="35" spans="1:33">
      <c r="A35" s="676"/>
      <c r="B35" s="676"/>
      <c r="C35" s="677"/>
      <c r="D35" s="676"/>
      <c r="E35" s="711"/>
      <c r="F35" s="676"/>
      <c r="G35" s="711"/>
      <c r="H35" s="676"/>
      <c r="I35" s="676"/>
      <c r="J35" s="676"/>
      <c r="K35" s="676"/>
      <c r="L35" s="676"/>
      <c r="M35" s="676"/>
      <c r="N35" s="676"/>
      <c r="O35" s="676"/>
      <c r="P35" s="676"/>
      <c r="Q35" s="676"/>
      <c r="R35" s="691"/>
      <c r="S35" s="692"/>
      <c r="T35" s="693"/>
      <c r="U35" s="693"/>
      <c r="V35" s="693"/>
      <c r="W35" s="715"/>
      <c r="X35" s="676"/>
      <c r="Y35" s="676"/>
      <c r="Z35" s="676"/>
      <c r="AA35" s="676"/>
      <c r="AB35" s="676"/>
      <c r="AC35" s="676"/>
      <c r="AD35" s="676"/>
      <c r="AE35" s="676"/>
      <c r="AF35" s="676"/>
      <c r="AG35" s="676"/>
    </row>
    <row r="36" spans="1:33">
      <c r="A36" s="676"/>
      <c r="B36" s="676"/>
      <c r="C36" s="677"/>
      <c r="D36" s="676"/>
      <c r="E36" s="711"/>
      <c r="F36" s="676"/>
      <c r="G36" s="711"/>
      <c r="H36" s="676"/>
      <c r="I36" s="676"/>
      <c r="J36" s="676"/>
      <c r="K36" s="676"/>
      <c r="L36" s="676"/>
      <c r="M36" s="676"/>
      <c r="N36" s="676"/>
      <c r="O36" s="676"/>
      <c r="P36" s="676"/>
      <c r="Q36" s="676"/>
      <c r="R36" s="691"/>
      <c r="S36" s="692"/>
      <c r="T36" s="693"/>
      <c r="U36" s="693"/>
      <c r="V36" s="693"/>
      <c r="W36" s="715"/>
      <c r="X36" s="676"/>
      <c r="Y36" s="676"/>
      <c r="Z36" s="676"/>
      <c r="AA36" s="676"/>
      <c r="AB36" s="676"/>
      <c r="AC36" s="676"/>
      <c r="AD36" s="676"/>
      <c r="AE36" s="676"/>
      <c r="AF36" s="676"/>
      <c r="AG36" s="676"/>
    </row>
    <row r="37" spans="1:33">
      <c r="A37" s="676"/>
      <c r="B37" s="676"/>
      <c r="C37" s="677"/>
      <c r="D37" s="676"/>
      <c r="E37" s="711"/>
      <c r="F37" s="676"/>
      <c r="G37" s="711"/>
      <c r="H37" s="676"/>
      <c r="I37" s="676"/>
      <c r="J37" s="676"/>
      <c r="K37" s="676"/>
      <c r="L37" s="676"/>
      <c r="M37" s="676"/>
      <c r="N37" s="676"/>
      <c r="O37" s="676"/>
      <c r="P37" s="676"/>
      <c r="Q37" s="676"/>
      <c r="R37" s="676"/>
      <c r="S37" s="676"/>
      <c r="T37" s="676"/>
      <c r="U37" s="676"/>
      <c r="V37" s="676"/>
      <c r="W37" s="676"/>
      <c r="X37" s="676"/>
      <c r="Y37" s="676"/>
      <c r="Z37" s="676"/>
      <c r="AA37" s="676"/>
      <c r="AB37" s="676"/>
      <c r="AC37" s="676"/>
      <c r="AD37" s="676"/>
      <c r="AE37" s="676"/>
      <c r="AF37" s="676"/>
      <c r="AG37" s="676"/>
    </row>
    <row r="38" spans="1:33">
      <c r="A38" s="676"/>
      <c r="B38" s="676"/>
      <c r="C38" s="677"/>
      <c r="D38" s="676"/>
      <c r="E38" s="711"/>
      <c r="F38" s="676"/>
      <c r="G38" s="711"/>
      <c r="H38" s="676"/>
      <c r="I38" s="676"/>
      <c r="J38" s="676"/>
      <c r="K38" s="676"/>
      <c r="L38" s="676"/>
      <c r="M38" s="676"/>
      <c r="N38" s="676"/>
      <c r="O38" s="676"/>
      <c r="P38" s="676"/>
      <c r="Q38" s="676"/>
      <c r="R38" s="676"/>
      <c r="S38" s="676"/>
      <c r="T38" s="676"/>
      <c r="U38" s="676"/>
      <c r="V38" s="676"/>
      <c r="W38" s="676"/>
      <c r="X38" s="676"/>
      <c r="Y38" s="676"/>
      <c r="Z38" s="676"/>
      <c r="AA38" s="676"/>
      <c r="AB38" s="676"/>
      <c r="AC38" s="676"/>
      <c r="AD38" s="676"/>
      <c r="AE38" s="676"/>
      <c r="AF38" s="676"/>
      <c r="AG38" s="676"/>
    </row>
    <row r="39" spans="1:33">
      <c r="A39" s="676"/>
      <c r="B39" s="676"/>
      <c r="C39" s="677"/>
      <c r="D39" s="676"/>
      <c r="E39" s="711"/>
      <c r="F39" s="676"/>
      <c r="G39" s="711"/>
      <c r="H39" s="676"/>
      <c r="I39" s="676"/>
      <c r="J39" s="676"/>
      <c r="K39" s="676"/>
      <c r="L39" s="676"/>
      <c r="M39" s="676"/>
      <c r="N39" s="676"/>
      <c r="O39" s="676"/>
      <c r="P39" s="676"/>
      <c r="Q39" s="676"/>
      <c r="R39" s="676"/>
      <c r="S39" s="676"/>
      <c r="T39" s="676"/>
      <c r="U39" s="676"/>
      <c r="V39" s="676"/>
      <c r="W39" s="676"/>
      <c r="X39" s="676"/>
      <c r="Y39" s="676"/>
      <c r="Z39" s="676"/>
      <c r="AA39" s="676"/>
      <c r="AB39" s="676"/>
      <c r="AC39" s="676"/>
      <c r="AD39" s="676"/>
      <c r="AE39" s="676"/>
      <c r="AF39" s="676"/>
      <c r="AG39" s="676"/>
    </row>
    <row r="40" spans="1:33">
      <c r="A40" s="676"/>
      <c r="B40" s="676"/>
      <c r="C40" s="677"/>
      <c r="D40" s="676"/>
      <c r="E40" s="711"/>
      <c r="F40" s="676"/>
      <c r="G40" s="711"/>
      <c r="H40" s="676"/>
      <c r="I40" s="676"/>
      <c r="J40" s="676"/>
      <c r="K40" s="676"/>
      <c r="L40" s="676"/>
      <c r="M40" s="676"/>
      <c r="N40" s="676"/>
      <c r="O40" s="676"/>
      <c r="P40" s="676"/>
      <c r="Q40" s="676"/>
      <c r="R40" s="676"/>
      <c r="S40" s="676"/>
      <c r="T40" s="676"/>
      <c r="U40" s="676"/>
      <c r="V40" s="676"/>
      <c r="W40" s="676"/>
      <c r="X40" s="676"/>
      <c r="Y40" s="676"/>
      <c r="Z40" s="676"/>
      <c r="AA40" s="676"/>
      <c r="AB40" s="676"/>
      <c r="AC40" s="676"/>
      <c r="AD40" s="676"/>
      <c r="AE40" s="676"/>
      <c r="AF40" s="676"/>
      <c r="AG40" s="676"/>
    </row>
    <row r="41" spans="1:33">
      <c r="A41" s="676"/>
      <c r="B41" s="676"/>
      <c r="C41" s="677"/>
      <c r="D41" s="676"/>
      <c r="E41" s="711"/>
      <c r="F41" s="676"/>
      <c r="G41" s="711"/>
      <c r="H41" s="676"/>
      <c r="I41" s="676"/>
      <c r="J41" s="676"/>
      <c r="K41" s="676"/>
      <c r="L41" s="676"/>
      <c r="M41" s="676"/>
      <c r="N41" s="676"/>
      <c r="O41" s="676"/>
      <c r="P41" s="676"/>
      <c r="Q41" s="676"/>
      <c r="R41" s="676"/>
      <c r="S41" s="676"/>
      <c r="T41" s="676"/>
      <c r="U41" s="676"/>
      <c r="V41" s="676"/>
      <c r="W41" s="676"/>
      <c r="X41" s="676"/>
      <c r="Y41" s="676"/>
      <c r="Z41" s="676"/>
      <c r="AA41" s="676"/>
      <c r="AB41" s="676"/>
      <c r="AC41" s="676"/>
      <c r="AD41" s="676"/>
      <c r="AE41" s="676"/>
      <c r="AF41" s="676"/>
      <c r="AG41" s="676"/>
    </row>
    <row r="42" spans="1:33" ht="14.25" customHeight="1">
      <c r="A42" s="676"/>
      <c r="B42" s="676"/>
      <c r="C42" s="677"/>
      <c r="D42" s="676"/>
      <c r="E42" s="711"/>
      <c r="F42" s="676"/>
      <c r="G42" s="711"/>
      <c r="H42" s="676"/>
      <c r="I42" s="676"/>
      <c r="J42" s="676"/>
      <c r="K42" s="676"/>
      <c r="L42" s="676"/>
      <c r="M42" s="676"/>
      <c r="N42" s="676"/>
      <c r="O42" s="676"/>
      <c r="P42" s="676"/>
      <c r="Q42" s="676"/>
      <c r="R42" s="676"/>
      <c r="S42" s="676"/>
      <c r="T42" s="676"/>
      <c r="U42" s="676"/>
      <c r="V42" s="676"/>
      <c r="W42" s="676"/>
      <c r="X42" s="676"/>
      <c r="Y42" s="676"/>
      <c r="Z42" s="676"/>
      <c r="AA42" s="676"/>
      <c r="AB42" s="676"/>
      <c r="AC42" s="676"/>
      <c r="AD42" s="676"/>
      <c r="AE42" s="676"/>
      <c r="AF42" s="676"/>
      <c r="AG42" s="676"/>
    </row>
    <row r="43" spans="1:33">
      <c r="A43" s="694"/>
      <c r="B43" s="694"/>
      <c r="C43" s="712"/>
      <c r="D43" s="694"/>
      <c r="E43" s="711"/>
      <c r="F43" s="676"/>
      <c r="G43" s="711"/>
      <c r="H43" s="676"/>
      <c r="I43" s="676"/>
      <c r="J43" s="676"/>
      <c r="K43" s="676"/>
      <c r="L43" s="676"/>
      <c r="M43" s="676"/>
      <c r="N43" s="676"/>
      <c r="O43" s="676"/>
      <c r="P43" s="676"/>
      <c r="Q43" s="676"/>
      <c r="R43" s="676"/>
      <c r="S43" s="676"/>
      <c r="T43" s="676"/>
      <c r="U43" s="676"/>
      <c r="V43" s="676"/>
      <c r="W43" s="676"/>
      <c r="X43" s="676"/>
      <c r="Y43" s="676"/>
      <c r="Z43" s="676"/>
      <c r="AA43" s="676"/>
      <c r="AB43" s="676"/>
      <c r="AC43" s="676"/>
      <c r="AD43" s="676"/>
      <c r="AE43" s="676"/>
      <c r="AF43" s="676"/>
      <c r="AG43" s="676"/>
    </row>
    <row r="44" spans="1:33" ht="14.25" customHeight="1">
      <c r="A44" s="676"/>
      <c r="B44" s="676"/>
      <c r="C44" s="677"/>
      <c r="D44" s="676"/>
      <c r="E44" s="711"/>
      <c r="F44" s="676"/>
      <c r="G44" s="711"/>
      <c r="H44" s="676"/>
      <c r="I44" s="676"/>
      <c r="J44" s="676"/>
      <c r="K44" s="676"/>
      <c r="L44" s="676"/>
      <c r="M44" s="676"/>
      <c r="N44" s="676"/>
      <c r="O44" s="676"/>
      <c r="P44" s="676"/>
      <c r="Q44" s="676"/>
      <c r="R44" s="676"/>
      <c r="S44" s="676"/>
      <c r="T44" s="676"/>
      <c r="U44" s="676"/>
      <c r="V44" s="676"/>
      <c r="W44" s="676"/>
      <c r="X44" s="676"/>
      <c r="Y44" s="676"/>
      <c r="Z44" s="676"/>
      <c r="AA44" s="676"/>
      <c r="AB44" s="676"/>
      <c r="AC44" s="676"/>
      <c r="AD44" s="676"/>
      <c r="AE44" s="676"/>
      <c r="AF44" s="676"/>
      <c r="AG44" s="676"/>
    </row>
    <row r="45" spans="1:33">
      <c r="A45" s="147"/>
      <c r="B45" s="147"/>
      <c r="C45" s="148"/>
      <c r="D45" s="147"/>
    </row>
    <row r="46" spans="1:3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F17:M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F51" sqref="F51"/>
    </sheetView>
  </sheetViews>
  <sheetFormatPr defaultRowHeight="14.25"/>
  <cols>
    <col min="1" max="1" width="10.42578125" style="13" customWidth="1"/>
    <col min="2" max="2" width="13.42578125" style="132" customWidth="1"/>
    <col min="3" max="3" width="11.7109375" style="132" bestFit="1" customWidth="1"/>
    <col min="4" max="4" width="6.28515625" style="13" bestFit="1" customWidth="1"/>
    <col min="5" max="5" width="12" style="13" bestFit="1" customWidth="1"/>
    <col min="6" max="6" width="13.42578125" style="13" bestFit="1" customWidth="1"/>
    <col min="7" max="7" width="11.28515625" style="13" bestFit="1" customWidth="1"/>
    <col min="8" max="8" width="7.5703125" style="13" bestFit="1" customWidth="1"/>
    <col min="9" max="9" width="8.5703125" style="13" bestFit="1" customWidth="1"/>
    <col min="10" max="10" width="13.42578125" style="13" bestFit="1" customWidth="1"/>
    <col min="11" max="11" width="11.28515625" style="13" bestFit="1" customWidth="1"/>
    <col min="12" max="12" width="7.140625" style="13" customWidth="1"/>
    <col min="13" max="13" width="8.5703125" style="13" bestFit="1" customWidth="1"/>
    <col min="14" max="14" width="13.42578125" style="13" bestFit="1" customWidth="1"/>
    <col min="15" max="15" width="12" style="13" customWidth="1"/>
    <col min="16" max="16" width="9.7109375" style="13" customWidth="1"/>
    <col min="17" max="17" width="9.140625" style="13" customWidth="1"/>
    <col min="18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291</v>
      </c>
    </row>
    <row r="5" spans="1:15" ht="15">
      <c r="A5" s="1"/>
    </row>
    <row r="6" spans="1:15">
      <c r="A6" s="13" t="s">
        <v>217</v>
      </c>
    </row>
    <row r="7" spans="1:15">
      <c r="A7" s="13" t="s">
        <v>218</v>
      </c>
    </row>
    <row r="8" spans="1:15" ht="15" thickBot="1">
      <c r="B8" s="13"/>
      <c r="C8" s="13"/>
    </row>
    <row r="9" spans="1:15" s="156" customFormat="1" ht="41.25" customHeight="1" thickBot="1">
      <c r="A9" s="887" t="str">
        <f>'10_UNIDADES_+_demandadas_2023'!A7</f>
        <v>Secretaria Municipal de Assistência e Desenvolvimento Social</v>
      </c>
      <c r="B9" s="887"/>
      <c r="C9" s="887"/>
      <c r="E9" s="887" t="str">
        <f>'10_UNIDADES_+_demandadas_2023'!A8</f>
        <v>Secretaria Municipal das Subprefeituras</v>
      </c>
      <c r="F9" s="887"/>
      <c r="G9" s="887"/>
      <c r="I9" s="887" t="str">
        <f>'10_UNIDADES_+_demandadas_2023'!A9</f>
        <v>Secretaria Municipal da Saúde</v>
      </c>
      <c r="J9" s="887"/>
      <c r="K9" s="887"/>
      <c r="M9" s="887" t="str">
        <f>'10_UNIDADES_+_demandadas_2023'!A10</f>
        <v>Companhia de Engenharia de Tráfego - CET</v>
      </c>
      <c r="N9" s="887"/>
      <c r="O9" s="887"/>
    </row>
    <row r="10" spans="1:15" ht="15.75" thickBot="1">
      <c r="A10" s="4" t="s">
        <v>2</v>
      </c>
      <c r="B10" s="4" t="s">
        <v>219</v>
      </c>
      <c r="C10" s="4" t="s">
        <v>220</v>
      </c>
      <c r="E10" s="5" t="s">
        <v>2</v>
      </c>
      <c r="F10" s="4" t="s">
        <v>219</v>
      </c>
      <c r="G10" s="4" t="s">
        <v>220</v>
      </c>
      <c r="I10" s="4" t="s">
        <v>2</v>
      </c>
      <c r="J10" s="4" t="s">
        <v>219</v>
      </c>
      <c r="K10" s="4" t="s">
        <v>220</v>
      </c>
      <c r="M10" s="5" t="s">
        <v>2</v>
      </c>
      <c r="N10" s="5" t="s">
        <v>219</v>
      </c>
      <c r="O10" s="5" t="s">
        <v>220</v>
      </c>
    </row>
    <row r="11" spans="1:15" ht="15">
      <c r="A11" s="158">
        <v>44927</v>
      </c>
      <c r="B11" s="235">
        <f>'10_UNIDADES_+_demandadas_2023'!M7</f>
        <v>564</v>
      </c>
      <c r="C11" s="236">
        <f>((B11-424)/424)*100</f>
        <v>33.018867924528301</v>
      </c>
      <c r="E11" s="158">
        <v>44927</v>
      </c>
      <c r="F11" s="235">
        <f>'10_UNIDADES_+_demandadas_2023'!M8</f>
        <v>545</v>
      </c>
      <c r="G11" s="236">
        <f>((F11-454)/454)*100</f>
        <v>20.044052863436125</v>
      </c>
      <c r="I11" s="158">
        <v>44927</v>
      </c>
      <c r="J11" s="235">
        <f>'10_UNIDADES_+_demandadas_2023'!M9</f>
        <v>343</v>
      </c>
      <c r="K11" s="236">
        <f>((J11-251)/251)*100</f>
        <v>36.65338645418327</v>
      </c>
      <c r="M11" s="158">
        <v>44927</v>
      </c>
      <c r="N11" s="160">
        <f>'10_UNIDADES_+_demandadas_2023'!M10</f>
        <v>327</v>
      </c>
      <c r="O11" s="237">
        <f>((N11-263)/263)*100</f>
        <v>24.334600760456272</v>
      </c>
    </row>
    <row r="12" spans="1:15" ht="15">
      <c r="A12" s="161">
        <v>44958</v>
      </c>
      <c r="B12" s="238">
        <f>'10_UNIDADES_+_demandadas_2023'!L7</f>
        <v>527</v>
      </c>
      <c r="C12" s="239">
        <f t="shared" ref="C12:C18" si="0">((B12-B11)/B11)*100</f>
        <v>-6.5602836879432624</v>
      </c>
      <c r="E12" s="161">
        <v>44958</v>
      </c>
      <c r="F12" s="238">
        <f>'10_UNIDADES_+_demandadas_2023'!L8</f>
        <v>536</v>
      </c>
      <c r="G12" s="239">
        <f t="shared" ref="G12:G17" si="1">((F12-F11)/F11)*100</f>
        <v>-1.6513761467889909</v>
      </c>
      <c r="I12" s="161">
        <v>44958</v>
      </c>
      <c r="J12" s="238">
        <f>'10_UNIDADES_+_demandadas_2023'!L9</f>
        <v>318</v>
      </c>
      <c r="K12" s="239">
        <f t="shared" ref="K12:K17" si="2">((J12-J11)/J11)*100</f>
        <v>-7.2886297376093294</v>
      </c>
      <c r="M12" s="161">
        <v>44958</v>
      </c>
      <c r="N12" s="162">
        <f>'10_UNIDADES_+_demandadas_2023'!L10</f>
        <v>330</v>
      </c>
      <c r="O12" s="9">
        <f t="shared" ref="O12:O17" si="3">((N12-N11)/N11)*100</f>
        <v>0.91743119266055051</v>
      </c>
    </row>
    <row r="13" spans="1:15" ht="15">
      <c r="A13" s="161">
        <v>44986</v>
      </c>
      <c r="B13" s="238">
        <f>'10_UNIDADES_+_demandadas_2023'!K7</f>
        <v>886</v>
      </c>
      <c r="C13" s="239">
        <f t="shared" si="0"/>
        <v>68.121442125237195</v>
      </c>
      <c r="E13" s="161">
        <v>44986</v>
      </c>
      <c r="F13" s="238">
        <f>'10_UNIDADES_+_demandadas_2023'!K8</f>
        <v>573</v>
      </c>
      <c r="G13" s="239">
        <f t="shared" si="1"/>
        <v>6.9029850746268657</v>
      </c>
      <c r="I13" s="161">
        <v>44986</v>
      </c>
      <c r="J13" s="238">
        <f>'10_UNIDADES_+_demandadas_2023'!K9</f>
        <v>373</v>
      </c>
      <c r="K13" s="239">
        <f t="shared" si="2"/>
        <v>17.29559748427673</v>
      </c>
      <c r="M13" s="161">
        <v>44986</v>
      </c>
      <c r="N13" s="162">
        <f>'10_UNIDADES_+_demandadas_2023'!K10</f>
        <v>299</v>
      </c>
      <c r="O13" s="9">
        <f t="shared" si="3"/>
        <v>-9.3939393939393927</v>
      </c>
    </row>
    <row r="14" spans="1:15" ht="15">
      <c r="A14" s="161">
        <v>45017</v>
      </c>
      <c r="B14" s="238">
        <f>'10_UNIDADES_+_demandadas_2023'!J$7</f>
        <v>1034</v>
      </c>
      <c r="C14" s="239">
        <f t="shared" si="0"/>
        <v>16.704288939051921</v>
      </c>
      <c r="E14" s="161">
        <v>45017</v>
      </c>
      <c r="F14" s="238">
        <f>'10_UNIDADES_+_demandadas_2023'!J$8</f>
        <v>572</v>
      </c>
      <c r="G14" s="239">
        <f t="shared" si="1"/>
        <v>-0.17452006980802792</v>
      </c>
      <c r="I14" s="161">
        <v>45017</v>
      </c>
      <c r="J14" s="238">
        <f>'10_UNIDADES_+_demandadas_2023'!J$9</f>
        <v>332</v>
      </c>
      <c r="K14" s="239">
        <f t="shared" si="2"/>
        <v>-10.991957104557642</v>
      </c>
      <c r="M14" s="161">
        <v>45017</v>
      </c>
      <c r="N14" s="162">
        <f>'10_UNIDADES_+_demandadas_2023'!J$10</f>
        <v>231</v>
      </c>
      <c r="O14" s="9">
        <f t="shared" si="3"/>
        <v>-22.742474916387959</v>
      </c>
    </row>
    <row r="15" spans="1:15" ht="15">
      <c r="A15" s="161">
        <v>45047</v>
      </c>
      <c r="B15" s="238">
        <f>'10_UNIDADES_+_demandadas_2023'!I$7</f>
        <v>878</v>
      </c>
      <c r="C15" s="239">
        <f t="shared" si="0"/>
        <v>-15.087040618955513</v>
      </c>
      <c r="E15" s="161">
        <v>45047</v>
      </c>
      <c r="F15" s="238">
        <f>'10_UNIDADES_+_demandadas_2023'!I$8</f>
        <v>704</v>
      </c>
      <c r="G15" s="239">
        <f t="shared" si="1"/>
        <v>23.076923076923077</v>
      </c>
      <c r="I15" s="161">
        <v>45047</v>
      </c>
      <c r="J15" s="238">
        <f>'10_UNIDADES_+_demandadas_2023'!I$9</f>
        <v>427</v>
      </c>
      <c r="K15" s="239">
        <f t="shared" si="2"/>
        <v>28.614457831325304</v>
      </c>
      <c r="M15" s="161">
        <v>45047</v>
      </c>
      <c r="N15" s="162">
        <f>'10_UNIDADES_+_demandadas_2023'!I$10</f>
        <v>279</v>
      </c>
      <c r="O15" s="9">
        <f t="shared" si="3"/>
        <v>20.779220779220779</v>
      </c>
    </row>
    <row r="16" spans="1:15" ht="15">
      <c r="A16" s="161">
        <v>45078</v>
      </c>
      <c r="B16" s="238">
        <f>'10_UNIDADES_+_demandadas_2023'!H$7</f>
        <v>784</v>
      </c>
      <c r="C16" s="239">
        <f t="shared" si="0"/>
        <v>-10.70615034168565</v>
      </c>
      <c r="E16" s="161">
        <v>45078</v>
      </c>
      <c r="F16" s="238">
        <f>'10_UNIDADES_+_demandadas_2023'!H$8</f>
        <v>737</v>
      </c>
      <c r="G16" s="239">
        <f t="shared" si="1"/>
        <v>4.6875</v>
      </c>
      <c r="I16" s="161">
        <v>45078</v>
      </c>
      <c r="J16" s="238">
        <f>'10_UNIDADES_+_demandadas_2023'!H$9</f>
        <v>343</v>
      </c>
      <c r="K16" s="239">
        <f t="shared" si="2"/>
        <v>-19.672131147540984</v>
      </c>
      <c r="M16" s="161">
        <v>45078</v>
      </c>
      <c r="N16" s="162">
        <f>'10_UNIDADES_+_demandadas_2023'!H$10</f>
        <v>272</v>
      </c>
      <c r="O16" s="9">
        <f t="shared" si="3"/>
        <v>-2.5089605734767026</v>
      </c>
    </row>
    <row r="17" spans="1:15" ht="15">
      <c r="A17" s="161">
        <v>45108</v>
      </c>
      <c r="B17" s="238">
        <f>'10_UNIDADES_+_demandadas_2023'!G$7</f>
        <v>485</v>
      </c>
      <c r="C17" s="239">
        <f t="shared" si="0"/>
        <v>-38.137755102040813</v>
      </c>
      <c r="E17" s="161">
        <v>45108</v>
      </c>
      <c r="F17" s="238">
        <f>'10_UNIDADES_+_demandadas_2023'!G$8</f>
        <v>734</v>
      </c>
      <c r="G17" s="239">
        <f t="shared" si="1"/>
        <v>-0.40705563093622793</v>
      </c>
      <c r="I17" s="161">
        <v>45108</v>
      </c>
      <c r="J17" s="238">
        <f>'10_UNIDADES_+_demandadas_2023'!G$9</f>
        <v>342</v>
      </c>
      <c r="K17" s="239">
        <f t="shared" si="2"/>
        <v>-0.29154518950437319</v>
      </c>
      <c r="M17" s="161">
        <v>45108</v>
      </c>
      <c r="N17" s="162">
        <f>'10_UNIDADES_+_demandadas_2023'!G$10</f>
        <v>244</v>
      </c>
      <c r="O17" s="9">
        <f t="shared" si="3"/>
        <v>-10.294117647058822</v>
      </c>
    </row>
    <row r="18" spans="1:15" ht="15">
      <c r="A18" s="161">
        <v>45139</v>
      </c>
      <c r="B18" s="238">
        <f>'10_UNIDADES_+_demandadas_2023'!F$7</f>
        <v>632</v>
      </c>
      <c r="C18" s="239">
        <f t="shared" si="0"/>
        <v>30.309278350515463</v>
      </c>
      <c r="E18" s="161">
        <v>45139</v>
      </c>
      <c r="F18" s="238">
        <f>'10_UNIDADES_+_demandadas_2023'!F$8</f>
        <v>700</v>
      </c>
      <c r="G18" s="239">
        <f t="shared" ref="G18" si="4">((F18-F17)/F17)*100</f>
        <v>-4.6321525885558579</v>
      </c>
      <c r="I18" s="161">
        <v>45139</v>
      </c>
      <c r="J18" s="238">
        <f>'10_UNIDADES_+_demandadas_2023'!F$9</f>
        <v>374</v>
      </c>
      <c r="K18" s="239">
        <f t="shared" ref="K18" si="5">((J18-J17)/J17)*100</f>
        <v>9.3567251461988299</v>
      </c>
      <c r="M18" s="161">
        <v>45139</v>
      </c>
      <c r="N18" s="162">
        <f>'10_UNIDADES_+_demandadas_2023'!F$10</f>
        <v>324</v>
      </c>
      <c r="O18" s="9">
        <f t="shared" ref="O18" si="6">((N18-N17)/N17)*100</f>
        <v>32.786885245901637</v>
      </c>
    </row>
    <row r="19" spans="1:15" ht="15">
      <c r="A19" s="161">
        <v>45170</v>
      </c>
      <c r="B19" s="238"/>
      <c r="C19" s="239"/>
      <c r="E19" s="161">
        <v>45170</v>
      </c>
      <c r="F19" s="238"/>
      <c r="G19" s="239"/>
      <c r="I19" s="161">
        <v>45170</v>
      </c>
      <c r="J19" s="238"/>
      <c r="K19" s="239"/>
      <c r="M19" s="161">
        <v>45170</v>
      </c>
      <c r="N19" s="162"/>
      <c r="O19" s="9"/>
    </row>
    <row r="20" spans="1:15" ht="15">
      <c r="A20" s="161">
        <v>45200</v>
      </c>
      <c r="B20" s="238"/>
      <c r="C20" s="239"/>
      <c r="E20" s="161">
        <v>45200</v>
      </c>
      <c r="F20" s="238"/>
      <c r="G20" s="239"/>
      <c r="I20" s="161">
        <v>45200</v>
      </c>
      <c r="J20" s="238"/>
      <c r="K20" s="239"/>
      <c r="M20" s="161">
        <v>45200</v>
      </c>
      <c r="N20" s="162"/>
      <c r="O20" s="9"/>
    </row>
    <row r="21" spans="1:15" ht="15">
      <c r="A21" s="161">
        <v>45231</v>
      </c>
      <c r="B21" s="238"/>
      <c r="C21" s="239"/>
      <c r="E21" s="161">
        <v>45231</v>
      </c>
      <c r="F21" s="238"/>
      <c r="G21" s="239"/>
      <c r="I21" s="161">
        <v>45231</v>
      </c>
      <c r="J21" s="238"/>
      <c r="K21" s="239"/>
      <c r="M21" s="161">
        <v>45231</v>
      </c>
      <c r="N21" s="162"/>
      <c r="O21" s="9"/>
    </row>
    <row r="22" spans="1:15" ht="15.75" thickBot="1">
      <c r="A22" s="164">
        <v>45261</v>
      </c>
      <c r="B22" s="240"/>
      <c r="C22" s="241"/>
      <c r="E22" s="164">
        <v>45261</v>
      </c>
      <c r="F22" s="240"/>
      <c r="G22" s="241"/>
      <c r="I22" s="164">
        <v>45261</v>
      </c>
      <c r="J22" s="240"/>
      <c r="K22" s="241"/>
      <c r="M22" s="164">
        <v>45261</v>
      </c>
      <c r="N22" s="242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30.75" customHeight="1" thickBot="1">
      <c r="A25" s="887" t="str">
        <f>'10_UNIDADES_+_demandadas_2023'!A11</f>
        <v>Secretaria Municipal da Fazenda</v>
      </c>
      <c r="B25" s="887"/>
      <c r="C25" s="887"/>
      <c r="E25" s="887" t="str">
        <f>'10_UNIDADES_+_demandadas_2023'!A12</f>
        <v>Secretaria Executiva de Limpeza Urbana**</v>
      </c>
      <c r="F25" s="887"/>
      <c r="G25" s="887"/>
      <c r="I25" s="887" t="str">
        <f>'10_UNIDADES_+_demandadas_2023'!A13</f>
        <v>São Paulo Transportes - SPTRANS</v>
      </c>
      <c r="J25" s="887"/>
      <c r="K25" s="887"/>
      <c r="M25" s="887" t="str">
        <f>'10_UNIDADES_+_demandadas_2023'!A14</f>
        <v>Secretaria Municipal de Educação</v>
      </c>
      <c r="N25" s="887"/>
      <c r="O25" s="887"/>
    </row>
    <row r="26" spans="1:15" ht="15.75" thickBot="1">
      <c r="A26" s="4" t="s">
        <v>2</v>
      </c>
      <c r="B26" s="5" t="s">
        <v>219</v>
      </c>
      <c r="C26" s="5" t="s">
        <v>220</v>
      </c>
      <c r="E26" s="5" t="s">
        <v>2</v>
      </c>
      <c r="F26" s="5" t="s">
        <v>219</v>
      </c>
      <c r="G26" s="5" t="s">
        <v>220</v>
      </c>
      <c r="I26" s="4" t="s">
        <v>2</v>
      </c>
      <c r="J26" s="5" t="s">
        <v>219</v>
      </c>
      <c r="K26" s="5" t="s">
        <v>220</v>
      </c>
      <c r="M26" s="243" t="s">
        <v>2</v>
      </c>
      <c r="N26" s="5" t="s">
        <v>219</v>
      </c>
      <c r="O26" s="5" t="s">
        <v>220</v>
      </c>
    </row>
    <row r="27" spans="1:15" ht="15">
      <c r="A27" s="158">
        <v>44927</v>
      </c>
      <c r="B27" s="160">
        <f>'10_UNIDADES_+_demandadas_2023'!M11</f>
        <v>328</v>
      </c>
      <c r="C27" s="237">
        <f>((B27-213)/213)*100</f>
        <v>53.990610328638496</v>
      </c>
      <c r="E27" s="158">
        <v>44927</v>
      </c>
      <c r="F27" s="160">
        <f>'10_UNIDADES_+_demandadas_2023'!M12</f>
        <v>247</v>
      </c>
      <c r="G27" s="237">
        <f>((F27-242)/242)*100</f>
        <v>2.0661157024793391</v>
      </c>
      <c r="I27" s="158">
        <v>44927</v>
      </c>
      <c r="J27" s="160">
        <f>'10_UNIDADES_+_demandadas_2023'!M13</f>
        <v>140</v>
      </c>
      <c r="K27" s="237">
        <f>((J27-135)/135)*100</f>
        <v>3.7037037037037033</v>
      </c>
      <c r="M27" s="158">
        <v>44927</v>
      </c>
      <c r="N27" s="160">
        <f>'10_UNIDADES_+_demandadas_2023'!M14</f>
        <v>131</v>
      </c>
      <c r="O27" s="237">
        <f>((N27-112)/112)*100</f>
        <v>16.964285714285715</v>
      </c>
    </row>
    <row r="28" spans="1:15" ht="15">
      <c r="A28" s="161">
        <v>44958</v>
      </c>
      <c r="B28" s="162">
        <f>'10_UNIDADES_+_demandadas_2023'!L11</f>
        <v>292</v>
      </c>
      <c r="C28" s="9">
        <f t="shared" ref="C28:C33" si="7">((B28-B27)/B27)*100</f>
        <v>-10.975609756097562</v>
      </c>
      <c r="E28" s="161">
        <v>44958</v>
      </c>
      <c r="F28" s="162">
        <f>'10_UNIDADES_+_demandadas_2023'!L12</f>
        <v>286</v>
      </c>
      <c r="G28" s="9">
        <f t="shared" ref="G28:G33" si="8">((F28-F27)/F27)*100</f>
        <v>15.789473684210526</v>
      </c>
      <c r="I28" s="161">
        <v>44958</v>
      </c>
      <c r="J28" s="162">
        <f>'10_UNIDADES_+_demandadas_2023'!L13</f>
        <v>204</v>
      </c>
      <c r="K28" s="9">
        <f t="shared" ref="K28:K33" si="9">((J28-J27)/J27)*100</f>
        <v>45.714285714285715</v>
      </c>
      <c r="M28" s="161">
        <v>44958</v>
      </c>
      <c r="N28" s="162">
        <f>'10_UNIDADES_+_demandadas_2023'!L14</f>
        <v>377</v>
      </c>
      <c r="O28" s="9">
        <f t="shared" ref="O28:O33" si="10">((N28-N27)/N27)*100</f>
        <v>187.78625954198475</v>
      </c>
    </row>
    <row r="29" spans="1:15" ht="15">
      <c r="A29" s="161">
        <v>44986</v>
      </c>
      <c r="B29" s="162">
        <f>'10_UNIDADES_+_demandadas_2023'!K11</f>
        <v>306</v>
      </c>
      <c r="C29" s="9">
        <f t="shared" si="7"/>
        <v>4.7945205479452051</v>
      </c>
      <c r="E29" s="161">
        <v>44986</v>
      </c>
      <c r="F29" s="162">
        <f>'10_UNIDADES_+_demandadas_2023'!K12</f>
        <v>318</v>
      </c>
      <c r="G29" s="9">
        <f t="shared" si="8"/>
        <v>11.188811188811188</v>
      </c>
      <c r="I29" s="161">
        <v>44986</v>
      </c>
      <c r="J29" s="162">
        <f>'10_UNIDADES_+_demandadas_2023'!K13</f>
        <v>333</v>
      </c>
      <c r="K29" s="9">
        <f t="shared" si="9"/>
        <v>63.235294117647058</v>
      </c>
      <c r="M29" s="161">
        <v>44986</v>
      </c>
      <c r="N29" s="162">
        <f>'10_UNIDADES_+_demandadas_2023'!K14</f>
        <v>326</v>
      </c>
      <c r="O29" s="9">
        <f t="shared" si="10"/>
        <v>-13.527851458885943</v>
      </c>
    </row>
    <row r="30" spans="1:15" ht="15">
      <c r="A30" s="161">
        <v>45017</v>
      </c>
      <c r="B30" s="162">
        <f>'10_UNIDADES_+_demandadas_2023'!J$11</f>
        <v>222</v>
      </c>
      <c r="C30" s="9">
        <f t="shared" si="7"/>
        <v>-27.450980392156865</v>
      </c>
      <c r="E30" s="161">
        <v>45017</v>
      </c>
      <c r="F30" s="162">
        <f>'10_UNIDADES_+_demandadas_2023'!J$12</f>
        <v>247</v>
      </c>
      <c r="G30" s="9">
        <f t="shared" si="8"/>
        <v>-22.327044025157232</v>
      </c>
      <c r="I30" s="161">
        <v>45017</v>
      </c>
      <c r="J30" s="162">
        <f>'10_UNIDADES_+_demandadas_2023'!J$13</f>
        <v>238</v>
      </c>
      <c r="K30" s="9">
        <f t="shared" si="9"/>
        <v>-28.528528528528529</v>
      </c>
      <c r="M30" s="161">
        <v>45017</v>
      </c>
      <c r="N30" s="162">
        <f>'10_UNIDADES_+_demandadas_2023'!J$14</f>
        <v>183</v>
      </c>
      <c r="O30" s="9">
        <f t="shared" si="10"/>
        <v>-43.865030674846629</v>
      </c>
    </row>
    <row r="31" spans="1:15" ht="15">
      <c r="A31" s="161">
        <v>45047</v>
      </c>
      <c r="B31" s="162">
        <f>'10_UNIDADES_+_demandadas_2023'!I$11</f>
        <v>278</v>
      </c>
      <c r="C31" s="9">
        <f t="shared" si="7"/>
        <v>25.225225225225223</v>
      </c>
      <c r="E31" s="161">
        <v>45047</v>
      </c>
      <c r="F31" s="162">
        <f>'10_UNIDADES_+_demandadas_2023'!I$12</f>
        <v>269</v>
      </c>
      <c r="G31" s="9">
        <f t="shared" si="8"/>
        <v>8.9068825910931171</v>
      </c>
      <c r="I31" s="161">
        <v>45047</v>
      </c>
      <c r="J31" s="162">
        <f>'10_UNIDADES_+_demandadas_2023'!I$13</f>
        <v>285</v>
      </c>
      <c r="K31" s="9">
        <f t="shared" si="9"/>
        <v>19.747899159663866</v>
      </c>
      <c r="M31" s="161">
        <v>45047</v>
      </c>
      <c r="N31" s="162">
        <f>'10_UNIDADES_+_demandadas_2023'!I$14</f>
        <v>206</v>
      </c>
      <c r="O31" s="9">
        <f t="shared" si="10"/>
        <v>12.568306010928962</v>
      </c>
    </row>
    <row r="32" spans="1:15" ht="15">
      <c r="A32" s="161">
        <v>45078</v>
      </c>
      <c r="B32" s="162">
        <f>'10_UNIDADES_+_demandadas_2023'!H$11</f>
        <v>242</v>
      </c>
      <c r="C32" s="9">
        <f t="shared" si="7"/>
        <v>-12.949640287769784</v>
      </c>
      <c r="E32" s="161">
        <v>45078</v>
      </c>
      <c r="F32" s="162">
        <f>'10_UNIDADES_+_demandadas_2023'!H$12</f>
        <v>272</v>
      </c>
      <c r="G32" s="9">
        <f t="shared" si="8"/>
        <v>1.1152416356877324</v>
      </c>
      <c r="I32" s="161">
        <v>45078</v>
      </c>
      <c r="J32" s="162">
        <f>'10_UNIDADES_+_demandadas_2023'!H$13</f>
        <v>210</v>
      </c>
      <c r="K32" s="9">
        <f t="shared" si="9"/>
        <v>-26.315789473684209</v>
      </c>
      <c r="M32" s="161">
        <v>45078</v>
      </c>
      <c r="N32" s="162">
        <f>'10_UNIDADES_+_demandadas_2023'!H$14</f>
        <v>161</v>
      </c>
      <c r="O32" s="9">
        <f t="shared" si="10"/>
        <v>-21.844660194174757</v>
      </c>
    </row>
    <row r="33" spans="1:15" ht="15">
      <c r="A33" s="161">
        <v>45108</v>
      </c>
      <c r="B33" s="162">
        <f>'10_UNIDADES_+_demandadas_2023'!G$11</f>
        <v>298</v>
      </c>
      <c r="C33" s="9">
        <f t="shared" si="7"/>
        <v>23.140495867768596</v>
      </c>
      <c r="E33" s="161">
        <v>45108</v>
      </c>
      <c r="F33" s="162">
        <f>'10_UNIDADES_+_demandadas_2023'!G$12</f>
        <v>174</v>
      </c>
      <c r="G33" s="9">
        <f t="shared" si="8"/>
        <v>-36.029411764705884</v>
      </c>
      <c r="I33" s="161">
        <v>45108</v>
      </c>
      <c r="J33" s="162">
        <f>'10_UNIDADES_+_demandadas_2023'!G$13</f>
        <v>207</v>
      </c>
      <c r="K33" s="9">
        <f t="shared" si="9"/>
        <v>-1.4285714285714286</v>
      </c>
      <c r="M33" s="161">
        <v>45108</v>
      </c>
      <c r="N33" s="162">
        <f>'10_UNIDADES_+_demandadas_2023'!G$14</f>
        <v>164</v>
      </c>
      <c r="O33" s="9">
        <f t="shared" si="10"/>
        <v>1.8633540372670807</v>
      </c>
    </row>
    <row r="34" spans="1:15" ht="15">
      <c r="A34" s="161">
        <v>45139</v>
      </c>
      <c r="B34" s="162">
        <f>'10_UNIDADES_+_demandadas_2023'!F$11</f>
        <v>263</v>
      </c>
      <c r="C34" s="9">
        <f t="shared" ref="C34" si="11">((B34-B33)/B33)*100</f>
        <v>-11.74496644295302</v>
      </c>
      <c r="E34" s="161">
        <v>45139</v>
      </c>
      <c r="F34" s="162">
        <f>'10_UNIDADES_+_demandadas_2023'!F$12</f>
        <v>222</v>
      </c>
      <c r="G34" s="9">
        <f t="shared" ref="G34" si="12">((F34-F33)/F33)*100</f>
        <v>27.586206896551722</v>
      </c>
      <c r="I34" s="161">
        <v>45139</v>
      </c>
      <c r="J34" s="162">
        <f>'10_UNIDADES_+_demandadas_2023'!F$13</f>
        <v>261</v>
      </c>
      <c r="K34" s="9">
        <f t="shared" ref="K34" si="13">((J34-J33)/J33)*100</f>
        <v>26.086956521739129</v>
      </c>
      <c r="M34" s="161">
        <v>45139</v>
      </c>
      <c r="N34" s="162">
        <f>'10_UNIDADES_+_demandadas_2023'!F$14</f>
        <v>215</v>
      </c>
      <c r="O34" s="9">
        <f t="shared" ref="O34" si="14">((N34-N33)/N33)*100</f>
        <v>31.097560975609756</v>
      </c>
    </row>
    <row r="35" spans="1:15" ht="15">
      <c r="A35" s="161">
        <v>45170</v>
      </c>
      <c r="B35" s="162"/>
      <c r="C35" s="9"/>
      <c r="E35" s="161">
        <v>45170</v>
      </c>
      <c r="F35" s="162"/>
      <c r="G35" s="9"/>
      <c r="I35" s="161">
        <v>45170</v>
      </c>
      <c r="J35" s="162"/>
      <c r="K35" s="9"/>
      <c r="M35" s="161">
        <v>45170</v>
      </c>
      <c r="N35" s="162"/>
      <c r="O35" s="9"/>
    </row>
    <row r="36" spans="1:15" ht="15">
      <c r="A36" s="161">
        <v>45200</v>
      </c>
      <c r="B36" s="162"/>
      <c r="C36" s="9"/>
      <c r="E36" s="161">
        <v>45200</v>
      </c>
      <c r="F36" s="162"/>
      <c r="G36" s="9"/>
      <c r="I36" s="161">
        <v>45200</v>
      </c>
      <c r="J36" s="162"/>
      <c r="K36" s="9"/>
      <c r="M36" s="161">
        <v>45200</v>
      </c>
      <c r="N36" s="162"/>
      <c r="O36" s="9"/>
    </row>
    <row r="37" spans="1:15" ht="15">
      <c r="A37" s="161">
        <v>45231</v>
      </c>
      <c r="B37" s="162"/>
      <c r="C37" s="9"/>
      <c r="E37" s="161">
        <v>45231</v>
      </c>
      <c r="F37" s="163"/>
      <c r="G37" s="9"/>
      <c r="I37" s="161">
        <v>45231</v>
      </c>
      <c r="J37" s="162"/>
      <c r="K37" s="9"/>
      <c r="M37" s="161">
        <v>45231</v>
      </c>
      <c r="N37" s="162"/>
      <c r="O37" s="9"/>
    </row>
    <row r="38" spans="1:15" ht="15.75" thickBot="1">
      <c r="A38" s="164">
        <v>45261</v>
      </c>
      <c r="B38" s="242"/>
      <c r="C38" s="19"/>
      <c r="E38" s="164">
        <v>45261</v>
      </c>
      <c r="F38" s="166"/>
      <c r="G38" s="19"/>
      <c r="I38" s="164">
        <v>45261</v>
      </c>
      <c r="J38" s="242"/>
      <c r="K38" s="19"/>
      <c r="M38" s="164">
        <v>45261</v>
      </c>
      <c r="N38" s="242"/>
      <c r="O38" s="19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887" t="str">
        <f>'10_UNIDADES_+_demandadas_2023'!A15</f>
        <v>Órgão externo</v>
      </c>
      <c r="B41" s="887"/>
      <c r="C41" s="887"/>
      <c r="E41" s="887" t="str">
        <f>'10_UNIDADES_+_demandadas_2023'!A16</f>
        <v>Subprefeitura Lapa</v>
      </c>
      <c r="F41" s="887"/>
      <c r="G41" s="887"/>
    </row>
    <row r="42" spans="1:15" ht="15.75" thickBot="1">
      <c r="A42" s="243" t="s">
        <v>2</v>
      </c>
      <c r="B42" s="5" t="s">
        <v>219</v>
      </c>
      <c r="C42" s="5" t="s">
        <v>220</v>
      </c>
      <c r="E42" s="4" t="s">
        <v>2</v>
      </c>
      <c r="F42" s="5" t="s">
        <v>219</v>
      </c>
      <c r="G42" s="5" t="s">
        <v>220</v>
      </c>
    </row>
    <row r="43" spans="1:15" ht="15">
      <c r="A43" s="158">
        <v>44927</v>
      </c>
      <c r="B43" s="160">
        <f>'10_UNIDADES_+_demandadas_2023'!M15</f>
        <v>84</v>
      </c>
      <c r="C43" s="237">
        <f>((B43-76)/76)*100</f>
        <v>10.526315789473683</v>
      </c>
      <c r="E43" s="158">
        <v>44927</v>
      </c>
      <c r="F43" s="160">
        <f>'10_UNIDADES_+_demandadas_2023'!M16</f>
        <v>70</v>
      </c>
      <c r="G43" s="237">
        <f>((F43-55)/55)*100</f>
        <v>27.27272727272727</v>
      </c>
    </row>
    <row r="44" spans="1:15" ht="15">
      <c r="A44" s="161">
        <v>44958</v>
      </c>
      <c r="B44" s="162">
        <f>'10_UNIDADES_+_demandadas_2023'!L15</f>
        <v>72</v>
      </c>
      <c r="C44" s="9">
        <f t="shared" ref="C44:C49" si="15">((B44-B43)/B43)*100</f>
        <v>-14.285714285714285</v>
      </c>
      <c r="E44" s="161">
        <v>44958</v>
      </c>
      <c r="F44" s="162">
        <f>'10_UNIDADES_+_demandadas_2023'!L16</f>
        <v>71</v>
      </c>
      <c r="G44" s="9">
        <f t="shared" ref="G44:G49" si="16">((F44-F43)/F43)*100</f>
        <v>1.4285714285714286</v>
      </c>
    </row>
    <row r="45" spans="1:15" ht="15">
      <c r="A45" s="161">
        <v>44986</v>
      </c>
      <c r="B45" s="162">
        <f>'10_UNIDADES_+_demandadas_2023'!K15</f>
        <v>89</v>
      </c>
      <c r="C45" s="9">
        <f t="shared" si="15"/>
        <v>23.611111111111111</v>
      </c>
      <c r="E45" s="161">
        <v>44986</v>
      </c>
      <c r="F45" s="162">
        <f>'10_UNIDADES_+_demandadas_2023'!K16</f>
        <v>140</v>
      </c>
      <c r="G45" s="9">
        <f t="shared" si="16"/>
        <v>97.183098591549296</v>
      </c>
    </row>
    <row r="46" spans="1:15" ht="15">
      <c r="A46" s="161">
        <v>45017</v>
      </c>
      <c r="B46" s="162">
        <f>'10_UNIDADES_+_demandadas_2023'!J$15</f>
        <v>76</v>
      </c>
      <c r="C46" s="9">
        <f t="shared" si="15"/>
        <v>-14.606741573033707</v>
      </c>
      <c r="E46" s="161">
        <v>45017</v>
      </c>
      <c r="F46" s="162">
        <f>'10_UNIDADES_+_demandadas_2023'!J$16</f>
        <v>91</v>
      </c>
      <c r="G46" s="9">
        <f t="shared" si="16"/>
        <v>-35</v>
      </c>
    </row>
    <row r="47" spans="1:15" ht="15">
      <c r="A47" s="161">
        <v>45047</v>
      </c>
      <c r="B47" s="162">
        <f>'10_UNIDADES_+_demandadas_2023'!I$15</f>
        <v>107</v>
      </c>
      <c r="C47" s="9">
        <f t="shared" si="15"/>
        <v>40.789473684210527</v>
      </c>
      <c r="E47" s="161">
        <v>45047</v>
      </c>
      <c r="F47" s="162">
        <f>'10_UNIDADES_+_demandadas_2023'!I$16</f>
        <v>125</v>
      </c>
      <c r="G47" s="9">
        <f t="shared" si="16"/>
        <v>37.362637362637365</v>
      </c>
    </row>
    <row r="48" spans="1:15" ht="15">
      <c r="A48" s="161">
        <v>45078</v>
      </c>
      <c r="B48" s="162">
        <f>'10_UNIDADES_+_demandadas_2023'!H$15</f>
        <v>82</v>
      </c>
      <c r="C48" s="9">
        <f t="shared" si="15"/>
        <v>-23.364485981308412</v>
      </c>
      <c r="E48" s="161">
        <v>45078</v>
      </c>
      <c r="F48" s="162">
        <f>'10_UNIDADES_+_demandadas_2023'!H$16</f>
        <v>82</v>
      </c>
      <c r="G48" s="9">
        <f t="shared" si="16"/>
        <v>-34.4</v>
      </c>
    </row>
    <row r="49" spans="1:7" ht="15">
      <c r="A49" s="161">
        <v>45108</v>
      </c>
      <c r="B49" s="162">
        <f>'10_UNIDADES_+_demandadas_2023'!G$15</f>
        <v>118</v>
      </c>
      <c r="C49" s="9">
        <f t="shared" si="15"/>
        <v>43.902439024390247</v>
      </c>
      <c r="E49" s="161">
        <v>45108</v>
      </c>
      <c r="F49" s="162">
        <f>'10_UNIDADES_+_demandadas_2023'!G$16</f>
        <v>80</v>
      </c>
      <c r="G49" s="9">
        <f t="shared" si="16"/>
        <v>-2.4390243902439024</v>
      </c>
    </row>
    <row r="50" spans="1:7" ht="15">
      <c r="A50" s="161">
        <v>45139</v>
      </c>
      <c r="B50" s="162">
        <f>'10_UNIDADES_+_demandadas_2023'!F$15</f>
        <v>120</v>
      </c>
      <c r="C50" s="9">
        <f t="shared" ref="C50" si="17">((B50-B49)/B49)*100</f>
        <v>1.6949152542372881</v>
      </c>
      <c r="E50" s="161">
        <v>45139</v>
      </c>
      <c r="F50" s="162">
        <f>'10_UNIDADES_+_demandadas_2023'!F$16</f>
        <v>76</v>
      </c>
      <c r="G50" s="9">
        <f t="shared" ref="G50" si="18">((F50-F49)/F49)*100</f>
        <v>-5</v>
      </c>
    </row>
    <row r="51" spans="1:7" ht="15">
      <c r="A51" s="161">
        <v>45170</v>
      </c>
      <c r="B51" s="162"/>
      <c r="C51" s="9"/>
      <c r="E51" s="161">
        <v>45170</v>
      </c>
      <c r="F51" s="162"/>
      <c r="G51" s="9"/>
    </row>
    <row r="52" spans="1:7" ht="15">
      <c r="A52" s="161">
        <v>45200</v>
      </c>
      <c r="B52" s="162"/>
      <c r="C52" s="9"/>
      <c r="E52" s="161">
        <v>45200</v>
      </c>
      <c r="F52" s="162"/>
      <c r="G52" s="9"/>
    </row>
    <row r="53" spans="1:7" ht="15">
      <c r="A53" s="161">
        <v>45231</v>
      </c>
      <c r="B53" s="162"/>
      <c r="C53" s="9"/>
      <c r="E53" s="161">
        <v>45231</v>
      </c>
      <c r="F53" s="162"/>
      <c r="G53" s="9"/>
    </row>
    <row r="54" spans="1:7" ht="15.75" thickBot="1">
      <c r="A54" s="164">
        <v>45261</v>
      </c>
      <c r="B54" s="242"/>
      <c r="C54" s="19"/>
      <c r="E54" s="164">
        <v>45261</v>
      </c>
      <c r="F54" s="166"/>
      <c r="G54" s="19"/>
    </row>
    <row r="55" spans="1:7">
      <c r="B55" s="13"/>
      <c r="C55" s="13"/>
    </row>
    <row r="56" spans="1:7">
      <c r="B56" s="13"/>
      <c r="C56" s="13"/>
    </row>
    <row r="57" spans="1:7">
      <c r="B57" s="13"/>
      <c r="C57" s="13"/>
    </row>
    <row r="58" spans="1:7">
      <c r="B58" s="13"/>
      <c r="C58" s="13"/>
    </row>
    <row r="59" spans="1:7">
      <c r="B59" s="13"/>
      <c r="C59" s="13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5.5703125" defaultRowHeight="14.25"/>
  <cols>
    <col min="1" max="1" width="52.42578125" style="13" customWidth="1"/>
    <col min="2" max="2" width="7.7109375" style="150" bestFit="1" customWidth="1"/>
    <col min="3" max="4" width="7.5703125" style="150" bestFit="1" customWidth="1"/>
    <col min="5" max="5" width="7.5703125" style="150" customWidth="1"/>
    <col min="6" max="6" width="9.140625" style="150" customWidth="1"/>
    <col min="7" max="7" width="3" style="13" customWidth="1"/>
    <col min="8" max="17" width="9.140625" style="13" customWidth="1"/>
    <col min="18" max="18" width="15.42578125" style="13" customWidth="1"/>
    <col min="19" max="222" width="9.140625" style="13" customWidth="1"/>
    <col min="223" max="223" width="58.28515625" style="13" customWidth="1"/>
    <col min="224" max="224" width="3.7109375" style="13" bestFit="1" customWidth="1"/>
    <col min="225" max="225" width="5.5703125" style="13" bestFit="1" customWidth="1"/>
    <col min="226" max="226" width="5.5703125" style="13" customWidth="1"/>
    <col min="227" max="16384" width="5.5703125" style="13"/>
  </cols>
  <sheetData>
    <row r="1" spans="1:18" ht="15">
      <c r="A1" s="130" t="s">
        <v>0</v>
      </c>
      <c r="B1" s="196"/>
      <c r="C1" s="196"/>
      <c r="D1" s="196"/>
      <c r="E1" s="196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292</v>
      </c>
      <c r="B4" s="6"/>
      <c r="C4" s="6"/>
      <c r="D4" s="6"/>
      <c r="E4" s="6"/>
    </row>
    <row r="6" spans="1:18" ht="15.75" thickBot="1">
      <c r="A6" s="244" t="s">
        <v>213</v>
      </c>
      <c r="B6" s="187">
        <v>45139</v>
      </c>
      <c r="C6" s="187">
        <v>45108</v>
      </c>
      <c r="D6" s="201">
        <v>45078</v>
      </c>
      <c r="E6" s="187" t="s">
        <v>5</v>
      </c>
      <c r="F6" s="234" t="s">
        <v>6</v>
      </c>
    </row>
    <row r="7" spans="1:18" ht="14.25" customHeight="1" thickBot="1">
      <c r="A7" s="735" t="s">
        <v>238</v>
      </c>
      <c r="B7" s="738">
        <v>700</v>
      </c>
      <c r="C7" s="738">
        <v>734</v>
      </c>
      <c r="D7" s="738">
        <v>737</v>
      </c>
      <c r="E7" s="245">
        <f t="shared" ref="E7:E16" si="0">SUM(B7:D7)</f>
        <v>2171</v>
      </c>
      <c r="F7" s="246">
        <f t="shared" ref="F7:F17" si="1">AVERAGE(B7:D7)</f>
        <v>723.66666666666663</v>
      </c>
      <c r="R7" s="149"/>
    </row>
    <row r="8" spans="1:18" ht="15" customHeight="1" thickBot="1">
      <c r="A8" s="736" t="s">
        <v>239</v>
      </c>
      <c r="B8" s="45">
        <v>632</v>
      </c>
      <c r="C8" s="46">
        <v>485</v>
      </c>
      <c r="D8" s="45">
        <v>784</v>
      </c>
      <c r="E8" s="40">
        <f t="shared" si="0"/>
        <v>1901</v>
      </c>
      <c r="F8" s="205">
        <f t="shared" si="1"/>
        <v>633.66666666666663</v>
      </c>
      <c r="R8" s="149"/>
    </row>
    <row r="9" spans="1:18" ht="15.75" thickBot="1">
      <c r="A9" s="736" t="s">
        <v>237</v>
      </c>
      <c r="B9" s="45">
        <v>374</v>
      </c>
      <c r="C9" s="45">
        <v>342</v>
      </c>
      <c r="D9" s="45">
        <v>343</v>
      </c>
      <c r="E9" s="40">
        <f t="shared" si="0"/>
        <v>1059</v>
      </c>
      <c r="F9" s="205">
        <f t="shared" si="1"/>
        <v>353</v>
      </c>
      <c r="R9" s="149"/>
    </row>
    <row r="10" spans="1:18" ht="15.75" thickBot="1">
      <c r="A10" s="736" t="s">
        <v>224</v>
      </c>
      <c r="B10" s="45">
        <v>324</v>
      </c>
      <c r="C10" s="45">
        <v>244</v>
      </c>
      <c r="D10" s="45">
        <v>272</v>
      </c>
      <c r="E10" s="40">
        <f t="shared" si="0"/>
        <v>840</v>
      </c>
      <c r="F10" s="205">
        <f t="shared" si="1"/>
        <v>280</v>
      </c>
      <c r="R10" s="149"/>
    </row>
    <row r="11" spans="1:18" ht="15.75" thickBot="1">
      <c r="A11" s="736" t="s">
        <v>235</v>
      </c>
      <c r="B11" s="45">
        <v>263</v>
      </c>
      <c r="C11" s="45">
        <v>298</v>
      </c>
      <c r="D11" s="45">
        <v>242</v>
      </c>
      <c r="E11" s="40">
        <f t="shared" si="0"/>
        <v>803</v>
      </c>
      <c r="F11" s="205">
        <f t="shared" si="1"/>
        <v>267.66666666666669</v>
      </c>
      <c r="R11" s="149"/>
    </row>
    <row r="12" spans="1:18" ht="15" customHeight="1" thickBot="1">
      <c r="A12" s="736" t="s">
        <v>230</v>
      </c>
      <c r="B12" s="45">
        <v>261</v>
      </c>
      <c r="C12" s="45">
        <v>207</v>
      </c>
      <c r="D12" s="45">
        <v>210</v>
      </c>
      <c r="E12" s="40">
        <f t="shared" si="0"/>
        <v>678</v>
      </c>
      <c r="F12" s="205">
        <f t="shared" si="1"/>
        <v>226</v>
      </c>
      <c r="R12" s="149"/>
    </row>
    <row r="13" spans="1:18" ht="15.75" thickBot="1">
      <c r="A13" s="736" t="s">
        <v>234</v>
      </c>
      <c r="B13" s="45">
        <v>222</v>
      </c>
      <c r="C13" s="46">
        <v>174</v>
      </c>
      <c r="D13" s="45">
        <v>272</v>
      </c>
      <c r="E13" s="40">
        <f t="shared" si="0"/>
        <v>668</v>
      </c>
      <c r="F13" s="205">
        <f t="shared" si="1"/>
        <v>222.66666666666666</v>
      </c>
      <c r="R13" s="149"/>
    </row>
    <row r="14" spans="1:18" ht="15.75" thickBot="1">
      <c r="A14" s="736" t="s">
        <v>243</v>
      </c>
      <c r="B14" s="45">
        <v>215</v>
      </c>
      <c r="C14" s="45">
        <v>164</v>
      </c>
      <c r="D14" s="45">
        <v>161</v>
      </c>
      <c r="E14" s="40">
        <f t="shared" si="0"/>
        <v>540</v>
      </c>
      <c r="F14" s="205">
        <f t="shared" si="1"/>
        <v>180</v>
      </c>
      <c r="R14" s="149"/>
    </row>
    <row r="15" spans="1:18" ht="15.75" thickBot="1">
      <c r="A15" s="736" t="s">
        <v>147</v>
      </c>
      <c r="B15" s="45">
        <v>120</v>
      </c>
      <c r="C15" s="45">
        <v>118</v>
      </c>
      <c r="D15" s="45">
        <v>82</v>
      </c>
      <c r="E15" s="40">
        <f t="shared" si="0"/>
        <v>320</v>
      </c>
      <c r="F15" s="205">
        <f t="shared" si="1"/>
        <v>106.66666666666667</v>
      </c>
      <c r="R15" s="149"/>
    </row>
    <row r="16" spans="1:18" ht="15.75" thickBot="1">
      <c r="A16" s="737" t="s">
        <v>254</v>
      </c>
      <c r="B16" s="739">
        <v>143</v>
      </c>
      <c r="C16" s="739">
        <v>110</v>
      </c>
      <c r="D16" s="739">
        <v>61</v>
      </c>
      <c r="E16" s="247">
        <f t="shared" si="0"/>
        <v>314</v>
      </c>
      <c r="F16" s="248">
        <f t="shared" si="1"/>
        <v>104.66666666666667</v>
      </c>
      <c r="R16" s="149"/>
    </row>
    <row r="17" spans="1:7" ht="15.75" customHeight="1" thickBot="1">
      <c r="A17" s="144" t="s">
        <v>5</v>
      </c>
      <c r="B17" s="62">
        <f>SUM(B7:B16)</f>
        <v>3254</v>
      </c>
      <c r="C17" s="244">
        <f>SUM(C7:C16)</f>
        <v>2876</v>
      </c>
      <c r="D17" s="63">
        <f>SUM(D7:D16)</f>
        <v>3164</v>
      </c>
      <c r="E17" s="222">
        <f>SUM(E7:E16)</f>
        <v>9294</v>
      </c>
      <c r="F17" s="249">
        <f t="shared" si="1"/>
        <v>3098</v>
      </c>
    </row>
    <row r="18" spans="1:7" ht="15">
      <c r="A18" s="250"/>
      <c r="B18" s="6"/>
      <c r="C18" s="6"/>
      <c r="D18" s="6"/>
      <c r="E18" s="6"/>
    </row>
    <row r="19" spans="1:7" ht="57" customHeight="1">
      <c r="A19" s="146"/>
      <c r="B19" s="251"/>
      <c r="C19" s="251"/>
      <c r="D19" s="251"/>
      <c r="E19" s="251"/>
      <c r="F19" s="883"/>
      <c r="G19" s="883"/>
    </row>
    <row r="20" spans="1:7">
      <c r="A20" s="147"/>
      <c r="B20" s="252"/>
      <c r="C20" s="252"/>
      <c r="D20" s="252"/>
      <c r="E20" s="252"/>
    </row>
    <row r="21" spans="1:7" ht="82.5" customHeight="1">
      <c r="A21" s="146"/>
      <c r="B21" s="251"/>
      <c r="C21" s="251"/>
      <c r="D21" s="251"/>
      <c r="E21" s="251"/>
      <c r="F21" s="883"/>
      <c r="G21" s="883"/>
    </row>
    <row r="22" spans="1:7">
      <c r="A22" s="146"/>
      <c r="B22" s="251"/>
      <c r="C22" s="251"/>
      <c r="D22" s="251"/>
      <c r="E22" s="251"/>
    </row>
    <row r="23" spans="1:7" ht="66.75" customHeight="1">
      <c r="A23" s="146"/>
      <c r="B23" s="251"/>
      <c r="C23" s="251"/>
      <c r="D23" s="251"/>
      <c r="E23" s="251"/>
      <c r="F23" s="883"/>
      <c r="G23" s="883"/>
    </row>
    <row r="24" spans="1:7">
      <c r="A24" s="147"/>
      <c r="B24" s="252"/>
      <c r="C24" s="252"/>
      <c r="D24" s="252"/>
      <c r="E24" s="252"/>
    </row>
    <row r="25" spans="1:7">
      <c r="A25" s="146"/>
      <c r="B25" s="251"/>
      <c r="C25" s="251"/>
      <c r="D25" s="251"/>
      <c r="E25" s="251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Normal="100" workbookViewId="0"/>
  </sheetViews>
  <sheetFormatPr defaultColWidth="5.5703125" defaultRowHeight="14.25"/>
  <cols>
    <col min="1" max="1" width="58.28515625" style="13" customWidth="1"/>
    <col min="2" max="2" width="8.140625" style="150" customWidth="1"/>
    <col min="3" max="16" width="9.140625" style="13" customWidth="1"/>
    <col min="17" max="21" width="9.140625" style="133" customWidth="1"/>
    <col min="22" max="22" width="12" style="133" customWidth="1"/>
    <col min="23" max="23" width="9.140625" style="133" customWidth="1"/>
    <col min="24" max="24" width="12.85546875" style="133" customWidth="1"/>
    <col min="25" max="25" width="20.28515625" style="133" bestFit="1" customWidth="1"/>
    <col min="26" max="26" width="24.28515625" style="133" hidden="1" customWidth="1"/>
    <col min="27" max="27" width="9.140625" style="133" customWidth="1"/>
    <col min="28" max="235" width="9.140625" style="13" customWidth="1"/>
    <col min="236" max="236" width="58.28515625" style="13" customWidth="1"/>
    <col min="237" max="237" width="3.7109375" style="13" bestFit="1" customWidth="1"/>
    <col min="238" max="238" width="5.5703125" style="13" bestFit="1" customWidth="1"/>
    <col min="239" max="239" width="5.5703125" style="13" customWidth="1"/>
    <col min="240" max="16384" width="5.5703125" style="13"/>
  </cols>
  <sheetData>
    <row r="1" spans="1:15" ht="15">
      <c r="A1" s="130" t="s">
        <v>0</v>
      </c>
    </row>
    <row r="2" spans="1:15" ht="15">
      <c r="A2" s="1" t="s">
        <v>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5">
      <c r="A3" s="1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ht="15">
      <c r="A4" s="1" t="s">
        <v>458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15"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5" ht="15.75" thickBot="1">
      <c r="A6" s="253" t="s">
        <v>213</v>
      </c>
      <c r="B6" s="65">
        <v>45139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</row>
    <row r="7" spans="1:15">
      <c r="A7" s="254" t="s">
        <v>238</v>
      </c>
      <c r="B7" s="33">
        <v>700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15">
      <c r="A8" s="255" t="s">
        <v>239</v>
      </c>
      <c r="B8" s="45">
        <v>632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</row>
    <row r="9" spans="1:15" ht="15" customHeight="1">
      <c r="A9" s="255" t="s">
        <v>237</v>
      </c>
      <c r="B9" s="45">
        <v>374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</row>
    <row r="10" spans="1:15">
      <c r="A10" s="255" t="s">
        <v>224</v>
      </c>
      <c r="B10" s="45">
        <v>324</v>
      </c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</row>
    <row r="11" spans="1:15">
      <c r="A11" s="255" t="s">
        <v>235</v>
      </c>
      <c r="B11" s="45">
        <v>263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</row>
    <row r="12" spans="1:15">
      <c r="A12" s="255" t="s">
        <v>230</v>
      </c>
      <c r="B12" s="45">
        <v>261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</row>
    <row r="13" spans="1:15" ht="15" customHeight="1">
      <c r="A13" s="255" t="s">
        <v>234</v>
      </c>
      <c r="B13" s="45">
        <v>222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</row>
    <row r="14" spans="1:15">
      <c r="A14" s="255" t="s">
        <v>243</v>
      </c>
      <c r="B14" s="45">
        <v>215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</row>
    <row r="15" spans="1:15">
      <c r="A15" s="255" t="s">
        <v>254</v>
      </c>
      <c r="B15" s="45">
        <v>143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</row>
    <row r="16" spans="1:15" ht="15" thickBot="1">
      <c r="A16" s="256" t="s">
        <v>147</v>
      </c>
      <c r="B16" s="52">
        <v>120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</row>
    <row r="17" spans="1:31" ht="15.75" thickBot="1">
      <c r="A17" s="686" t="s">
        <v>5</v>
      </c>
      <c r="B17" s="687">
        <f>SUM(B7:B16)</f>
        <v>3254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</row>
    <row r="18" spans="1:31" ht="15">
      <c r="A18" s="740"/>
      <c r="B18" s="741"/>
      <c r="C18" s="676"/>
      <c r="D18" s="676"/>
      <c r="E18" s="676"/>
      <c r="F18" s="676"/>
      <c r="G18" s="676"/>
      <c r="H18" s="676"/>
      <c r="I18" s="676"/>
      <c r="J18" s="676"/>
      <c r="K18" s="676"/>
      <c r="L18" s="676"/>
      <c r="M18" s="676"/>
      <c r="N18" s="676"/>
      <c r="O18" s="676"/>
      <c r="P18" s="676"/>
      <c r="Q18" s="676"/>
      <c r="R18" s="676"/>
    </row>
    <row r="19" spans="1:31">
      <c r="A19" s="689" t="s">
        <v>293</v>
      </c>
      <c r="B19" s="716"/>
      <c r="C19" s="676"/>
      <c r="D19" s="676"/>
      <c r="E19" s="676"/>
      <c r="F19" s="676"/>
      <c r="G19" s="676"/>
      <c r="H19" s="676"/>
      <c r="I19" s="676"/>
      <c r="J19" s="676"/>
      <c r="K19" s="676"/>
      <c r="L19" s="676"/>
      <c r="M19" s="676"/>
      <c r="N19" s="676"/>
      <c r="O19" s="676"/>
      <c r="P19" s="663"/>
      <c r="Q19" s="663"/>
      <c r="R19" s="676"/>
      <c r="S19" s="13"/>
      <c r="T19" s="13"/>
    </row>
    <row r="20" spans="1:31" s="225" customFormat="1" ht="15.75" customHeight="1">
      <c r="A20" s="694"/>
      <c r="B20" s="717"/>
      <c r="C20" s="676"/>
      <c r="D20" s="676"/>
      <c r="E20" s="676"/>
      <c r="F20" s="676"/>
      <c r="G20" s="676"/>
      <c r="H20" s="676"/>
      <c r="I20" s="676"/>
      <c r="J20" s="676"/>
      <c r="K20" s="676"/>
      <c r="L20" s="676"/>
      <c r="M20" s="676"/>
      <c r="N20" s="676"/>
      <c r="O20" s="676"/>
      <c r="P20" s="663"/>
      <c r="Q20" s="663"/>
      <c r="R20" s="676"/>
    </row>
    <row r="21" spans="1:31" s="225" customFormat="1">
      <c r="A21" s="689"/>
      <c r="B21" s="716"/>
      <c r="C21" s="676"/>
      <c r="D21" s="676"/>
      <c r="E21" s="676"/>
      <c r="F21" s="676"/>
      <c r="G21" s="676"/>
      <c r="H21" s="676"/>
      <c r="I21" s="676"/>
      <c r="J21" s="676"/>
      <c r="K21" s="676"/>
      <c r="L21" s="676"/>
      <c r="M21" s="676"/>
      <c r="N21" s="676"/>
      <c r="O21" s="676"/>
      <c r="P21" s="663"/>
      <c r="Q21" s="663"/>
      <c r="R21" s="676"/>
    </row>
    <row r="22" spans="1:31" s="676" customFormat="1" ht="15" customHeight="1">
      <c r="A22" s="688"/>
      <c r="B22" s="676" t="str">
        <f>A7</f>
        <v>Secretaria Municipal das Subprefeituras</v>
      </c>
      <c r="C22" s="676" t="str">
        <f>A8</f>
        <v>Secretaria Municipal de Assistência e Desenvolvimento Social</v>
      </c>
      <c r="D22" s="676" t="str">
        <f>A9</f>
        <v>Secretaria Municipal da Saúde</v>
      </c>
      <c r="E22" s="676" t="str">
        <f>A10</f>
        <v>Companhia de Engenharia de Tráfego - CET</v>
      </c>
      <c r="F22" s="676" t="str">
        <f>A11</f>
        <v>Secretaria Municipal da Fazenda</v>
      </c>
      <c r="G22" s="676" t="str">
        <f>A12</f>
        <v>São Paulo Transportes - SPTRANS</v>
      </c>
      <c r="H22" s="676" t="str">
        <f>A13</f>
        <v>Secretaria Executiva de Limpeza Urbana**</v>
      </c>
      <c r="I22" s="676" t="str">
        <f>A14</f>
        <v>Secretaria Municipal de Educação</v>
      </c>
      <c r="J22" s="676" t="str">
        <f>A15</f>
        <v>Secretaria Municipal do Verde e Meio Ambiente</v>
      </c>
      <c r="K22" s="676" t="str">
        <f>A16</f>
        <v>Órgão externo</v>
      </c>
      <c r="L22" s="676" t="s">
        <v>5</v>
      </c>
      <c r="P22" s="663"/>
      <c r="Q22" s="663"/>
    </row>
    <row r="23" spans="1:31" s="676" customFormat="1">
      <c r="A23" s="689"/>
      <c r="B23" s="676">
        <f>B7</f>
        <v>700</v>
      </c>
      <c r="C23" s="676">
        <f>B8</f>
        <v>632</v>
      </c>
      <c r="D23" s="676">
        <f>B9</f>
        <v>374</v>
      </c>
      <c r="E23" s="676">
        <f>B10</f>
        <v>324</v>
      </c>
      <c r="F23" s="676">
        <f>B11</f>
        <v>263</v>
      </c>
      <c r="G23" s="676">
        <f>B12</f>
        <v>261</v>
      </c>
      <c r="H23" s="676">
        <f>B13</f>
        <v>222</v>
      </c>
      <c r="I23" s="676">
        <f>B14</f>
        <v>215</v>
      </c>
      <c r="J23" s="676">
        <f>B15</f>
        <v>143</v>
      </c>
      <c r="K23" s="676">
        <f>B16</f>
        <v>120</v>
      </c>
      <c r="L23" s="690"/>
      <c r="P23" s="663"/>
      <c r="Q23" s="663"/>
      <c r="S23" s="691"/>
      <c r="T23" s="692"/>
      <c r="U23" s="692"/>
      <c r="V23" s="692"/>
      <c r="W23" s="692"/>
      <c r="X23" s="692"/>
      <c r="Y23" s="692"/>
      <c r="Z23" s="677"/>
      <c r="AA23" s="692"/>
      <c r="AB23" s="692"/>
      <c r="AC23" s="692"/>
      <c r="AD23" s="692"/>
      <c r="AE23" s="693"/>
    </row>
    <row r="24" spans="1:31" s="676" customFormat="1" ht="16.5" customHeight="1">
      <c r="A24" s="694"/>
      <c r="L24" s="690"/>
      <c r="P24" s="663"/>
      <c r="Q24" s="663"/>
      <c r="S24" s="691"/>
      <c r="T24" s="692"/>
      <c r="U24" s="692"/>
      <c r="V24" s="692"/>
      <c r="W24" s="692"/>
      <c r="X24" s="692"/>
      <c r="Y24" s="692"/>
      <c r="Z24" s="677"/>
      <c r="AA24" s="692"/>
      <c r="AB24" s="692"/>
      <c r="AC24" s="692"/>
      <c r="AD24" s="692"/>
      <c r="AE24" s="693"/>
    </row>
    <row r="25" spans="1:31" s="676" customFormat="1">
      <c r="A25" s="689"/>
      <c r="L25" s="690">
        <v>4895</v>
      </c>
      <c r="P25" s="663"/>
      <c r="Q25" s="663"/>
      <c r="S25" s="691"/>
      <c r="T25" s="692"/>
      <c r="U25" s="692"/>
      <c r="V25" s="692"/>
      <c r="W25" s="692"/>
      <c r="X25" s="692"/>
      <c r="Y25" s="692"/>
      <c r="Z25" s="677"/>
      <c r="AA25" s="692"/>
      <c r="AB25" s="692"/>
      <c r="AC25" s="692"/>
      <c r="AD25" s="692"/>
      <c r="AE25" s="693"/>
    </row>
    <row r="26" spans="1:31" s="225" customFormat="1" ht="15">
      <c r="A26" s="676"/>
      <c r="B26" s="692"/>
      <c r="C26" s="676"/>
      <c r="D26" s="676"/>
      <c r="E26" s="676"/>
      <c r="F26" s="676"/>
      <c r="G26" s="676"/>
      <c r="H26" s="695"/>
      <c r="I26" s="676"/>
      <c r="J26" s="676"/>
      <c r="K26" s="676"/>
      <c r="L26" s="676"/>
      <c r="M26" s="676"/>
      <c r="N26" s="676"/>
      <c r="O26" s="676"/>
      <c r="P26" s="663"/>
      <c r="Q26" s="663"/>
      <c r="R26" s="676"/>
      <c r="S26" s="258"/>
      <c r="T26" s="259"/>
      <c r="U26" s="259"/>
      <c r="V26" s="259"/>
      <c r="W26" s="259"/>
      <c r="X26" s="259"/>
      <c r="Y26" s="259"/>
      <c r="Z26" s="260"/>
      <c r="AA26" s="259"/>
      <c r="AB26" s="259"/>
      <c r="AC26" s="259"/>
      <c r="AD26" s="259"/>
      <c r="AE26" s="261"/>
    </row>
    <row r="27" spans="1:31" s="225" customFormat="1">
      <c r="A27" s="676"/>
      <c r="B27" s="692"/>
      <c r="C27" s="676"/>
      <c r="D27" s="676"/>
      <c r="E27" s="676"/>
      <c r="F27" s="676"/>
      <c r="G27" s="676"/>
      <c r="H27" s="676"/>
      <c r="I27" s="676"/>
      <c r="J27" s="676"/>
      <c r="K27" s="676"/>
      <c r="L27" s="676"/>
      <c r="M27" s="676"/>
      <c r="N27" s="676"/>
      <c r="O27" s="676"/>
      <c r="P27" s="663"/>
      <c r="Q27" s="663"/>
      <c r="R27" s="676"/>
      <c r="S27" s="258"/>
      <c r="T27" s="259"/>
      <c r="U27" s="259"/>
      <c r="V27" s="259"/>
      <c r="W27" s="259"/>
      <c r="X27" s="259"/>
      <c r="Y27" s="259"/>
      <c r="Z27" s="260"/>
      <c r="AA27" s="259"/>
      <c r="AB27" s="259"/>
      <c r="AC27" s="259"/>
      <c r="AD27" s="259"/>
      <c r="AE27" s="261"/>
    </row>
    <row r="28" spans="1:31" s="225" customFormat="1">
      <c r="A28" s="676"/>
      <c r="B28" s="692"/>
      <c r="C28" s="676"/>
      <c r="D28" s="676"/>
      <c r="E28" s="676"/>
      <c r="F28" s="676"/>
      <c r="G28" s="676"/>
      <c r="H28" s="676"/>
      <c r="I28" s="676"/>
      <c r="J28" s="676"/>
      <c r="K28" s="676"/>
      <c r="L28" s="676"/>
      <c r="M28" s="676"/>
      <c r="N28" s="676"/>
      <c r="O28" s="676"/>
      <c r="P28" s="663"/>
      <c r="Q28" s="663"/>
      <c r="R28" s="676"/>
      <c r="S28" s="258"/>
      <c r="T28" s="259"/>
      <c r="U28" s="259"/>
      <c r="V28" s="259"/>
      <c r="W28" s="259"/>
      <c r="X28" s="259"/>
      <c r="Y28" s="259"/>
      <c r="Z28" s="260"/>
      <c r="AA28" s="259"/>
      <c r="AB28" s="259"/>
      <c r="AC28" s="259"/>
      <c r="AD28" s="259"/>
      <c r="AE28" s="261"/>
    </row>
    <row r="29" spans="1:31" s="225" customFormat="1">
      <c r="A29" s="676"/>
      <c r="B29" s="692"/>
      <c r="C29" s="676"/>
      <c r="D29" s="676"/>
      <c r="E29" s="676"/>
      <c r="F29" s="676"/>
      <c r="G29" s="676"/>
      <c r="H29" s="676"/>
      <c r="I29" s="676"/>
      <c r="J29" s="676"/>
      <c r="K29" s="676"/>
      <c r="L29" s="676"/>
      <c r="M29" s="676"/>
      <c r="N29" s="676"/>
      <c r="O29" s="676"/>
      <c r="S29" s="258"/>
      <c r="T29" s="259"/>
      <c r="U29" s="259"/>
      <c r="V29" s="259"/>
      <c r="W29" s="259"/>
      <c r="X29" s="259"/>
      <c r="Y29" s="259"/>
      <c r="Z29" s="260"/>
      <c r="AA29" s="259"/>
      <c r="AB29" s="259"/>
      <c r="AC29" s="259"/>
      <c r="AD29" s="259"/>
      <c r="AE29" s="261"/>
    </row>
    <row r="30" spans="1:31" s="225" customFormat="1">
      <c r="B30" s="259"/>
      <c r="S30" s="258"/>
      <c r="T30" s="259"/>
      <c r="U30" s="259"/>
      <c r="V30" s="259"/>
      <c r="W30" s="259"/>
      <c r="X30" s="259"/>
      <c r="Y30" s="259"/>
      <c r="Z30" s="260"/>
      <c r="AA30" s="259"/>
      <c r="AB30" s="259"/>
      <c r="AC30" s="259"/>
      <c r="AD30" s="259"/>
      <c r="AE30" s="261"/>
    </row>
    <row r="31" spans="1:31">
      <c r="Q31" s="13"/>
      <c r="R31" s="13"/>
      <c r="S31" s="149"/>
      <c r="T31" s="150"/>
      <c r="U31" s="150"/>
      <c r="V31" s="150"/>
      <c r="W31" s="150"/>
      <c r="X31" s="150"/>
      <c r="Y31" s="150"/>
      <c r="Z31" s="134"/>
      <c r="AA31" s="150"/>
      <c r="AB31" s="150"/>
      <c r="AC31" s="150"/>
      <c r="AD31" s="150"/>
      <c r="AE31" s="151"/>
    </row>
    <row r="32" spans="1:31">
      <c r="Q32" s="13"/>
      <c r="R32" s="13"/>
      <c r="S32" s="149"/>
      <c r="T32" s="150"/>
      <c r="U32" s="150"/>
      <c r="V32" s="150"/>
      <c r="W32" s="150"/>
      <c r="X32" s="150"/>
      <c r="Y32" s="150"/>
      <c r="Z32" s="134"/>
      <c r="AA32" s="150"/>
      <c r="AB32" s="262"/>
      <c r="AC32" s="150"/>
      <c r="AD32" s="150"/>
      <c r="AE32" s="151"/>
    </row>
    <row r="33" spans="1:28"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3"/>
    </row>
    <row r="34" spans="1:28"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3"/>
    </row>
    <row r="35" spans="1:28">
      <c r="A35" s="133"/>
      <c r="B35" s="262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U35" s="13"/>
      <c r="V35" s="13"/>
      <c r="W35" s="13"/>
      <c r="X35" s="13"/>
      <c r="Y35" s="13"/>
      <c r="Z35" s="13"/>
      <c r="AA35" s="13"/>
      <c r="AB35" s="133"/>
    </row>
    <row r="36" spans="1:28">
      <c r="A36" s="133"/>
      <c r="B36" s="262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U36" s="13"/>
      <c r="V36" s="13"/>
      <c r="W36" s="13"/>
      <c r="X36" s="13"/>
      <c r="Y36" s="13"/>
      <c r="Z36" s="13"/>
      <c r="AA36" s="13"/>
      <c r="AB36" s="133"/>
    </row>
    <row r="37" spans="1:28">
      <c r="A37" s="133"/>
      <c r="B37" s="262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U37" s="13"/>
      <c r="V37" s="13"/>
      <c r="W37" s="13"/>
      <c r="X37" s="13"/>
      <c r="Y37" s="13"/>
      <c r="Z37" s="13"/>
      <c r="AA37" s="13"/>
      <c r="AB37" s="133"/>
    </row>
    <row r="38" spans="1:28">
      <c r="A38" s="133"/>
      <c r="B38" s="262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U38" s="13"/>
      <c r="V38" s="13"/>
      <c r="W38" s="13"/>
      <c r="X38" s="13"/>
      <c r="Y38" s="13"/>
      <c r="Z38" s="13"/>
      <c r="AA38" s="13"/>
      <c r="AB38" s="133"/>
    </row>
    <row r="39" spans="1:28">
      <c r="A39" s="133"/>
      <c r="B39" s="262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U39" s="13"/>
      <c r="V39" s="13"/>
      <c r="W39" s="13"/>
      <c r="X39" s="13"/>
      <c r="Y39" s="13"/>
      <c r="Z39" s="13"/>
      <c r="AA39" s="13"/>
      <c r="AB39" s="133"/>
    </row>
    <row r="40" spans="1:28"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8"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</sheetData>
  <pageMargins left="0.511811024" right="0.511811024" top="0.78740157500000008" bottom="0.78740157500000008" header="0.31496062000000008" footer="0.31496062000000008"/>
  <ignoredErrors>
    <ignoredError sqref="B1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A3" zoomScaleNormal="100" workbookViewId="0">
      <selection activeCell="W35" sqref="W35"/>
    </sheetView>
  </sheetViews>
  <sheetFormatPr defaultRowHeight="15"/>
  <cols>
    <col min="1" max="1" width="24.85546875" style="264" customWidth="1"/>
    <col min="2" max="3" width="6.85546875" bestFit="1" customWidth="1"/>
    <col min="4" max="4" width="6.42578125" bestFit="1" customWidth="1"/>
    <col min="5" max="5" width="6.140625" style="95" bestFit="1" customWidth="1"/>
    <col min="6" max="6" width="7" style="129" bestFit="1" customWidth="1"/>
    <col min="7" max="7" width="5.85546875" style="129" bestFit="1" customWidth="1"/>
    <col min="8" max="8" width="6.42578125" style="129" bestFit="1" customWidth="1"/>
    <col min="9" max="9" width="7" style="129" bestFit="1" customWidth="1"/>
    <col min="10" max="10" width="6.5703125" style="180" bestFit="1" customWidth="1"/>
    <col min="11" max="11" width="7.140625" style="129" bestFit="1" customWidth="1"/>
    <col min="12" max="12" width="6.28515625" style="129" bestFit="1" customWidth="1"/>
    <col min="13" max="13" width="6.42578125" bestFit="1" customWidth="1"/>
    <col min="14" max="14" width="6.7109375" bestFit="1" customWidth="1"/>
    <col min="15" max="15" width="7.140625" style="3" bestFit="1" customWidth="1"/>
    <col min="16" max="16" width="13.7109375" customWidth="1"/>
    <col min="17" max="17" width="9.140625" customWidth="1"/>
  </cols>
  <sheetData>
    <row r="1" spans="1:16">
      <c r="A1" s="263" t="s">
        <v>0</v>
      </c>
      <c r="B1" s="130"/>
      <c r="C1" s="130"/>
      <c r="D1" s="130"/>
      <c r="E1" s="131"/>
      <c r="F1" s="196"/>
      <c r="G1" s="196"/>
    </row>
    <row r="2" spans="1:16">
      <c r="A2" s="197" t="s">
        <v>1</v>
      </c>
      <c r="B2" s="1"/>
      <c r="C2" s="1"/>
      <c r="D2" s="1"/>
      <c r="E2" s="94"/>
      <c r="F2" s="6"/>
      <c r="G2" s="6"/>
    </row>
    <row r="3" spans="1:16" ht="15.75" thickBot="1"/>
    <row r="4" spans="1:16" ht="52.5" thickBot="1">
      <c r="A4" s="60" t="s">
        <v>213</v>
      </c>
      <c r="B4" s="265">
        <v>45261</v>
      </c>
      <c r="C4" s="266">
        <v>45231</v>
      </c>
      <c r="D4" s="267">
        <v>45200</v>
      </c>
      <c r="E4" s="265">
        <v>45170</v>
      </c>
      <c r="F4" s="266">
        <v>45139</v>
      </c>
      <c r="G4" s="267">
        <v>45108</v>
      </c>
      <c r="H4" s="265">
        <v>45078</v>
      </c>
      <c r="I4" s="265">
        <v>45047</v>
      </c>
      <c r="J4" s="265">
        <v>45017</v>
      </c>
      <c r="K4" s="265">
        <v>44986</v>
      </c>
      <c r="L4" s="265">
        <v>44958</v>
      </c>
      <c r="M4" s="266">
        <v>44927</v>
      </c>
      <c r="N4" s="102" t="s">
        <v>5</v>
      </c>
      <c r="O4" s="102" t="s">
        <v>6</v>
      </c>
      <c r="P4" s="268" t="s">
        <v>294</v>
      </c>
    </row>
    <row r="5" spans="1:16">
      <c r="A5" s="202" t="s">
        <v>295</v>
      </c>
      <c r="B5" s="104"/>
      <c r="C5" s="35"/>
      <c r="D5" s="35"/>
      <c r="E5" s="35"/>
      <c r="F5" s="35">
        <v>23</v>
      </c>
      <c r="G5" s="35">
        <v>37</v>
      </c>
      <c r="H5" s="35">
        <v>25</v>
      </c>
      <c r="I5" s="35">
        <v>29</v>
      </c>
      <c r="J5" s="35">
        <v>21</v>
      </c>
      <c r="K5" s="45">
        <v>40</v>
      </c>
      <c r="L5" s="35">
        <v>24</v>
      </c>
      <c r="M5" s="269">
        <v>24</v>
      </c>
      <c r="N5" s="270">
        <f t="shared" ref="N5:N36" si="0">SUM(B5:M5)</f>
        <v>223</v>
      </c>
      <c r="O5" s="271">
        <f t="shared" ref="O5:O37" si="1">AVERAGE(B5:M5)</f>
        <v>27.875</v>
      </c>
      <c r="P5" s="272">
        <f>N5/$N$37*100</f>
        <v>2.3387519664394336</v>
      </c>
    </row>
    <row r="6" spans="1:16">
      <c r="A6" s="208" t="s">
        <v>296</v>
      </c>
      <c r="B6" s="108"/>
      <c r="C6" s="45"/>
      <c r="D6" s="45"/>
      <c r="E6" s="45"/>
      <c r="F6" s="45">
        <v>64</v>
      </c>
      <c r="G6" s="45">
        <v>51</v>
      </c>
      <c r="H6" s="45">
        <v>54</v>
      </c>
      <c r="I6" s="45">
        <v>80</v>
      </c>
      <c r="J6" s="45">
        <v>52</v>
      </c>
      <c r="K6" s="45">
        <v>66</v>
      </c>
      <c r="L6" s="45">
        <v>57</v>
      </c>
      <c r="M6" s="43">
        <v>52</v>
      </c>
      <c r="N6" s="273">
        <f t="shared" si="0"/>
        <v>476</v>
      </c>
      <c r="O6" s="274">
        <f t="shared" si="1"/>
        <v>59.5</v>
      </c>
      <c r="P6" s="275">
        <f t="shared" ref="P6:P36" si="2">N6/$N$37*100</f>
        <v>4.9921342422653385</v>
      </c>
    </row>
    <row r="7" spans="1:16">
      <c r="A7" s="208" t="s">
        <v>297</v>
      </c>
      <c r="B7" s="108"/>
      <c r="C7" s="45"/>
      <c r="D7" s="45"/>
      <c r="E7" s="45"/>
      <c r="F7" s="45">
        <v>43</v>
      </c>
      <c r="G7" s="45">
        <v>94</v>
      </c>
      <c r="H7" s="45">
        <v>41</v>
      </c>
      <c r="I7" s="45">
        <v>47</v>
      </c>
      <c r="J7" s="45">
        <v>40</v>
      </c>
      <c r="K7" s="45">
        <v>36</v>
      </c>
      <c r="L7" s="45">
        <v>48</v>
      </c>
      <c r="M7" s="43">
        <v>62</v>
      </c>
      <c r="N7" s="273">
        <f t="shared" si="0"/>
        <v>411</v>
      </c>
      <c r="O7" s="274">
        <f t="shared" si="1"/>
        <v>51.375</v>
      </c>
      <c r="P7" s="275">
        <f t="shared" si="2"/>
        <v>4.3104352385946507</v>
      </c>
    </row>
    <row r="8" spans="1:16">
      <c r="A8" s="208" t="s">
        <v>298</v>
      </c>
      <c r="B8" s="108"/>
      <c r="C8" s="45"/>
      <c r="D8" s="45"/>
      <c r="E8" s="45"/>
      <c r="F8" s="45">
        <v>38</v>
      </c>
      <c r="G8" s="45">
        <v>34</v>
      </c>
      <c r="H8" s="45">
        <v>35</v>
      </c>
      <c r="I8" s="45">
        <v>45</v>
      </c>
      <c r="J8" s="45">
        <v>26</v>
      </c>
      <c r="K8" s="45">
        <v>50</v>
      </c>
      <c r="L8" s="45">
        <v>32</v>
      </c>
      <c r="M8" s="43">
        <v>29</v>
      </c>
      <c r="N8" s="273">
        <f t="shared" si="0"/>
        <v>289</v>
      </c>
      <c r="O8" s="274">
        <f t="shared" si="1"/>
        <v>36.125</v>
      </c>
      <c r="P8" s="275">
        <f t="shared" si="2"/>
        <v>3.0309386470896698</v>
      </c>
    </row>
    <row r="9" spans="1:16">
      <c r="A9" s="208" t="s">
        <v>299</v>
      </c>
      <c r="B9" s="108"/>
      <c r="C9" s="45"/>
      <c r="D9" s="45"/>
      <c r="E9" s="45"/>
      <c r="F9" s="45">
        <v>23</v>
      </c>
      <c r="G9" s="45">
        <v>43</v>
      </c>
      <c r="H9" s="45">
        <v>29</v>
      </c>
      <c r="I9" s="45">
        <v>37</v>
      </c>
      <c r="J9" s="45">
        <v>40</v>
      </c>
      <c r="K9" s="45">
        <v>40</v>
      </c>
      <c r="L9" s="45">
        <v>43</v>
      </c>
      <c r="M9" s="43">
        <v>25</v>
      </c>
      <c r="N9" s="273">
        <f t="shared" si="0"/>
        <v>280</v>
      </c>
      <c r="O9" s="274">
        <f t="shared" si="1"/>
        <v>35</v>
      </c>
      <c r="P9" s="275">
        <f t="shared" si="2"/>
        <v>2.9365495542737285</v>
      </c>
    </row>
    <row r="10" spans="1:16">
      <c r="A10" s="208" t="s">
        <v>300</v>
      </c>
      <c r="B10" s="108"/>
      <c r="C10" s="45"/>
      <c r="D10" s="45"/>
      <c r="E10" s="45"/>
      <c r="F10" s="45">
        <v>37</v>
      </c>
      <c r="G10" s="45">
        <v>34</v>
      </c>
      <c r="H10" s="45">
        <v>32</v>
      </c>
      <c r="I10" s="45">
        <v>69</v>
      </c>
      <c r="J10" s="45">
        <v>28</v>
      </c>
      <c r="K10" s="45">
        <v>37</v>
      </c>
      <c r="L10" s="45">
        <v>43</v>
      </c>
      <c r="M10" s="43">
        <v>41</v>
      </c>
      <c r="N10" s="273">
        <f t="shared" si="0"/>
        <v>321</v>
      </c>
      <c r="O10" s="274">
        <f t="shared" si="1"/>
        <v>40.125</v>
      </c>
      <c r="P10" s="275">
        <f t="shared" si="2"/>
        <v>3.3665443104352386</v>
      </c>
    </row>
    <row r="11" spans="1:16">
      <c r="A11" s="208" t="s">
        <v>301</v>
      </c>
      <c r="B11" s="108"/>
      <c r="C11" s="45"/>
      <c r="D11" s="45"/>
      <c r="E11" s="45"/>
      <c r="F11" s="45">
        <v>3</v>
      </c>
      <c r="G11" s="45">
        <v>2</v>
      </c>
      <c r="H11" s="45">
        <v>5</v>
      </c>
      <c r="I11" s="45">
        <v>11</v>
      </c>
      <c r="J11" s="45">
        <v>17</v>
      </c>
      <c r="K11" s="45">
        <v>7</v>
      </c>
      <c r="L11" s="45">
        <v>6</v>
      </c>
      <c r="M11" s="43">
        <v>6</v>
      </c>
      <c r="N11" s="273">
        <f t="shared" si="0"/>
        <v>57</v>
      </c>
      <c r="O11" s="274">
        <f t="shared" si="1"/>
        <v>7.125</v>
      </c>
      <c r="P11" s="275">
        <f t="shared" si="2"/>
        <v>0.59779758783429471</v>
      </c>
    </row>
    <row r="12" spans="1:16">
      <c r="A12" s="208" t="s">
        <v>302</v>
      </c>
      <c r="B12" s="108"/>
      <c r="C12" s="45"/>
      <c r="D12" s="45"/>
      <c r="E12" s="45"/>
      <c r="F12" s="45">
        <v>16</v>
      </c>
      <c r="G12" s="45">
        <v>19</v>
      </c>
      <c r="H12" s="45">
        <v>10</v>
      </c>
      <c r="I12" s="45">
        <v>16</v>
      </c>
      <c r="J12" s="45">
        <v>12</v>
      </c>
      <c r="K12" s="45">
        <v>10</v>
      </c>
      <c r="L12" s="45">
        <v>15</v>
      </c>
      <c r="M12" s="43">
        <v>14</v>
      </c>
      <c r="N12" s="273">
        <f t="shared" si="0"/>
        <v>112</v>
      </c>
      <c r="O12" s="274">
        <f t="shared" si="1"/>
        <v>14</v>
      </c>
      <c r="P12" s="275">
        <f t="shared" si="2"/>
        <v>1.1746198217094914</v>
      </c>
    </row>
    <row r="13" spans="1:16">
      <c r="A13" s="208" t="s">
        <v>303</v>
      </c>
      <c r="B13" s="108"/>
      <c r="C13" s="45"/>
      <c r="D13" s="45"/>
      <c r="E13" s="45"/>
      <c r="F13" s="45">
        <v>29</v>
      </c>
      <c r="G13" s="45">
        <v>36</v>
      </c>
      <c r="H13" s="45">
        <v>26</v>
      </c>
      <c r="I13" s="45">
        <v>21</v>
      </c>
      <c r="J13" s="45">
        <v>14</v>
      </c>
      <c r="K13" s="45">
        <v>20</v>
      </c>
      <c r="L13" s="45">
        <v>27</v>
      </c>
      <c r="M13" s="43">
        <v>22</v>
      </c>
      <c r="N13" s="273">
        <f t="shared" si="0"/>
        <v>195</v>
      </c>
      <c r="O13" s="274">
        <f t="shared" si="1"/>
        <v>24.375</v>
      </c>
      <c r="P13" s="275">
        <f t="shared" si="2"/>
        <v>2.0450970110120608</v>
      </c>
    </row>
    <row r="14" spans="1:16">
      <c r="A14" s="208" t="s">
        <v>304</v>
      </c>
      <c r="B14" s="108"/>
      <c r="C14" s="45"/>
      <c r="D14" s="45"/>
      <c r="E14" s="45"/>
      <c r="F14" s="45">
        <v>11</v>
      </c>
      <c r="G14" s="45">
        <v>9</v>
      </c>
      <c r="H14" s="45">
        <v>12</v>
      </c>
      <c r="I14" s="45">
        <v>11</v>
      </c>
      <c r="J14" s="45">
        <v>11</v>
      </c>
      <c r="K14" s="45">
        <v>10</v>
      </c>
      <c r="L14" s="45">
        <v>13</v>
      </c>
      <c r="M14" s="43">
        <v>10</v>
      </c>
      <c r="N14" s="273">
        <f t="shared" si="0"/>
        <v>87</v>
      </c>
      <c r="O14" s="274">
        <f t="shared" si="1"/>
        <v>10.875</v>
      </c>
      <c r="P14" s="275">
        <f t="shared" si="2"/>
        <v>0.91242789722076556</v>
      </c>
    </row>
    <row r="15" spans="1:16">
      <c r="A15" s="208" t="s">
        <v>305</v>
      </c>
      <c r="B15" s="108"/>
      <c r="C15" s="45"/>
      <c r="D15" s="45"/>
      <c r="E15" s="45"/>
      <c r="F15" s="45">
        <v>46</v>
      </c>
      <c r="G15" s="45">
        <v>50</v>
      </c>
      <c r="H15" s="45">
        <v>47</v>
      </c>
      <c r="I15" s="45">
        <v>46</v>
      </c>
      <c r="J15" s="45">
        <v>50</v>
      </c>
      <c r="K15" s="45">
        <v>43</v>
      </c>
      <c r="L15" s="45">
        <v>65</v>
      </c>
      <c r="M15" s="43">
        <v>41</v>
      </c>
      <c r="N15" s="273">
        <f t="shared" si="0"/>
        <v>388</v>
      </c>
      <c r="O15" s="274">
        <f t="shared" si="1"/>
        <v>48.5</v>
      </c>
      <c r="P15" s="275">
        <f t="shared" si="2"/>
        <v>4.069218668065024</v>
      </c>
    </row>
    <row r="16" spans="1:16">
      <c r="A16" s="208" t="s">
        <v>306</v>
      </c>
      <c r="B16" s="108"/>
      <c r="C16" s="45"/>
      <c r="D16" s="45"/>
      <c r="E16" s="45"/>
      <c r="F16" s="45">
        <v>22</v>
      </c>
      <c r="G16" s="45">
        <v>27</v>
      </c>
      <c r="H16" s="45">
        <v>23</v>
      </c>
      <c r="I16" s="45">
        <v>26</v>
      </c>
      <c r="J16" s="45">
        <v>21</v>
      </c>
      <c r="K16" s="45">
        <v>27</v>
      </c>
      <c r="L16" s="45">
        <v>35</v>
      </c>
      <c r="M16" s="43">
        <v>28</v>
      </c>
      <c r="N16" s="273">
        <f t="shared" si="0"/>
        <v>209</v>
      </c>
      <c r="O16" s="274">
        <f t="shared" si="1"/>
        <v>26.125</v>
      </c>
      <c r="P16" s="275">
        <f t="shared" si="2"/>
        <v>2.1919244887257472</v>
      </c>
    </row>
    <row r="17" spans="1:20">
      <c r="A17" s="208" t="s">
        <v>307</v>
      </c>
      <c r="B17" s="108"/>
      <c r="C17" s="45"/>
      <c r="D17" s="45"/>
      <c r="E17" s="45"/>
      <c r="F17" s="45">
        <v>43</v>
      </c>
      <c r="G17" s="45">
        <v>42</v>
      </c>
      <c r="H17" s="45">
        <v>38</v>
      </c>
      <c r="I17" s="45">
        <v>40</v>
      </c>
      <c r="J17" s="45">
        <v>45</v>
      </c>
      <c r="K17" s="45">
        <v>55</v>
      </c>
      <c r="L17" s="45">
        <v>47</v>
      </c>
      <c r="M17" s="43">
        <v>49</v>
      </c>
      <c r="N17" s="273">
        <f t="shared" si="0"/>
        <v>359</v>
      </c>
      <c r="O17" s="274">
        <f t="shared" si="1"/>
        <v>44.875</v>
      </c>
      <c r="P17" s="275">
        <f t="shared" si="2"/>
        <v>3.7650760356581019</v>
      </c>
    </row>
    <row r="18" spans="1:20">
      <c r="A18" s="208" t="s">
        <v>308</v>
      </c>
      <c r="B18" s="108"/>
      <c r="C18" s="45"/>
      <c r="D18" s="45"/>
      <c r="E18" s="45"/>
      <c r="F18" s="45">
        <v>29</v>
      </c>
      <c r="G18" s="45">
        <v>23</v>
      </c>
      <c r="H18" s="45">
        <v>16</v>
      </c>
      <c r="I18" s="45">
        <v>29</v>
      </c>
      <c r="J18" s="45">
        <v>24</v>
      </c>
      <c r="K18" s="45">
        <v>28</v>
      </c>
      <c r="L18" s="45">
        <v>18</v>
      </c>
      <c r="M18" s="43">
        <v>20</v>
      </c>
      <c r="N18" s="273">
        <f t="shared" si="0"/>
        <v>187</v>
      </c>
      <c r="O18" s="274">
        <f t="shared" si="1"/>
        <v>23.375</v>
      </c>
      <c r="P18" s="275">
        <f t="shared" si="2"/>
        <v>1.9611955951756683</v>
      </c>
    </row>
    <row r="19" spans="1:20">
      <c r="A19" s="208" t="s">
        <v>309</v>
      </c>
      <c r="B19" s="108"/>
      <c r="C19" s="45"/>
      <c r="D19" s="45"/>
      <c r="E19" s="45"/>
      <c r="F19" s="45">
        <v>38</v>
      </c>
      <c r="G19" s="45">
        <v>31</v>
      </c>
      <c r="H19" s="45">
        <v>30</v>
      </c>
      <c r="I19" s="45">
        <v>25</v>
      </c>
      <c r="J19" s="45">
        <v>16</v>
      </c>
      <c r="K19" s="45">
        <v>26</v>
      </c>
      <c r="L19" s="45">
        <v>17</v>
      </c>
      <c r="M19" s="43">
        <v>22</v>
      </c>
      <c r="N19" s="273">
        <f t="shared" si="0"/>
        <v>205</v>
      </c>
      <c r="O19" s="274">
        <f t="shared" si="1"/>
        <v>25.625</v>
      </c>
      <c r="P19" s="275">
        <f t="shared" si="2"/>
        <v>2.1499737808075512</v>
      </c>
      <c r="Q19" s="149"/>
      <c r="T19" s="134"/>
    </row>
    <row r="20" spans="1:20">
      <c r="A20" s="208" t="s">
        <v>310</v>
      </c>
      <c r="B20" s="108"/>
      <c r="C20" s="45"/>
      <c r="D20" s="45"/>
      <c r="E20" s="45"/>
      <c r="F20" s="45">
        <v>76</v>
      </c>
      <c r="G20" s="45">
        <v>80</v>
      </c>
      <c r="H20" s="45">
        <v>82</v>
      </c>
      <c r="I20" s="45">
        <v>125</v>
      </c>
      <c r="J20" s="45">
        <v>91</v>
      </c>
      <c r="K20" s="45">
        <v>140</v>
      </c>
      <c r="L20" s="45">
        <v>71</v>
      </c>
      <c r="M20" s="43">
        <v>70</v>
      </c>
      <c r="N20" s="273">
        <f t="shared" si="0"/>
        <v>735</v>
      </c>
      <c r="O20" s="274">
        <f t="shared" si="1"/>
        <v>91.875</v>
      </c>
      <c r="P20" s="275">
        <f t="shared" si="2"/>
        <v>7.708442579968537</v>
      </c>
      <c r="Q20" s="149"/>
      <c r="T20" s="134"/>
    </row>
    <row r="21" spans="1:20">
      <c r="A21" s="208" t="s">
        <v>311</v>
      </c>
      <c r="B21" s="108"/>
      <c r="C21" s="45"/>
      <c r="D21" s="45"/>
      <c r="E21" s="45"/>
      <c r="F21" s="45">
        <v>25</v>
      </c>
      <c r="G21" s="45">
        <v>37</v>
      </c>
      <c r="H21" s="45">
        <v>24</v>
      </c>
      <c r="I21" s="45">
        <v>34</v>
      </c>
      <c r="J21" s="45">
        <v>14</v>
      </c>
      <c r="K21" s="45">
        <v>33</v>
      </c>
      <c r="L21" s="45">
        <v>23</v>
      </c>
      <c r="M21" s="43">
        <v>22</v>
      </c>
      <c r="N21" s="273">
        <f t="shared" si="0"/>
        <v>212</v>
      </c>
      <c r="O21" s="274">
        <f t="shared" si="1"/>
        <v>26.5</v>
      </c>
      <c r="P21" s="275">
        <f t="shared" si="2"/>
        <v>2.2233875196643944</v>
      </c>
      <c r="Q21" s="149"/>
      <c r="T21" s="134"/>
    </row>
    <row r="22" spans="1:20">
      <c r="A22" s="208" t="s">
        <v>312</v>
      </c>
      <c r="B22" s="108"/>
      <c r="C22" s="45"/>
      <c r="D22" s="45"/>
      <c r="E22" s="45"/>
      <c r="F22" s="45">
        <v>57</v>
      </c>
      <c r="G22" s="45">
        <v>63</v>
      </c>
      <c r="H22" s="45">
        <v>61</v>
      </c>
      <c r="I22" s="45">
        <v>68</v>
      </c>
      <c r="J22" s="45">
        <v>51</v>
      </c>
      <c r="K22" s="45">
        <v>75</v>
      </c>
      <c r="L22" s="45">
        <v>55</v>
      </c>
      <c r="M22" s="43">
        <v>53</v>
      </c>
      <c r="N22" s="273">
        <f t="shared" si="0"/>
        <v>483</v>
      </c>
      <c r="O22" s="274">
        <f t="shared" si="1"/>
        <v>60.375</v>
      </c>
      <c r="P22" s="275">
        <f t="shared" si="2"/>
        <v>5.0655479811221813</v>
      </c>
      <c r="Q22" s="149"/>
      <c r="T22" s="134"/>
    </row>
    <row r="23" spans="1:20">
      <c r="A23" s="208" t="s">
        <v>313</v>
      </c>
      <c r="B23" s="108"/>
      <c r="C23" s="45"/>
      <c r="D23" s="45"/>
      <c r="E23" s="45"/>
      <c r="F23" s="45">
        <v>14</v>
      </c>
      <c r="G23" s="45">
        <v>11</v>
      </c>
      <c r="H23" s="45">
        <v>8</v>
      </c>
      <c r="I23" s="45">
        <v>22</v>
      </c>
      <c r="J23" s="45">
        <v>13</v>
      </c>
      <c r="K23" s="45">
        <v>7</v>
      </c>
      <c r="L23" s="45">
        <v>16</v>
      </c>
      <c r="M23" s="43">
        <v>5</v>
      </c>
      <c r="N23" s="273">
        <f t="shared" si="0"/>
        <v>96</v>
      </c>
      <c r="O23" s="274">
        <f t="shared" si="1"/>
        <v>12</v>
      </c>
      <c r="P23" s="275">
        <f t="shared" si="2"/>
        <v>1.006816990036707</v>
      </c>
      <c r="Q23" s="149"/>
      <c r="T23" s="134"/>
    </row>
    <row r="24" spans="1:20">
      <c r="A24" s="208" t="s">
        <v>314</v>
      </c>
      <c r="B24" s="108"/>
      <c r="C24" s="45"/>
      <c r="D24" s="45"/>
      <c r="E24" s="45"/>
      <c r="F24" s="45">
        <v>79</v>
      </c>
      <c r="G24" s="45">
        <v>63</v>
      </c>
      <c r="H24" s="45">
        <v>55</v>
      </c>
      <c r="I24" s="45">
        <v>58</v>
      </c>
      <c r="J24" s="45">
        <v>59</v>
      </c>
      <c r="K24" s="45">
        <v>70</v>
      </c>
      <c r="L24" s="45">
        <v>52</v>
      </c>
      <c r="M24" s="43">
        <v>71</v>
      </c>
      <c r="N24" s="273">
        <f t="shared" si="0"/>
        <v>507</v>
      </c>
      <c r="O24" s="274">
        <f t="shared" si="1"/>
        <v>63.375</v>
      </c>
      <c r="P24" s="275">
        <f t="shared" si="2"/>
        <v>5.3172522286313582</v>
      </c>
      <c r="Q24" s="149"/>
      <c r="T24" s="134"/>
    </row>
    <row r="25" spans="1:20">
      <c r="A25" s="208" t="s">
        <v>315</v>
      </c>
      <c r="B25" s="108"/>
      <c r="C25" s="45"/>
      <c r="D25" s="45"/>
      <c r="E25" s="45"/>
      <c r="F25" s="45">
        <v>7</v>
      </c>
      <c r="G25" s="45">
        <v>8</v>
      </c>
      <c r="H25" s="45">
        <v>9</v>
      </c>
      <c r="I25" s="45">
        <v>13</v>
      </c>
      <c r="J25" s="45">
        <v>4</v>
      </c>
      <c r="K25" s="45">
        <v>14</v>
      </c>
      <c r="L25" s="45">
        <v>5</v>
      </c>
      <c r="M25" s="43">
        <v>10</v>
      </c>
      <c r="N25" s="273">
        <f t="shared" si="0"/>
        <v>70</v>
      </c>
      <c r="O25" s="274">
        <f t="shared" si="1"/>
        <v>8.75</v>
      </c>
      <c r="P25" s="275">
        <f t="shared" si="2"/>
        <v>0.73413738856843214</v>
      </c>
      <c r="Q25" s="149"/>
      <c r="T25" s="134"/>
    </row>
    <row r="26" spans="1:20">
      <c r="A26" s="208" t="s">
        <v>316</v>
      </c>
      <c r="B26" s="108"/>
      <c r="C26" s="45"/>
      <c r="D26" s="45"/>
      <c r="E26" s="45"/>
      <c r="F26" s="45">
        <v>31</v>
      </c>
      <c r="G26" s="45">
        <v>50</v>
      </c>
      <c r="H26" s="45">
        <v>46</v>
      </c>
      <c r="I26" s="45">
        <v>65</v>
      </c>
      <c r="J26" s="45">
        <v>26</v>
      </c>
      <c r="K26" s="45">
        <v>51</v>
      </c>
      <c r="L26" s="45">
        <v>43</v>
      </c>
      <c r="M26" s="43">
        <v>47</v>
      </c>
      <c r="N26" s="273">
        <f t="shared" si="0"/>
        <v>359</v>
      </c>
      <c r="O26" s="274">
        <f t="shared" si="1"/>
        <v>44.875</v>
      </c>
      <c r="P26" s="275">
        <f t="shared" si="2"/>
        <v>3.7650760356581019</v>
      </c>
      <c r="Q26" s="149"/>
      <c r="T26" s="134"/>
    </row>
    <row r="27" spans="1:20">
      <c r="A27" s="208" t="s">
        <v>317</v>
      </c>
      <c r="B27" s="108"/>
      <c r="C27" s="45"/>
      <c r="D27" s="45"/>
      <c r="E27" s="45"/>
      <c r="F27" s="45">
        <v>46</v>
      </c>
      <c r="G27" s="45">
        <v>46</v>
      </c>
      <c r="H27" s="45">
        <v>36</v>
      </c>
      <c r="I27" s="45">
        <v>57</v>
      </c>
      <c r="J27" s="45">
        <v>25</v>
      </c>
      <c r="K27" s="45">
        <v>54</v>
      </c>
      <c r="L27" s="45">
        <v>52</v>
      </c>
      <c r="M27" s="43">
        <v>38</v>
      </c>
      <c r="N27" s="273">
        <f t="shared" si="0"/>
        <v>354</v>
      </c>
      <c r="O27" s="274">
        <f t="shared" si="1"/>
        <v>44.25</v>
      </c>
      <c r="P27" s="275">
        <f t="shared" si="2"/>
        <v>3.7126376507603567</v>
      </c>
      <c r="Q27" s="149"/>
      <c r="T27" s="134"/>
    </row>
    <row r="28" spans="1:20">
      <c r="A28" s="208" t="s">
        <v>318</v>
      </c>
      <c r="B28" s="108"/>
      <c r="C28" s="45"/>
      <c r="D28" s="45"/>
      <c r="E28" s="45"/>
      <c r="F28" s="45">
        <v>59</v>
      </c>
      <c r="G28" s="45">
        <v>65</v>
      </c>
      <c r="H28" s="45">
        <v>43</v>
      </c>
      <c r="I28" s="45">
        <v>53</v>
      </c>
      <c r="J28" s="45">
        <v>46</v>
      </c>
      <c r="K28" s="45">
        <v>57</v>
      </c>
      <c r="L28" s="45">
        <v>34</v>
      </c>
      <c r="M28" s="43">
        <v>42</v>
      </c>
      <c r="N28" s="273">
        <f t="shared" si="0"/>
        <v>399</v>
      </c>
      <c r="O28" s="274">
        <f t="shared" si="1"/>
        <v>49.875</v>
      </c>
      <c r="P28" s="275">
        <f t="shared" si="2"/>
        <v>4.1845831148400636</v>
      </c>
      <c r="Q28" s="149"/>
      <c r="T28" s="134"/>
    </row>
    <row r="29" spans="1:20">
      <c r="A29" s="208" t="s">
        <v>319</v>
      </c>
      <c r="B29" s="108"/>
      <c r="C29" s="45"/>
      <c r="D29" s="45"/>
      <c r="E29" s="45"/>
      <c r="F29" s="45">
        <v>64</v>
      </c>
      <c r="G29" s="45">
        <v>83</v>
      </c>
      <c r="H29" s="45">
        <v>63</v>
      </c>
      <c r="I29" s="45">
        <v>54</v>
      </c>
      <c r="J29" s="45">
        <v>69</v>
      </c>
      <c r="K29" s="45">
        <v>68</v>
      </c>
      <c r="L29" s="45">
        <v>51</v>
      </c>
      <c r="M29" s="43">
        <v>44</v>
      </c>
      <c r="N29" s="273">
        <f t="shared" si="0"/>
        <v>496</v>
      </c>
      <c r="O29" s="274">
        <f t="shared" si="1"/>
        <v>62</v>
      </c>
      <c r="P29" s="275">
        <f t="shared" si="2"/>
        <v>5.2018877818563185</v>
      </c>
      <c r="Q29" s="149"/>
      <c r="T29" s="134"/>
    </row>
    <row r="30" spans="1:20">
      <c r="A30" s="208" t="s">
        <v>320</v>
      </c>
      <c r="B30" s="108"/>
      <c r="C30" s="45"/>
      <c r="D30" s="45"/>
      <c r="E30" s="45"/>
      <c r="F30" s="45">
        <v>22</v>
      </c>
      <c r="G30" s="45">
        <v>21</v>
      </c>
      <c r="H30" s="45">
        <v>27</v>
      </c>
      <c r="I30" s="45">
        <v>33</v>
      </c>
      <c r="J30" s="45">
        <v>17</v>
      </c>
      <c r="K30" s="45">
        <v>27</v>
      </c>
      <c r="L30" s="45">
        <v>34</v>
      </c>
      <c r="M30" s="43">
        <v>32</v>
      </c>
      <c r="N30" s="273">
        <f t="shared" si="0"/>
        <v>213</v>
      </c>
      <c r="O30" s="274">
        <f t="shared" si="1"/>
        <v>26.625</v>
      </c>
      <c r="P30" s="275">
        <f t="shared" si="2"/>
        <v>2.2338751966439432</v>
      </c>
      <c r="Q30" s="149"/>
      <c r="T30" s="134"/>
    </row>
    <row r="31" spans="1:20">
      <c r="A31" s="208" t="s">
        <v>321</v>
      </c>
      <c r="B31" s="108"/>
      <c r="C31" s="45"/>
      <c r="D31" s="45"/>
      <c r="E31" s="45"/>
      <c r="F31" s="45">
        <v>15</v>
      </c>
      <c r="G31" s="45">
        <v>23</v>
      </c>
      <c r="H31" s="45">
        <v>18</v>
      </c>
      <c r="I31" s="45">
        <v>23</v>
      </c>
      <c r="J31" s="45">
        <v>17</v>
      </c>
      <c r="K31" s="45">
        <v>17</v>
      </c>
      <c r="L31" s="45">
        <v>20</v>
      </c>
      <c r="M31" s="43">
        <v>10</v>
      </c>
      <c r="N31" s="273">
        <f t="shared" si="0"/>
        <v>143</v>
      </c>
      <c r="O31" s="274">
        <f t="shared" si="1"/>
        <v>17.875</v>
      </c>
      <c r="P31" s="275">
        <f t="shared" si="2"/>
        <v>1.4997378080755113</v>
      </c>
      <c r="Q31" s="149"/>
      <c r="T31" s="134"/>
    </row>
    <row r="32" spans="1:20">
      <c r="A32" s="208" t="s">
        <v>322</v>
      </c>
      <c r="B32" s="108"/>
      <c r="C32" s="45"/>
      <c r="D32" s="45"/>
      <c r="E32" s="45"/>
      <c r="F32" s="45">
        <v>16</v>
      </c>
      <c r="G32" s="45">
        <v>20</v>
      </c>
      <c r="H32" s="45">
        <v>17</v>
      </c>
      <c r="I32" s="45">
        <v>29</v>
      </c>
      <c r="J32" s="45">
        <v>19</v>
      </c>
      <c r="K32" s="45">
        <v>21</v>
      </c>
      <c r="L32" s="45">
        <v>12</v>
      </c>
      <c r="M32" s="43">
        <v>23</v>
      </c>
      <c r="N32" s="273">
        <f t="shared" si="0"/>
        <v>157</v>
      </c>
      <c r="O32" s="274">
        <f t="shared" si="1"/>
        <v>19.625</v>
      </c>
      <c r="P32" s="275">
        <f t="shared" si="2"/>
        <v>1.6465652857891977</v>
      </c>
      <c r="Q32" s="149"/>
      <c r="T32" s="134"/>
    </row>
    <row r="33" spans="1:20">
      <c r="A33" s="208" t="s">
        <v>323</v>
      </c>
      <c r="B33" s="108"/>
      <c r="C33" s="45"/>
      <c r="D33" s="45"/>
      <c r="E33" s="45"/>
      <c r="F33" s="45">
        <v>57</v>
      </c>
      <c r="G33" s="45">
        <v>76</v>
      </c>
      <c r="H33" s="45">
        <v>72</v>
      </c>
      <c r="I33" s="45">
        <v>91</v>
      </c>
      <c r="J33" s="45">
        <v>63</v>
      </c>
      <c r="K33" s="45">
        <v>78</v>
      </c>
      <c r="L33" s="45">
        <v>72</v>
      </c>
      <c r="M33" s="43">
        <v>46</v>
      </c>
      <c r="N33" s="273">
        <f t="shared" si="0"/>
        <v>555</v>
      </c>
      <c r="O33" s="274">
        <f t="shared" si="1"/>
        <v>69.375</v>
      </c>
      <c r="P33" s="275">
        <f t="shared" si="2"/>
        <v>5.820660723649711</v>
      </c>
      <c r="Q33" s="149"/>
      <c r="T33" s="134"/>
    </row>
    <row r="34" spans="1:20">
      <c r="A34" s="208" t="s">
        <v>324</v>
      </c>
      <c r="B34" s="108"/>
      <c r="C34" s="45"/>
      <c r="D34" s="45"/>
      <c r="E34" s="45"/>
      <c r="F34" s="45">
        <v>40</v>
      </c>
      <c r="G34" s="45">
        <v>50</v>
      </c>
      <c r="H34" s="45">
        <v>28</v>
      </c>
      <c r="I34" s="45">
        <v>33</v>
      </c>
      <c r="J34" s="45">
        <v>27</v>
      </c>
      <c r="K34" s="45">
        <v>27</v>
      </c>
      <c r="L34" s="45">
        <v>42</v>
      </c>
      <c r="M34" s="43">
        <v>28</v>
      </c>
      <c r="N34" s="273">
        <f t="shared" si="0"/>
        <v>275</v>
      </c>
      <c r="O34" s="274">
        <f t="shared" si="1"/>
        <v>34.375</v>
      </c>
      <c r="P34" s="275">
        <f t="shared" si="2"/>
        <v>2.8841111693759833</v>
      </c>
      <c r="Q34" s="149"/>
      <c r="T34" s="134"/>
    </row>
    <row r="35" spans="1:20">
      <c r="A35" s="208" t="s">
        <v>325</v>
      </c>
      <c r="B35" s="108"/>
      <c r="C35" s="45"/>
      <c r="D35" s="45"/>
      <c r="E35" s="45"/>
      <c r="F35" s="45">
        <v>53</v>
      </c>
      <c r="G35" s="45">
        <v>59</v>
      </c>
      <c r="H35" s="45">
        <v>58</v>
      </c>
      <c r="I35" s="45">
        <v>62</v>
      </c>
      <c r="J35" s="45">
        <v>39</v>
      </c>
      <c r="K35" s="45">
        <v>65</v>
      </c>
      <c r="L35" s="45">
        <v>59</v>
      </c>
      <c r="M35" s="43">
        <v>48</v>
      </c>
      <c r="N35" s="273">
        <f t="shared" si="0"/>
        <v>443</v>
      </c>
      <c r="O35" s="274">
        <f t="shared" si="1"/>
        <v>55.375</v>
      </c>
      <c r="P35" s="275">
        <f t="shared" si="2"/>
        <v>4.6460409019402205</v>
      </c>
      <c r="Q35" s="149"/>
      <c r="T35" s="134"/>
    </row>
    <row r="36" spans="1:20" ht="15.75" thickBot="1">
      <c r="A36" s="212" t="s">
        <v>326</v>
      </c>
      <c r="B36" s="112"/>
      <c r="C36" s="52"/>
      <c r="D36" s="52"/>
      <c r="E36" s="52"/>
      <c r="F36" s="52">
        <v>26</v>
      </c>
      <c r="G36" s="52">
        <v>16</v>
      </c>
      <c r="H36" s="52">
        <v>12</v>
      </c>
      <c r="I36" s="52">
        <v>35</v>
      </c>
      <c r="J36" s="52">
        <v>57</v>
      </c>
      <c r="K36" s="45">
        <v>44</v>
      </c>
      <c r="L36" s="52">
        <v>32</v>
      </c>
      <c r="M36" s="51">
        <v>17</v>
      </c>
      <c r="N36" s="276">
        <f t="shared" si="0"/>
        <v>239</v>
      </c>
      <c r="O36" s="277">
        <f t="shared" si="1"/>
        <v>29.875</v>
      </c>
      <c r="P36" s="275">
        <f t="shared" si="2"/>
        <v>2.506554798112218</v>
      </c>
      <c r="Q36" s="149"/>
      <c r="T36" s="134"/>
    </row>
    <row r="37" spans="1:20" ht="15.75" thickBot="1">
      <c r="A37" s="278" t="s">
        <v>5</v>
      </c>
      <c r="B37" s="62"/>
      <c r="C37" s="62"/>
      <c r="D37" s="62"/>
      <c r="E37" s="59"/>
      <c r="F37" s="59">
        <f t="shared" ref="F37:N37" si="3">SUM(F5:F36)</f>
        <v>1152</v>
      </c>
      <c r="G37" s="59">
        <f t="shared" si="3"/>
        <v>1303</v>
      </c>
      <c r="H37" s="59">
        <f t="shared" si="3"/>
        <v>1082</v>
      </c>
      <c r="I37" s="59">
        <f t="shared" si="3"/>
        <v>1387</v>
      </c>
      <c r="J37" s="59">
        <f t="shared" si="3"/>
        <v>1054</v>
      </c>
      <c r="K37" s="59">
        <f t="shared" si="3"/>
        <v>1343</v>
      </c>
      <c r="L37" s="59">
        <f t="shared" si="3"/>
        <v>1163</v>
      </c>
      <c r="M37" s="279">
        <f t="shared" si="3"/>
        <v>1051</v>
      </c>
      <c r="N37" s="280">
        <f t="shared" si="3"/>
        <v>9535</v>
      </c>
      <c r="O37" s="171">
        <f t="shared" si="1"/>
        <v>1191.875</v>
      </c>
      <c r="P37" s="281">
        <f>SUM(P5:P36)</f>
        <v>99.999999999999986</v>
      </c>
      <c r="Q37" s="149"/>
      <c r="T37" s="134"/>
    </row>
    <row r="38" spans="1:20">
      <c r="Q38" s="149"/>
      <c r="T38" s="134"/>
    </row>
    <row r="39" spans="1:20">
      <c r="Q39" s="149"/>
      <c r="T39" s="134"/>
    </row>
    <row r="40" spans="1:20">
      <c r="Q40" s="149"/>
      <c r="T40" s="134"/>
    </row>
    <row r="41" spans="1:20">
      <c r="Q41" s="149"/>
      <c r="T41" s="134"/>
    </row>
    <row r="42" spans="1:20">
      <c r="Q42" s="149"/>
      <c r="T42" s="134"/>
    </row>
    <row r="43" spans="1:20">
      <c r="Q43" s="149"/>
      <c r="T43" s="134"/>
    </row>
    <row r="44" spans="1:20">
      <c r="Q44" s="149"/>
      <c r="T44" s="134"/>
    </row>
    <row r="45" spans="1:20">
      <c r="Q45" s="149"/>
      <c r="T45" s="134"/>
    </row>
    <row r="46" spans="1:20">
      <c r="Q46" s="149"/>
      <c r="T46" s="134"/>
    </row>
    <row r="47" spans="1:20">
      <c r="Q47" s="149"/>
      <c r="T47" s="134"/>
    </row>
    <row r="48" spans="1:20">
      <c r="Q48" s="149"/>
      <c r="T48" s="134"/>
    </row>
    <row r="49" spans="17:20">
      <c r="Q49" s="149"/>
      <c r="T49" s="134"/>
    </row>
    <row r="50" spans="17:20">
      <c r="Q50" s="149"/>
      <c r="T50" s="134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F37:M37" formulaRange="1"/>
    <ignoredError sqref="O37" formula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zoomScaleNormal="100" workbookViewId="0">
      <selection activeCell="F9" sqref="F9"/>
    </sheetView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bestFit="1" customWidth="1"/>
    <col min="12" max="12" width="7.140625" bestFit="1" customWidth="1"/>
    <col min="13" max="13" width="7.5703125" customWidth="1"/>
    <col min="14" max="14" width="6.140625" bestFit="1" customWidth="1"/>
    <col min="15" max="15" width="7.85546875" bestFit="1" customWidth="1"/>
    <col min="16" max="16" width="17.85546875" customWidth="1"/>
    <col min="17" max="17" width="9.140625" customWidth="1"/>
  </cols>
  <sheetData>
    <row r="1" spans="1:16">
      <c r="A1" s="1" t="s">
        <v>0</v>
      </c>
      <c r="K1" s="798"/>
      <c r="L1" s="798"/>
      <c r="M1" s="798"/>
      <c r="N1" s="798"/>
      <c r="O1" s="798"/>
      <c r="P1" s="695">
        <v>1152</v>
      </c>
    </row>
    <row r="2" spans="1:16">
      <c r="A2" s="1" t="s">
        <v>1</v>
      </c>
      <c r="K2" s="798"/>
      <c r="L2" s="798"/>
      <c r="M2" s="798"/>
      <c r="N2" s="798"/>
      <c r="O2" s="798"/>
      <c r="P2" s="798"/>
    </row>
    <row r="3" spans="1:16">
      <c r="A3" s="1"/>
      <c r="K3" s="798"/>
      <c r="L3" s="798"/>
      <c r="M3" s="798"/>
      <c r="N3" s="798"/>
      <c r="O3" s="798"/>
      <c r="P3" s="798"/>
    </row>
    <row r="4" spans="1:16">
      <c r="A4" s="1" t="s">
        <v>327</v>
      </c>
      <c r="K4" s="798"/>
      <c r="L4" s="798"/>
      <c r="M4" s="798"/>
      <c r="N4" s="798"/>
      <c r="O4" s="798"/>
      <c r="P4" s="798"/>
    </row>
    <row r="5" spans="1:16" ht="15.75" thickBot="1">
      <c r="K5" s="798"/>
      <c r="L5" s="798"/>
      <c r="M5" s="798"/>
      <c r="N5" s="798"/>
      <c r="O5" s="798"/>
      <c r="P5" s="798"/>
    </row>
    <row r="6" spans="1:16" ht="45.75" customHeight="1" thickBot="1">
      <c r="A6" s="60" t="s">
        <v>213</v>
      </c>
      <c r="B6" s="25">
        <v>45261</v>
      </c>
      <c r="C6" s="102">
        <v>45231</v>
      </c>
      <c r="D6" s="102">
        <v>45200</v>
      </c>
      <c r="E6" s="102">
        <v>45170</v>
      </c>
      <c r="F6" s="102">
        <v>45139</v>
      </c>
      <c r="G6" s="102">
        <v>45108</v>
      </c>
      <c r="H6" s="227">
        <v>45078</v>
      </c>
      <c r="I6" s="282">
        <v>45047</v>
      </c>
      <c r="J6" s="283">
        <v>45017</v>
      </c>
      <c r="K6" s="283">
        <v>44986</v>
      </c>
      <c r="L6" s="283">
        <v>44958</v>
      </c>
      <c r="M6" s="284">
        <v>44927</v>
      </c>
      <c r="N6" s="285" t="s">
        <v>5</v>
      </c>
      <c r="O6" s="286" t="s">
        <v>6</v>
      </c>
      <c r="P6" s="228" t="s">
        <v>456</v>
      </c>
    </row>
    <row r="7" spans="1:16" ht="15.75" thickBot="1">
      <c r="A7" s="287" t="s">
        <v>310</v>
      </c>
      <c r="B7" s="288"/>
      <c r="C7" s="45"/>
      <c r="D7" s="45"/>
      <c r="E7" s="45"/>
      <c r="F7" s="45">
        <v>76</v>
      </c>
      <c r="G7" s="45">
        <v>80</v>
      </c>
      <c r="H7" s="45">
        <v>82</v>
      </c>
      <c r="I7" s="45">
        <v>125</v>
      </c>
      <c r="J7" s="33">
        <v>91</v>
      </c>
      <c r="K7" s="33">
        <v>140</v>
      </c>
      <c r="L7" s="33">
        <v>71</v>
      </c>
      <c r="M7" s="32">
        <v>70</v>
      </c>
      <c r="N7" s="270">
        <f t="shared" ref="N7:N17" si="0">SUM(B7:M7)</f>
        <v>735</v>
      </c>
      <c r="O7" s="289">
        <f t="shared" ref="O7:O17" si="1">AVERAGE(B7:M7)</f>
        <v>91.875</v>
      </c>
      <c r="P7" s="290">
        <f>(F7*100)/$P$1</f>
        <v>6.5972222222222223</v>
      </c>
    </row>
    <row r="8" spans="1:16" ht="15.75" thickBot="1">
      <c r="A8" s="291" t="s">
        <v>323</v>
      </c>
      <c r="B8" s="288"/>
      <c r="C8" s="45"/>
      <c r="D8" s="45"/>
      <c r="E8" s="45"/>
      <c r="F8" s="45">
        <v>57</v>
      </c>
      <c r="G8" s="45">
        <v>76</v>
      </c>
      <c r="H8" s="45">
        <v>72</v>
      </c>
      <c r="I8" s="45">
        <v>91</v>
      </c>
      <c r="J8" s="45">
        <v>63</v>
      </c>
      <c r="K8" s="45">
        <v>78</v>
      </c>
      <c r="L8" s="45">
        <v>72</v>
      </c>
      <c r="M8" s="44">
        <v>46</v>
      </c>
      <c r="N8" s="273">
        <f t="shared" si="0"/>
        <v>555</v>
      </c>
      <c r="O8" s="274">
        <f t="shared" si="1"/>
        <v>69.375</v>
      </c>
      <c r="P8" s="290">
        <f t="shared" ref="P8:P17" si="2">(F8*100)/$P$1</f>
        <v>4.947916666666667</v>
      </c>
    </row>
    <row r="9" spans="1:16" ht="15.75" thickBot="1">
      <c r="A9" s="291" t="s">
        <v>314</v>
      </c>
      <c r="B9" s="288"/>
      <c r="C9" s="45"/>
      <c r="D9" s="45"/>
      <c r="E9" s="45"/>
      <c r="F9" s="45">
        <v>79</v>
      </c>
      <c r="G9" s="45">
        <v>63</v>
      </c>
      <c r="H9" s="45">
        <v>55</v>
      </c>
      <c r="I9" s="45">
        <v>58</v>
      </c>
      <c r="J9" s="45">
        <v>59</v>
      </c>
      <c r="K9" s="45">
        <v>70</v>
      </c>
      <c r="L9" s="45">
        <v>52</v>
      </c>
      <c r="M9" s="44">
        <v>71</v>
      </c>
      <c r="N9" s="273">
        <f t="shared" si="0"/>
        <v>507</v>
      </c>
      <c r="O9" s="274">
        <f t="shared" si="1"/>
        <v>63.375</v>
      </c>
      <c r="P9" s="290">
        <f t="shared" si="2"/>
        <v>6.8576388888888893</v>
      </c>
    </row>
    <row r="10" spans="1:16" ht="15.75" thickBot="1">
      <c r="A10" s="291" t="s">
        <v>319</v>
      </c>
      <c r="B10" s="288"/>
      <c r="C10" s="45"/>
      <c r="D10" s="45"/>
      <c r="E10" s="45"/>
      <c r="F10" s="45">
        <v>64</v>
      </c>
      <c r="G10" s="45">
        <v>83</v>
      </c>
      <c r="H10" s="45">
        <v>63</v>
      </c>
      <c r="I10" s="45">
        <v>54</v>
      </c>
      <c r="J10" s="45">
        <v>69</v>
      </c>
      <c r="K10" s="45">
        <v>68</v>
      </c>
      <c r="L10" s="45">
        <v>51</v>
      </c>
      <c r="M10" s="44">
        <v>44</v>
      </c>
      <c r="N10" s="273">
        <f t="shared" si="0"/>
        <v>496</v>
      </c>
      <c r="O10" s="274">
        <f t="shared" si="1"/>
        <v>62</v>
      </c>
      <c r="P10" s="290">
        <f t="shared" si="2"/>
        <v>5.5555555555555554</v>
      </c>
    </row>
    <row r="11" spans="1:16" ht="15.75" thickBot="1">
      <c r="A11" s="291" t="s">
        <v>312</v>
      </c>
      <c r="B11" s="288"/>
      <c r="C11" s="45"/>
      <c r="D11" s="45"/>
      <c r="E11" s="45"/>
      <c r="F11" s="45">
        <v>57</v>
      </c>
      <c r="G11" s="45">
        <v>63</v>
      </c>
      <c r="H11" s="45">
        <v>61</v>
      </c>
      <c r="I11" s="45">
        <v>68</v>
      </c>
      <c r="J11" s="45">
        <v>51</v>
      </c>
      <c r="K11" s="45">
        <v>75</v>
      </c>
      <c r="L11" s="45">
        <v>55</v>
      </c>
      <c r="M11" s="44">
        <v>53</v>
      </c>
      <c r="N11" s="273">
        <f t="shared" si="0"/>
        <v>483</v>
      </c>
      <c r="O11" s="274">
        <f t="shared" si="1"/>
        <v>60.375</v>
      </c>
      <c r="P11" s="290">
        <f t="shared" si="2"/>
        <v>4.947916666666667</v>
      </c>
    </row>
    <row r="12" spans="1:16" ht="15.75" thickBot="1">
      <c r="A12" s="291" t="s">
        <v>296</v>
      </c>
      <c r="B12" s="288"/>
      <c r="C12" s="45"/>
      <c r="D12" s="45"/>
      <c r="E12" s="45"/>
      <c r="F12" s="45">
        <v>64</v>
      </c>
      <c r="G12" s="45">
        <v>51</v>
      </c>
      <c r="H12" s="45">
        <v>54</v>
      </c>
      <c r="I12" s="45">
        <v>80</v>
      </c>
      <c r="J12" s="45">
        <v>52</v>
      </c>
      <c r="K12" s="45">
        <v>66</v>
      </c>
      <c r="L12" s="45">
        <v>57</v>
      </c>
      <c r="M12" s="44">
        <v>52</v>
      </c>
      <c r="N12" s="273">
        <f t="shared" si="0"/>
        <v>476</v>
      </c>
      <c r="O12" s="274">
        <f t="shared" si="1"/>
        <v>59.5</v>
      </c>
      <c r="P12" s="290">
        <f t="shared" si="2"/>
        <v>5.5555555555555554</v>
      </c>
    </row>
    <row r="13" spans="1:16" ht="15.75" thickBot="1">
      <c r="A13" s="291" t="s">
        <v>325</v>
      </c>
      <c r="B13" s="288"/>
      <c r="C13" s="45"/>
      <c r="D13" s="45"/>
      <c r="E13" s="45"/>
      <c r="F13" s="45">
        <v>53</v>
      </c>
      <c r="G13" s="45">
        <v>59</v>
      </c>
      <c r="H13" s="45">
        <v>58</v>
      </c>
      <c r="I13" s="45">
        <v>62</v>
      </c>
      <c r="J13" s="45">
        <v>39</v>
      </c>
      <c r="K13" s="45">
        <v>65</v>
      </c>
      <c r="L13" s="45">
        <v>59</v>
      </c>
      <c r="M13" s="44">
        <v>48</v>
      </c>
      <c r="N13" s="273">
        <f t="shared" si="0"/>
        <v>443</v>
      </c>
      <c r="O13" s="274">
        <f t="shared" si="1"/>
        <v>55.375</v>
      </c>
      <c r="P13" s="290">
        <f t="shared" si="2"/>
        <v>4.6006944444444446</v>
      </c>
    </row>
    <row r="14" spans="1:16" ht="15.75" thickBot="1">
      <c r="A14" s="291" t="s">
        <v>297</v>
      </c>
      <c r="B14" s="288"/>
      <c r="C14" s="45"/>
      <c r="D14" s="45"/>
      <c r="E14" s="45"/>
      <c r="F14" s="45">
        <v>43</v>
      </c>
      <c r="G14" s="45">
        <v>94</v>
      </c>
      <c r="H14" s="45">
        <v>41</v>
      </c>
      <c r="I14" s="45">
        <v>47</v>
      </c>
      <c r="J14" s="45">
        <v>40</v>
      </c>
      <c r="K14" s="45">
        <v>36</v>
      </c>
      <c r="L14" s="45">
        <v>48</v>
      </c>
      <c r="M14" s="44">
        <v>62</v>
      </c>
      <c r="N14" s="273">
        <f t="shared" si="0"/>
        <v>411</v>
      </c>
      <c r="O14" s="274">
        <f t="shared" si="1"/>
        <v>51.375</v>
      </c>
      <c r="P14" s="290">
        <f t="shared" si="2"/>
        <v>3.7326388888888888</v>
      </c>
    </row>
    <row r="15" spans="1:16" ht="15.75" thickBot="1">
      <c r="A15" s="291" t="s">
        <v>318</v>
      </c>
      <c r="B15" s="288"/>
      <c r="C15" s="45"/>
      <c r="D15" s="45"/>
      <c r="E15" s="45"/>
      <c r="F15" s="45">
        <v>59</v>
      </c>
      <c r="G15" s="45">
        <v>65</v>
      </c>
      <c r="H15" s="45">
        <v>43</v>
      </c>
      <c r="I15" s="45">
        <v>53</v>
      </c>
      <c r="J15" s="45">
        <v>46</v>
      </c>
      <c r="K15" s="45">
        <v>57</v>
      </c>
      <c r="L15" s="45">
        <v>34</v>
      </c>
      <c r="M15" s="44">
        <v>42</v>
      </c>
      <c r="N15" s="273">
        <f t="shared" si="0"/>
        <v>399</v>
      </c>
      <c r="O15" s="274">
        <f t="shared" si="1"/>
        <v>49.875</v>
      </c>
      <c r="P15" s="290">
        <f t="shared" si="2"/>
        <v>5.1215277777777777</v>
      </c>
    </row>
    <row r="16" spans="1:16" ht="15.75" thickBot="1">
      <c r="A16" s="292" t="s">
        <v>305</v>
      </c>
      <c r="B16" s="288"/>
      <c r="C16" s="45"/>
      <c r="D16" s="45"/>
      <c r="E16" s="45"/>
      <c r="F16" s="45">
        <v>46</v>
      </c>
      <c r="G16" s="45">
        <v>50</v>
      </c>
      <c r="H16" s="45">
        <v>47</v>
      </c>
      <c r="I16" s="45">
        <v>46</v>
      </c>
      <c r="J16" s="215">
        <v>50</v>
      </c>
      <c r="K16" s="215">
        <v>43</v>
      </c>
      <c r="L16" s="215">
        <v>65</v>
      </c>
      <c r="M16" s="293">
        <v>41</v>
      </c>
      <c r="N16" s="276">
        <f t="shared" si="0"/>
        <v>388</v>
      </c>
      <c r="O16" s="294">
        <f t="shared" si="1"/>
        <v>48.5</v>
      </c>
      <c r="P16" s="724">
        <f t="shared" si="2"/>
        <v>3.9930555555555554</v>
      </c>
    </row>
    <row r="17" spans="1:33" ht="15.75" thickBot="1">
      <c r="A17" s="58" t="s">
        <v>5</v>
      </c>
      <c r="B17" s="244"/>
      <c r="C17" s="62"/>
      <c r="D17" s="62"/>
      <c r="E17" s="62"/>
      <c r="F17" s="62">
        <f t="shared" ref="F17:M17" si="3">SUM(F7:F16)</f>
        <v>598</v>
      </c>
      <c r="G17" s="62">
        <f t="shared" si="3"/>
        <v>684</v>
      </c>
      <c r="H17" s="62">
        <f t="shared" si="3"/>
        <v>576</v>
      </c>
      <c r="I17" s="62">
        <f t="shared" si="3"/>
        <v>684</v>
      </c>
      <c r="J17" s="62">
        <f t="shared" si="3"/>
        <v>560</v>
      </c>
      <c r="K17" s="62">
        <f t="shared" si="3"/>
        <v>698</v>
      </c>
      <c r="L17" s="62">
        <f t="shared" si="3"/>
        <v>564</v>
      </c>
      <c r="M17" s="234">
        <f t="shared" si="3"/>
        <v>529</v>
      </c>
      <c r="N17" s="295">
        <f t="shared" si="0"/>
        <v>4893</v>
      </c>
      <c r="O17" s="103">
        <f t="shared" si="1"/>
        <v>611.625</v>
      </c>
      <c r="P17" s="725">
        <f t="shared" si="2"/>
        <v>51.909722222222221</v>
      </c>
    </row>
    <row r="18" spans="1:33" s="695" customFormat="1">
      <c r="A18" s="691" t="s">
        <v>214</v>
      </c>
      <c r="N18" s="696">
        <f>SUM(N7:N16)</f>
        <v>4893</v>
      </c>
      <c r="P18" s="697">
        <f>100-P17</f>
        <v>48.090277777777779</v>
      </c>
    </row>
    <row r="19" spans="1:33">
      <c r="A19" s="193"/>
      <c r="B19" s="297"/>
      <c r="C19" s="297"/>
      <c r="D19" s="297"/>
      <c r="E19" s="193"/>
      <c r="F19" s="193"/>
      <c r="G19" s="193"/>
      <c r="H19" s="193"/>
      <c r="I19" s="193"/>
      <c r="J19" s="193"/>
      <c r="K19" s="193"/>
      <c r="L19" s="193"/>
      <c r="M19" s="193"/>
      <c r="N19" s="298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</row>
    <row r="20" spans="1:33">
      <c r="A20" s="193"/>
      <c r="B20" s="297"/>
      <c r="C20" s="297"/>
      <c r="D20" s="297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258"/>
      <c r="R20" s="259"/>
      <c r="S20" s="261"/>
      <c r="T20" s="259"/>
      <c r="U20" s="259"/>
      <c r="V20" s="259"/>
      <c r="W20" s="259"/>
      <c r="X20" s="259"/>
      <c r="Y20" s="259"/>
      <c r="Z20" s="259"/>
      <c r="AA20" s="259"/>
      <c r="AB20" s="259"/>
      <c r="AC20" s="261"/>
      <c r="AD20" s="259"/>
      <c r="AE20" s="259"/>
      <c r="AF20" s="150"/>
      <c r="AG20" s="151"/>
    </row>
    <row r="21" spans="1:33">
      <c r="A21" s="193"/>
      <c r="B21" s="297"/>
      <c r="C21" s="297"/>
      <c r="D21" s="297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258"/>
      <c r="R21" s="259"/>
      <c r="S21" s="261"/>
      <c r="T21" s="259"/>
      <c r="U21" s="259"/>
      <c r="V21" s="259"/>
      <c r="W21" s="259"/>
      <c r="X21" s="259"/>
      <c r="Y21" s="259"/>
      <c r="Z21" s="259"/>
      <c r="AA21" s="259"/>
      <c r="AB21" s="259"/>
      <c r="AC21" s="261"/>
      <c r="AD21" s="259"/>
      <c r="AE21" s="259"/>
      <c r="AF21" s="150"/>
      <c r="AG21" s="151"/>
    </row>
    <row r="22" spans="1:33">
      <c r="A22" s="193"/>
      <c r="B22" s="297"/>
      <c r="C22" s="297"/>
      <c r="D22" s="297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258"/>
      <c r="V22" s="259"/>
      <c r="W22" s="259"/>
      <c r="X22" s="259"/>
      <c r="Y22" s="259"/>
      <c r="Z22" s="259"/>
      <c r="AA22" s="259"/>
      <c r="AB22" s="260"/>
      <c r="AC22" s="259"/>
      <c r="AD22" s="259"/>
      <c r="AE22" s="259"/>
      <c r="AF22" s="150"/>
      <c r="AG22" s="151"/>
    </row>
    <row r="23" spans="1:33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258"/>
      <c r="V23" s="259"/>
      <c r="W23" s="259"/>
      <c r="X23" s="259"/>
      <c r="Y23" s="259"/>
      <c r="Z23" s="259"/>
      <c r="AA23" s="259"/>
      <c r="AB23" s="260"/>
      <c r="AC23" s="259"/>
      <c r="AD23" s="259"/>
      <c r="AE23" s="259"/>
      <c r="AF23" s="150"/>
      <c r="AG23" s="151"/>
    </row>
    <row r="24" spans="1:33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258"/>
      <c r="V24" s="259"/>
      <c r="W24" s="259"/>
      <c r="X24" s="259"/>
      <c r="Y24" s="259"/>
      <c r="Z24" s="259"/>
      <c r="AA24" s="259"/>
      <c r="AB24" s="260"/>
      <c r="AC24" s="259"/>
      <c r="AD24" s="259"/>
      <c r="AE24" s="259"/>
      <c r="AF24" s="150"/>
      <c r="AG24" s="151"/>
    </row>
    <row r="25" spans="1:33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258"/>
      <c r="V25" s="259"/>
      <c r="W25" s="259"/>
      <c r="X25" s="259"/>
      <c r="Y25" s="259"/>
      <c r="Z25" s="259"/>
      <c r="AA25" s="259"/>
      <c r="AB25" s="260"/>
      <c r="AC25" s="259"/>
      <c r="AD25" s="259"/>
      <c r="AE25" s="259"/>
      <c r="AF25" s="150"/>
      <c r="AG25" s="151"/>
    </row>
    <row r="26" spans="1:33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258"/>
      <c r="V26" s="259"/>
      <c r="W26" s="259"/>
      <c r="X26" s="259"/>
      <c r="Y26" s="259"/>
      <c r="Z26" s="259"/>
      <c r="AA26" s="259"/>
      <c r="AB26" s="260"/>
      <c r="AC26" s="259"/>
      <c r="AD26" s="259"/>
      <c r="AE26" s="259"/>
      <c r="AF26" s="150"/>
      <c r="AG26" s="151"/>
    </row>
    <row r="27" spans="1:33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258"/>
      <c r="V27" s="259"/>
      <c r="W27" s="259"/>
      <c r="X27" s="259"/>
      <c r="Y27" s="259"/>
      <c r="Z27" s="259"/>
      <c r="AA27" s="259"/>
      <c r="AB27" s="260"/>
      <c r="AC27" s="259"/>
      <c r="AD27" s="259"/>
      <c r="AE27" s="259"/>
      <c r="AF27" s="150"/>
      <c r="AG27" s="151"/>
    </row>
    <row r="28" spans="1:33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258"/>
      <c r="V28" s="259"/>
      <c r="W28" s="259"/>
      <c r="X28" s="259"/>
      <c r="Y28" s="259"/>
      <c r="Z28" s="259"/>
      <c r="AA28" s="259"/>
      <c r="AB28" s="260"/>
      <c r="AC28" s="259"/>
      <c r="AD28" s="259"/>
      <c r="AE28" s="259"/>
      <c r="AF28" s="150"/>
      <c r="AG28" s="151"/>
    </row>
    <row r="29" spans="1:33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258"/>
      <c r="V29" s="259"/>
      <c r="W29" s="259"/>
      <c r="X29" s="259"/>
      <c r="Y29" s="259"/>
      <c r="Z29" s="259"/>
      <c r="AA29" s="259"/>
      <c r="AB29" s="260"/>
      <c r="AC29" s="259"/>
      <c r="AD29" s="259"/>
      <c r="AE29" s="259"/>
      <c r="AF29" s="150"/>
      <c r="AG29" s="151"/>
    </row>
    <row r="30" spans="1:33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</row>
    <row r="31" spans="1:33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</row>
    <row r="32" spans="1:33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</row>
    <row r="33" spans="1:31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3"/>
      <c r="AC33" s="193"/>
      <c r="AD33" s="193"/>
      <c r="AE33" s="193"/>
    </row>
    <row r="34" spans="1:31">
      <c r="A34" s="193"/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3"/>
      <c r="AE34" s="193"/>
    </row>
    <row r="35" spans="1:31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</row>
    <row r="36" spans="1:31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</row>
    <row r="37" spans="1:31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  <c r="AA37" s="193"/>
      <c r="AB37" s="193"/>
      <c r="AC37" s="193"/>
      <c r="AD37" s="193"/>
      <c r="AE37" s="193"/>
    </row>
    <row r="38" spans="1:31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</row>
    <row r="39" spans="1:31">
      <c r="A39" s="193"/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</row>
    <row r="40" spans="1:31">
      <c r="A40" s="193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</row>
    <row r="41" spans="1:31">
      <c r="A41" s="193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F17:M17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/>
  </sheetViews>
  <sheetFormatPr defaultRowHeight="14.25"/>
  <cols>
    <col min="1" max="1" width="11.42578125" style="13" customWidth="1"/>
    <col min="2" max="2" width="12.85546875" style="132" bestFit="1" customWidth="1"/>
    <col min="3" max="3" width="11.42578125" style="132" bestFit="1" customWidth="1"/>
    <col min="4" max="4" width="6.28515625" style="13" bestFit="1" customWidth="1"/>
    <col min="5" max="5" width="9.42578125" style="13" customWidth="1"/>
    <col min="6" max="6" width="12.85546875" style="13" bestFit="1" customWidth="1"/>
    <col min="7" max="7" width="11.42578125" style="13" bestFit="1" customWidth="1"/>
    <col min="8" max="8" width="7.140625" style="13" customWidth="1"/>
    <col min="9" max="9" width="9.5703125" style="13" customWidth="1"/>
    <col min="10" max="10" width="12.85546875" style="13" bestFit="1" customWidth="1"/>
    <col min="11" max="11" width="11.42578125" style="13" bestFit="1" customWidth="1"/>
    <col min="12" max="12" width="7.140625" style="13" customWidth="1"/>
    <col min="13" max="13" width="9.42578125" style="13" customWidth="1"/>
    <col min="14" max="14" width="12.85546875" style="13" bestFit="1" customWidth="1"/>
    <col min="15" max="15" width="11.42578125" style="13" bestFit="1" customWidth="1"/>
    <col min="16" max="16" width="9.140625" style="13" customWidth="1"/>
    <col min="17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328</v>
      </c>
    </row>
    <row r="5" spans="1:15" ht="15">
      <c r="A5" s="1"/>
    </row>
    <row r="6" spans="1:15">
      <c r="A6" s="13" t="s">
        <v>217</v>
      </c>
    </row>
    <row r="7" spans="1:15">
      <c r="A7" s="13" t="s">
        <v>218</v>
      </c>
    </row>
    <row r="8" spans="1:15" ht="15" thickBot="1">
      <c r="B8" s="13"/>
      <c r="C8" s="13"/>
    </row>
    <row r="9" spans="1:15" ht="15.75" thickBot="1">
      <c r="A9" s="890" t="str">
        <f>'10_SUB''s_+_demandadas_2023'!A7</f>
        <v>Lapa</v>
      </c>
      <c r="B9" s="890"/>
      <c r="C9" s="890"/>
      <c r="E9" s="890" t="str">
        <f>'10_SUB''s_+_demandadas_2023'!A8</f>
        <v>Sé</v>
      </c>
      <c r="F9" s="890"/>
      <c r="G9" s="890"/>
      <c r="I9" s="890" t="str">
        <f>'10_SUB''s_+_demandadas_2023'!A9</f>
        <v>Penha</v>
      </c>
      <c r="J9" s="890"/>
      <c r="K9" s="890"/>
      <c r="M9" s="890" t="str">
        <f>'10_SUB''s_+_demandadas_2023'!A10</f>
        <v>Santo Amaro</v>
      </c>
      <c r="N9" s="890"/>
      <c r="O9" s="890"/>
    </row>
    <row r="10" spans="1:15" ht="15.75" thickBot="1">
      <c r="A10" s="4" t="s">
        <v>2</v>
      </c>
      <c r="B10" s="5" t="s">
        <v>219</v>
      </c>
      <c r="C10" s="4" t="s">
        <v>220</v>
      </c>
      <c r="E10" s="4" t="s">
        <v>2</v>
      </c>
      <c r="F10" s="5" t="s">
        <v>219</v>
      </c>
      <c r="G10" s="5" t="s">
        <v>220</v>
      </c>
      <c r="I10" s="4" t="s">
        <v>2</v>
      </c>
      <c r="J10" s="5" t="s">
        <v>219</v>
      </c>
      <c r="K10" s="5" t="s">
        <v>220</v>
      </c>
      <c r="M10" s="4" t="s">
        <v>2</v>
      </c>
      <c r="N10" s="5" t="s">
        <v>219</v>
      </c>
      <c r="O10" s="4" t="s">
        <v>220</v>
      </c>
    </row>
    <row r="11" spans="1:15" ht="15">
      <c r="A11" s="158">
        <v>44927</v>
      </c>
      <c r="B11" s="299">
        <f>'10_SUB''s_+_demandadas_2023'!M7</f>
        <v>70</v>
      </c>
      <c r="C11" s="237">
        <f>((B11-55)/55)*100</f>
        <v>27.27272727272727</v>
      </c>
      <c r="E11" s="158">
        <v>44927</v>
      </c>
      <c r="F11" s="160">
        <f>'10_SUB''s_+_demandadas_2023'!M8</f>
        <v>46</v>
      </c>
      <c r="G11" s="9">
        <f>((F11-49)/49)*100</f>
        <v>-6.1224489795918364</v>
      </c>
      <c r="I11" s="158">
        <v>44927</v>
      </c>
      <c r="J11" s="160">
        <f>'10_SUB''s_+_demandadas_2023'!M9</f>
        <v>71</v>
      </c>
      <c r="K11" s="9">
        <f>((J11-34)/34)*100</f>
        <v>108.8235294117647</v>
      </c>
      <c r="M11" s="158">
        <v>44927</v>
      </c>
      <c r="N11" s="299">
        <f>'10_SUB''s_+_demandadas_2023'!M10</f>
        <v>44</v>
      </c>
      <c r="O11" s="237">
        <f>((N11-34)/34)*100</f>
        <v>29.411764705882355</v>
      </c>
    </row>
    <row r="12" spans="1:15" ht="15">
      <c r="A12" s="161">
        <v>44958</v>
      </c>
      <c r="B12" s="300">
        <f>'10_SUB''s_+_demandadas_2023'!L7</f>
        <v>71</v>
      </c>
      <c r="C12" s="9">
        <f>((B12-51)/51)*100</f>
        <v>39.215686274509807</v>
      </c>
      <c r="E12" s="161">
        <v>44958</v>
      </c>
      <c r="F12" s="162">
        <f>'10_SUB''s_+_demandadas_2023'!L8</f>
        <v>72</v>
      </c>
      <c r="G12" s="9">
        <f t="shared" ref="G12:G17" si="0">((F12-F11)/F11)*100</f>
        <v>56.521739130434781</v>
      </c>
      <c r="I12" s="161">
        <v>44958</v>
      </c>
      <c r="J12" s="162">
        <f>'10_SUB''s_+_demandadas_2023'!L9</f>
        <v>52</v>
      </c>
      <c r="K12" s="9">
        <f t="shared" ref="K12:K17" si="1">((J12-J11)/J11)*100</f>
        <v>-26.760563380281688</v>
      </c>
      <c r="M12" s="161">
        <v>44958</v>
      </c>
      <c r="N12" s="300">
        <f>'10_SUB''s_+_demandadas_2023'!L10</f>
        <v>51</v>
      </c>
      <c r="O12" s="9">
        <f t="shared" ref="O12:O17" si="2">((N12-N11)/N11)*100</f>
        <v>15.909090909090908</v>
      </c>
    </row>
    <row r="13" spans="1:15" ht="15">
      <c r="A13" s="161">
        <v>44986</v>
      </c>
      <c r="B13" s="300">
        <f>'10_SUB''s_+_demandadas_2023'!K7</f>
        <v>140</v>
      </c>
      <c r="C13" s="9">
        <f t="shared" ref="C13:C18" si="3">((B13-B12)/B12)*100</f>
        <v>97.183098591549296</v>
      </c>
      <c r="E13" s="161">
        <v>44986</v>
      </c>
      <c r="F13" s="162">
        <f>'10_SUB''s_+_demandadas_2023'!$K$8</f>
        <v>78</v>
      </c>
      <c r="G13" s="9">
        <f t="shared" si="0"/>
        <v>8.3333333333333321</v>
      </c>
      <c r="I13" s="161">
        <v>44986</v>
      </c>
      <c r="J13" s="162">
        <f>'10_SUB''s_+_demandadas_2023'!$K$9</f>
        <v>70</v>
      </c>
      <c r="K13" s="9">
        <f t="shared" si="1"/>
        <v>34.615384615384613</v>
      </c>
      <c r="M13" s="161">
        <v>44986</v>
      </c>
      <c r="N13" s="300">
        <f>'10_SUB''s_+_demandadas_2023'!$K$10</f>
        <v>68</v>
      </c>
      <c r="O13" s="9">
        <f t="shared" si="2"/>
        <v>33.333333333333329</v>
      </c>
    </row>
    <row r="14" spans="1:15" ht="15">
      <c r="A14" s="161">
        <v>45017</v>
      </c>
      <c r="B14" s="300">
        <f>'10_SUB''s_+_demandadas_2023'!J$7</f>
        <v>91</v>
      </c>
      <c r="C14" s="9">
        <f t="shared" si="3"/>
        <v>-35</v>
      </c>
      <c r="E14" s="161">
        <v>45017</v>
      </c>
      <c r="F14" s="300">
        <f>'10_SUB''s_+_demandadas_2023'!J$8</f>
        <v>63</v>
      </c>
      <c r="G14" s="9">
        <f t="shared" si="0"/>
        <v>-19.230769230769234</v>
      </c>
      <c r="I14" s="161">
        <v>45017</v>
      </c>
      <c r="J14" s="300">
        <f>'10_SUB''s_+_demandadas_2023'!J$9</f>
        <v>59</v>
      </c>
      <c r="K14" s="9">
        <f t="shared" si="1"/>
        <v>-15.714285714285714</v>
      </c>
      <c r="M14" s="161">
        <v>45017</v>
      </c>
      <c r="N14" s="300">
        <f>'10_SUB''s_+_demandadas_2023'!J$10</f>
        <v>69</v>
      </c>
      <c r="O14" s="9">
        <f t="shared" si="2"/>
        <v>1.4705882352941175</v>
      </c>
    </row>
    <row r="15" spans="1:15" ht="15">
      <c r="A15" s="161">
        <v>45047</v>
      </c>
      <c r="B15" s="300">
        <f>'10_SUB''s_+_demandadas_2023'!I$7</f>
        <v>125</v>
      </c>
      <c r="C15" s="9">
        <f t="shared" si="3"/>
        <v>37.362637362637365</v>
      </c>
      <c r="E15" s="161">
        <v>45047</v>
      </c>
      <c r="F15" s="300">
        <f>'10_SUB''s_+_demandadas_2023'!I$8</f>
        <v>91</v>
      </c>
      <c r="G15" s="9">
        <f t="shared" si="0"/>
        <v>44.444444444444443</v>
      </c>
      <c r="I15" s="161">
        <v>45047</v>
      </c>
      <c r="J15" s="300">
        <f>'10_SUB''s_+_demandadas_2023'!I$9</f>
        <v>58</v>
      </c>
      <c r="K15" s="9">
        <f t="shared" si="1"/>
        <v>-1.6949152542372881</v>
      </c>
      <c r="M15" s="161">
        <v>45047</v>
      </c>
      <c r="N15" s="300">
        <f>'10_SUB''s_+_demandadas_2023'!I$10</f>
        <v>54</v>
      </c>
      <c r="O15" s="9">
        <f t="shared" si="2"/>
        <v>-21.739130434782609</v>
      </c>
    </row>
    <row r="16" spans="1:15" ht="15">
      <c r="A16" s="161">
        <v>45078</v>
      </c>
      <c r="B16" s="300">
        <f>'10_SUB''s_+_demandadas_2023'!H$7</f>
        <v>82</v>
      </c>
      <c r="C16" s="9">
        <f t="shared" si="3"/>
        <v>-34.4</v>
      </c>
      <c r="E16" s="161">
        <v>45078</v>
      </c>
      <c r="F16" s="300">
        <f>'10_SUB''s_+_demandadas_2023'!H$8</f>
        <v>72</v>
      </c>
      <c r="G16" s="9">
        <f t="shared" si="0"/>
        <v>-20.87912087912088</v>
      </c>
      <c r="I16" s="161">
        <v>45078</v>
      </c>
      <c r="J16" s="300">
        <f>'10_SUB''s_+_demandadas_2023'!H$9</f>
        <v>55</v>
      </c>
      <c r="K16" s="9">
        <f t="shared" si="1"/>
        <v>-5.1724137931034484</v>
      </c>
      <c r="M16" s="161">
        <v>45078</v>
      </c>
      <c r="N16" s="300">
        <f>'10_SUB''s_+_demandadas_2023'!H$10</f>
        <v>63</v>
      </c>
      <c r="O16" s="9">
        <f t="shared" si="2"/>
        <v>16.666666666666664</v>
      </c>
    </row>
    <row r="17" spans="1:15" ht="15">
      <c r="A17" s="161">
        <v>45108</v>
      </c>
      <c r="B17" s="300">
        <f>'10_SUB''s_+_demandadas_2023'!G$7</f>
        <v>80</v>
      </c>
      <c r="C17" s="9">
        <f t="shared" si="3"/>
        <v>-2.4390243902439024</v>
      </c>
      <c r="E17" s="161">
        <v>45108</v>
      </c>
      <c r="F17" s="300">
        <f>'10_SUB''s_+_demandadas_2023'!G$8</f>
        <v>76</v>
      </c>
      <c r="G17" s="9">
        <f t="shared" si="0"/>
        <v>5.5555555555555554</v>
      </c>
      <c r="I17" s="161">
        <v>45108</v>
      </c>
      <c r="J17" s="300">
        <f>'10_SUB''s_+_demandadas_2023'!G$9</f>
        <v>63</v>
      </c>
      <c r="K17" s="9">
        <f t="shared" si="1"/>
        <v>14.545454545454545</v>
      </c>
      <c r="M17" s="161">
        <v>45108</v>
      </c>
      <c r="N17" s="300">
        <f>'10_SUB''s_+_demandadas_2023'!G$10</f>
        <v>83</v>
      </c>
      <c r="O17" s="9">
        <f t="shared" si="2"/>
        <v>31.746031746031743</v>
      </c>
    </row>
    <row r="18" spans="1:15" ht="15">
      <c r="A18" s="161">
        <v>45139</v>
      </c>
      <c r="B18" s="300">
        <f>'10_SUB''s_+_demandadas_2023'!F$7</f>
        <v>76</v>
      </c>
      <c r="C18" s="9">
        <f t="shared" si="3"/>
        <v>-5</v>
      </c>
      <c r="E18" s="161">
        <v>45139</v>
      </c>
      <c r="F18" s="300">
        <f>'10_SUB''s_+_demandadas_2023'!F$8</f>
        <v>57</v>
      </c>
      <c r="G18" s="9">
        <f t="shared" ref="G18" si="4">((F18-F17)/F17)*100</f>
        <v>-25</v>
      </c>
      <c r="I18" s="161">
        <v>45139</v>
      </c>
      <c r="J18" s="300">
        <f>'10_SUB''s_+_demandadas_2023'!F$9</f>
        <v>79</v>
      </c>
      <c r="K18" s="9">
        <f t="shared" ref="K18" si="5">((J18-J17)/J17)*100</f>
        <v>25.396825396825395</v>
      </c>
      <c r="M18" s="161">
        <v>45139</v>
      </c>
      <c r="N18" s="300">
        <f>'10_SUB''s_+_demandadas_2023'!F$10</f>
        <v>64</v>
      </c>
      <c r="O18" s="9">
        <f t="shared" ref="O18" si="6">((N18-N17)/N17)*100</f>
        <v>-22.891566265060241</v>
      </c>
    </row>
    <row r="19" spans="1:15" ht="15">
      <c r="A19" s="161">
        <v>45170</v>
      </c>
      <c r="B19" s="300"/>
      <c r="C19" s="9"/>
      <c r="E19" s="161">
        <v>45170</v>
      </c>
      <c r="F19" s="162"/>
      <c r="G19" s="9"/>
      <c r="I19" s="161">
        <v>45170</v>
      </c>
      <c r="J19" s="162"/>
      <c r="K19" s="9"/>
      <c r="M19" s="161">
        <v>45170</v>
      </c>
      <c r="N19" s="300"/>
      <c r="O19" s="9"/>
    </row>
    <row r="20" spans="1:15" ht="15">
      <c r="A20" s="161">
        <v>45200</v>
      </c>
      <c r="B20" s="300"/>
      <c r="C20" s="9"/>
      <c r="E20" s="161">
        <v>45200</v>
      </c>
      <c r="F20" s="162"/>
      <c r="G20" s="9"/>
      <c r="I20" s="161">
        <v>45200</v>
      </c>
      <c r="J20" s="162"/>
      <c r="K20" s="9"/>
      <c r="M20" s="161">
        <v>45200</v>
      </c>
      <c r="N20" s="300"/>
      <c r="O20" s="9"/>
    </row>
    <row r="21" spans="1:15" ht="15">
      <c r="A21" s="161">
        <v>45231</v>
      </c>
      <c r="B21" s="301"/>
      <c r="C21" s="9"/>
      <c r="E21" s="161">
        <v>45231</v>
      </c>
      <c r="F21" s="162"/>
      <c r="G21" s="9"/>
      <c r="I21" s="161">
        <v>45231</v>
      </c>
      <c r="J21" s="162"/>
      <c r="K21" s="9"/>
      <c r="M21" s="161">
        <v>45231</v>
      </c>
      <c r="N21" s="300"/>
      <c r="O21" s="9"/>
    </row>
    <row r="22" spans="1:15" ht="15.75" thickBot="1">
      <c r="A22" s="164">
        <v>45261</v>
      </c>
      <c r="B22" s="302"/>
      <c r="C22" s="19"/>
      <c r="E22" s="164">
        <v>45261</v>
      </c>
      <c r="F22" s="166"/>
      <c r="G22" s="19"/>
      <c r="I22" s="164">
        <v>45261</v>
      </c>
      <c r="J22" s="166"/>
      <c r="K22" s="19"/>
      <c r="M22" s="164">
        <v>45261</v>
      </c>
      <c r="N22" s="302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15.75" thickBot="1">
      <c r="A25" s="890" t="str">
        <f>'10_SUB''s_+_demandadas_2023'!A11</f>
        <v>Mooca</v>
      </c>
      <c r="B25" s="890"/>
      <c r="C25" s="890"/>
      <c r="E25" s="890" t="str">
        <f>'10_SUB''s_+_demandadas_2023'!A12</f>
        <v>Butantã</v>
      </c>
      <c r="F25" s="890"/>
      <c r="G25" s="890"/>
      <c r="I25" s="890" t="str">
        <f>'10_SUB''s_+_demandadas_2023'!A13</f>
        <v>Vila Mariana</v>
      </c>
      <c r="J25" s="890"/>
      <c r="K25" s="890"/>
      <c r="M25" s="890" t="str">
        <f>'10_SUB''s_+_demandadas_2023'!A14</f>
        <v>Campo Limpo</v>
      </c>
      <c r="N25" s="890"/>
      <c r="O25" s="890"/>
    </row>
    <row r="26" spans="1:15" ht="15.75" thickBot="1">
      <c r="A26" s="4" t="s">
        <v>2</v>
      </c>
      <c r="B26" s="4" t="s">
        <v>219</v>
      </c>
      <c r="C26" s="4" t="s">
        <v>220</v>
      </c>
      <c r="E26" s="4" t="s">
        <v>2</v>
      </c>
      <c r="F26" s="5" t="s">
        <v>219</v>
      </c>
      <c r="G26" s="4" t="s">
        <v>220</v>
      </c>
      <c r="I26" s="5" t="s">
        <v>2</v>
      </c>
      <c r="J26" s="5" t="s">
        <v>219</v>
      </c>
      <c r="K26" s="5" t="s">
        <v>220</v>
      </c>
      <c r="M26" s="5" t="s">
        <v>2</v>
      </c>
      <c r="N26" s="303" t="s">
        <v>219</v>
      </c>
      <c r="O26" s="4" t="s">
        <v>220</v>
      </c>
    </row>
    <row r="27" spans="1:15" ht="15">
      <c r="A27" s="158">
        <v>44927</v>
      </c>
      <c r="B27" s="160">
        <f>'10_SUB''s_+_demandadas_2023'!M11</f>
        <v>53</v>
      </c>
      <c r="C27" s="9">
        <f>((B27-31)/31)*100</f>
        <v>70.967741935483872</v>
      </c>
      <c r="E27" s="158">
        <v>44927</v>
      </c>
      <c r="F27" s="299">
        <f>'10_SUB''s_+_demandadas_2023'!M12</f>
        <v>52</v>
      </c>
      <c r="G27" s="742">
        <f>((F27-35)/35)*100</f>
        <v>48.571428571428569</v>
      </c>
      <c r="I27" s="158">
        <v>44927</v>
      </c>
      <c r="J27" s="160">
        <f>'10_SUB''s_+_demandadas_2023'!M13</f>
        <v>48</v>
      </c>
      <c r="K27" s="9">
        <f>((J27-51)/51)*100</f>
        <v>-5.8823529411764701</v>
      </c>
      <c r="M27" s="158">
        <v>44927</v>
      </c>
      <c r="N27" s="160">
        <f>'10_SUB''s_+_demandadas_2023'!M14</f>
        <v>62</v>
      </c>
      <c r="O27" s="9">
        <f>((N27-39)/39)*100</f>
        <v>58.974358974358978</v>
      </c>
    </row>
    <row r="28" spans="1:15" ht="15">
      <c r="A28" s="161">
        <v>44958</v>
      </c>
      <c r="B28" s="162">
        <f>'10_SUB''s_+_demandadas_2023'!L11</f>
        <v>55</v>
      </c>
      <c r="C28" s="9">
        <f t="shared" ref="C28:C33" si="7">((B28-B27)/B27)*100</f>
        <v>3.7735849056603774</v>
      </c>
      <c r="E28" s="161">
        <v>44958</v>
      </c>
      <c r="F28" s="300">
        <f>'10_SUB''s_+_demandadas_2023'!L12</f>
        <v>57</v>
      </c>
      <c r="G28" s="743">
        <f t="shared" ref="G28:G33" si="8">((F28-F27)/F27)*100</f>
        <v>9.6153846153846168</v>
      </c>
      <c r="I28" s="161">
        <v>44958</v>
      </c>
      <c r="J28" s="162">
        <f>'10_SUB''s_+_demandadas_2023'!L13</f>
        <v>59</v>
      </c>
      <c r="K28" s="9">
        <f t="shared" ref="K28:K33" si="9">((J28-J27)/J27)*100</f>
        <v>22.916666666666664</v>
      </c>
      <c r="M28" s="161">
        <v>44958</v>
      </c>
      <c r="N28" s="162">
        <f>'10_SUB''s_+_demandadas_2023'!L14</f>
        <v>48</v>
      </c>
      <c r="O28" s="9">
        <f t="shared" ref="O28:O33" si="10">((N28-N27)/N27)*100</f>
        <v>-22.58064516129032</v>
      </c>
    </row>
    <row r="29" spans="1:15" ht="15">
      <c r="A29" s="161">
        <v>44986</v>
      </c>
      <c r="B29" s="162">
        <f>'10_SUB''s_+_demandadas_2023'!$K$11</f>
        <v>75</v>
      </c>
      <c r="C29" s="9">
        <f t="shared" si="7"/>
        <v>36.363636363636367</v>
      </c>
      <c r="E29" s="161">
        <v>44986</v>
      </c>
      <c r="F29" s="300">
        <f>'10_SUB''s_+_demandadas_2023'!$K$12</f>
        <v>66</v>
      </c>
      <c r="G29" s="743">
        <f t="shared" si="8"/>
        <v>15.789473684210526</v>
      </c>
      <c r="I29" s="161">
        <v>44986</v>
      </c>
      <c r="J29" s="162">
        <f>'10_SUB''s_+_demandadas_2023'!$K$13</f>
        <v>65</v>
      </c>
      <c r="K29" s="9">
        <f t="shared" si="9"/>
        <v>10.16949152542373</v>
      </c>
      <c r="M29" s="161">
        <v>44986</v>
      </c>
      <c r="N29" s="162">
        <f>'10_SUB''s_+_demandadas_2023'!$K$14</f>
        <v>36</v>
      </c>
      <c r="O29" s="9">
        <f t="shared" si="10"/>
        <v>-25</v>
      </c>
    </row>
    <row r="30" spans="1:15" ht="15">
      <c r="A30" s="161">
        <v>45017</v>
      </c>
      <c r="B30" s="300">
        <f>'10_SUB''s_+_demandadas_2023'!J$11</f>
        <v>51</v>
      </c>
      <c r="C30" s="9">
        <f t="shared" si="7"/>
        <v>-32</v>
      </c>
      <c r="E30" s="161">
        <v>45017</v>
      </c>
      <c r="F30" s="300">
        <f>'10_SUB''s_+_demandadas_2023'!J$12</f>
        <v>52</v>
      </c>
      <c r="G30" s="743">
        <f t="shared" si="8"/>
        <v>-21.212121212121211</v>
      </c>
      <c r="I30" s="161">
        <v>45017</v>
      </c>
      <c r="J30" s="300">
        <f>'10_SUB''s_+_demandadas_2023'!J$13</f>
        <v>39</v>
      </c>
      <c r="K30" s="9">
        <f t="shared" si="9"/>
        <v>-40</v>
      </c>
      <c r="M30" s="161">
        <v>45017</v>
      </c>
      <c r="N30" s="300">
        <f>'10_SUB''s_+_demandadas_2023'!J$14</f>
        <v>40</v>
      </c>
      <c r="O30" s="9">
        <f t="shared" si="10"/>
        <v>11.111111111111111</v>
      </c>
    </row>
    <row r="31" spans="1:15" ht="15">
      <c r="A31" s="161">
        <v>45047</v>
      </c>
      <c r="B31" s="300">
        <f>'10_SUB''s_+_demandadas_2023'!I$11</f>
        <v>68</v>
      </c>
      <c r="C31" s="9">
        <f t="shared" si="7"/>
        <v>33.333333333333329</v>
      </c>
      <c r="E31" s="161">
        <v>45047</v>
      </c>
      <c r="F31" s="300">
        <f>'10_SUB''s_+_demandadas_2023'!I$12</f>
        <v>80</v>
      </c>
      <c r="G31" s="743">
        <f t="shared" si="8"/>
        <v>53.846153846153847</v>
      </c>
      <c r="I31" s="161">
        <v>45047</v>
      </c>
      <c r="J31" s="300">
        <f>'10_SUB''s_+_demandadas_2023'!I$13</f>
        <v>62</v>
      </c>
      <c r="K31" s="9">
        <f t="shared" si="9"/>
        <v>58.974358974358978</v>
      </c>
      <c r="M31" s="161">
        <v>45047</v>
      </c>
      <c r="N31" s="300">
        <f>'10_SUB''s_+_demandadas_2023'!I$14</f>
        <v>47</v>
      </c>
      <c r="O31" s="9">
        <f t="shared" si="10"/>
        <v>17.5</v>
      </c>
    </row>
    <row r="32" spans="1:15" ht="15">
      <c r="A32" s="161">
        <v>45078</v>
      </c>
      <c r="B32" s="300">
        <f>'10_SUB''s_+_demandadas_2023'!H$11</f>
        <v>61</v>
      </c>
      <c r="C32" s="9">
        <f t="shared" si="7"/>
        <v>-10.294117647058822</v>
      </c>
      <c r="E32" s="161">
        <v>45078</v>
      </c>
      <c r="F32" s="300">
        <f>'10_SUB''s_+_demandadas_2023'!H$12</f>
        <v>54</v>
      </c>
      <c r="G32" s="743">
        <f t="shared" si="8"/>
        <v>-32.5</v>
      </c>
      <c r="I32" s="161">
        <v>45078</v>
      </c>
      <c r="J32" s="300">
        <f>'10_SUB''s_+_demandadas_2023'!H$13</f>
        <v>58</v>
      </c>
      <c r="K32" s="9">
        <f t="shared" si="9"/>
        <v>-6.4516129032258061</v>
      </c>
      <c r="M32" s="161">
        <v>45078</v>
      </c>
      <c r="N32" s="300">
        <f>'10_SUB''s_+_demandadas_2023'!H$14</f>
        <v>41</v>
      </c>
      <c r="O32" s="9">
        <f t="shared" si="10"/>
        <v>-12.76595744680851</v>
      </c>
    </row>
    <row r="33" spans="1:15" ht="15">
      <c r="A33" s="161">
        <v>45108</v>
      </c>
      <c r="B33" s="300">
        <f>'10_SUB''s_+_demandadas_2023'!G$11</f>
        <v>63</v>
      </c>
      <c r="C33" s="9">
        <f t="shared" si="7"/>
        <v>3.278688524590164</v>
      </c>
      <c r="E33" s="161">
        <v>45108</v>
      </c>
      <c r="F33" s="300">
        <f>'10_SUB''s_+_demandadas_2023'!G$12</f>
        <v>51</v>
      </c>
      <c r="G33" s="743">
        <f t="shared" si="8"/>
        <v>-5.5555555555555554</v>
      </c>
      <c r="I33" s="161">
        <v>45108</v>
      </c>
      <c r="J33" s="300">
        <f>'10_SUB''s_+_demandadas_2023'!G$13</f>
        <v>59</v>
      </c>
      <c r="K33" s="9">
        <f t="shared" si="9"/>
        <v>1.7241379310344827</v>
      </c>
      <c r="M33" s="161">
        <v>45108</v>
      </c>
      <c r="N33" s="300">
        <f>'10_SUB''s_+_demandadas_2023'!G$14</f>
        <v>94</v>
      </c>
      <c r="O33" s="9">
        <f t="shared" si="10"/>
        <v>129.26829268292684</v>
      </c>
    </row>
    <row r="34" spans="1:15" ht="15">
      <c r="A34" s="161">
        <v>45139</v>
      </c>
      <c r="B34" s="300">
        <f>'10_SUB''s_+_demandadas_2023'!F$11</f>
        <v>57</v>
      </c>
      <c r="C34" s="9">
        <f t="shared" ref="C34" si="11">((B34-B33)/B33)*100</f>
        <v>-9.5238095238095237</v>
      </c>
      <c r="E34" s="161">
        <v>45139</v>
      </c>
      <c r="F34" s="300">
        <f>'10_SUB''s_+_demandadas_2023'!F$12</f>
        <v>64</v>
      </c>
      <c r="G34" s="743">
        <f t="shared" ref="G34" si="12">((F34-F33)/F33)*100</f>
        <v>25.490196078431371</v>
      </c>
      <c r="I34" s="161">
        <v>45139</v>
      </c>
      <c r="J34" s="300">
        <f>'10_SUB''s_+_demandadas_2023'!F$13</f>
        <v>53</v>
      </c>
      <c r="K34" s="9">
        <f t="shared" ref="K34" si="13">((J34-J33)/J33)*100</f>
        <v>-10.16949152542373</v>
      </c>
      <c r="M34" s="161">
        <v>45139</v>
      </c>
      <c r="N34" s="300">
        <f>'10_SUB''s_+_demandadas_2023'!F$14</f>
        <v>43</v>
      </c>
      <c r="O34" s="9">
        <f t="shared" ref="O34" si="14">((N34-N33)/N33)*100</f>
        <v>-54.255319148936167</v>
      </c>
    </row>
    <row r="35" spans="1:15" ht="15">
      <c r="A35" s="161">
        <v>45170</v>
      </c>
      <c r="B35" s="162"/>
      <c r="C35" s="9"/>
      <c r="E35" s="161">
        <v>45170</v>
      </c>
      <c r="F35" s="300"/>
      <c r="G35" s="743"/>
      <c r="I35" s="161">
        <v>45170</v>
      </c>
      <c r="J35" s="162"/>
      <c r="K35" s="9"/>
      <c r="M35" s="161">
        <v>45170</v>
      </c>
      <c r="N35" s="162"/>
      <c r="O35" s="9"/>
    </row>
    <row r="36" spans="1:15" ht="15">
      <c r="A36" s="161">
        <v>45200</v>
      </c>
      <c r="B36" s="162"/>
      <c r="C36" s="9"/>
      <c r="E36" s="161">
        <v>45200</v>
      </c>
      <c r="F36" s="300"/>
      <c r="G36" s="743"/>
      <c r="I36" s="161">
        <v>45200</v>
      </c>
      <c r="J36" s="162"/>
      <c r="K36" s="9"/>
      <c r="M36" s="161">
        <v>45200</v>
      </c>
      <c r="N36" s="162"/>
      <c r="O36" s="9"/>
    </row>
    <row r="37" spans="1:15" ht="15">
      <c r="A37" s="161">
        <v>45231</v>
      </c>
      <c r="B37" s="162"/>
      <c r="C37" s="9"/>
      <c r="E37" s="161">
        <v>45231</v>
      </c>
      <c r="F37" s="301"/>
      <c r="G37" s="743"/>
      <c r="I37" s="161">
        <v>45231</v>
      </c>
      <c r="J37" s="163"/>
      <c r="K37" s="9"/>
      <c r="M37" s="161">
        <v>45231</v>
      </c>
      <c r="N37" s="162"/>
      <c r="O37" s="9"/>
    </row>
    <row r="38" spans="1:15" ht="15.75" thickBot="1">
      <c r="A38" s="164">
        <v>45261</v>
      </c>
      <c r="B38" s="166"/>
      <c r="C38" s="19"/>
      <c r="E38" s="164">
        <v>45261</v>
      </c>
      <c r="F38" s="302"/>
      <c r="G38" s="744"/>
      <c r="I38" s="164">
        <v>45261</v>
      </c>
      <c r="J38" s="166"/>
      <c r="K38" s="19"/>
      <c r="M38" s="164">
        <v>45261</v>
      </c>
      <c r="N38" s="166"/>
      <c r="O38" s="19"/>
    </row>
    <row r="40" spans="1:15" ht="15" thickBot="1"/>
    <row r="41" spans="1:15" ht="15.75" thickBot="1">
      <c r="A41" s="890" t="str">
        <f>'10_SUB''s_+_demandadas_2023'!A15</f>
        <v>Santana/Tucuruvi</v>
      </c>
      <c r="B41" s="890"/>
      <c r="C41" s="890"/>
      <c r="E41" s="890" t="str">
        <f>'10_SUB''s_+_demandadas_2023'!A16</f>
        <v>Ipiranga</v>
      </c>
      <c r="F41" s="890"/>
      <c r="G41" s="890"/>
    </row>
    <row r="42" spans="1:15" ht="15.75" thickBot="1">
      <c r="A42" s="4" t="s">
        <v>2</v>
      </c>
      <c r="B42" s="5" t="s">
        <v>219</v>
      </c>
      <c r="C42" s="5" t="s">
        <v>220</v>
      </c>
      <c r="E42" s="4" t="s">
        <v>2</v>
      </c>
      <c r="F42" s="5" t="s">
        <v>219</v>
      </c>
      <c r="G42" s="5" t="s">
        <v>220</v>
      </c>
    </row>
    <row r="43" spans="1:15" ht="15">
      <c r="A43" s="158">
        <v>44927</v>
      </c>
      <c r="B43" s="160">
        <f>'10_SUB''s_+_demandadas_2023'!M15</f>
        <v>42</v>
      </c>
      <c r="C43" s="9">
        <f>((B43-51)/51)*100</f>
        <v>-17.647058823529413</v>
      </c>
      <c r="E43" s="158">
        <v>44927</v>
      </c>
      <c r="F43" s="304">
        <f>'10_SUB''s_+_demandadas_2023'!M16</f>
        <v>41</v>
      </c>
      <c r="G43" s="9">
        <f>((F43-31)/31)*100</f>
        <v>32.258064516129032</v>
      </c>
    </row>
    <row r="44" spans="1:15" ht="15">
      <c r="A44" s="161">
        <v>44958</v>
      </c>
      <c r="B44" s="162">
        <f>'10_SUB''s_+_demandadas_2023'!L15</f>
        <v>34</v>
      </c>
      <c r="C44" s="9">
        <f t="shared" ref="C44:C49" si="15">((B44-B43)/B43)*100</f>
        <v>-19.047619047619047</v>
      </c>
      <c r="E44" s="161">
        <v>44958</v>
      </c>
      <c r="F44" s="305">
        <f>'10_SUB''s_+_demandadas_2023'!L16</f>
        <v>65</v>
      </c>
      <c r="G44" s="9">
        <f t="shared" ref="G44:G49" si="16">((F44-F43)/F43)*100</f>
        <v>58.536585365853654</v>
      </c>
    </row>
    <row r="45" spans="1:15" ht="15">
      <c r="A45" s="161">
        <v>44986</v>
      </c>
      <c r="B45" s="162">
        <f>'10_SUB''s_+_demandadas_2023'!$K$15</f>
        <v>57</v>
      </c>
      <c r="C45" s="9">
        <f t="shared" si="15"/>
        <v>67.64705882352942</v>
      </c>
      <c r="E45" s="161">
        <v>44986</v>
      </c>
      <c r="F45" s="306">
        <f>'10_SUB''s_+_demandadas_2023'!$K$16</f>
        <v>43</v>
      </c>
      <c r="G45" s="9">
        <f t="shared" si="16"/>
        <v>-33.846153846153847</v>
      </c>
    </row>
    <row r="46" spans="1:15" ht="15">
      <c r="A46" s="161">
        <v>45017</v>
      </c>
      <c r="B46" s="162">
        <f>'10_SUB''s_+_demandadas_2023'!J$15</f>
        <v>46</v>
      </c>
      <c r="C46" s="9">
        <f t="shared" si="15"/>
        <v>-19.298245614035086</v>
      </c>
      <c r="E46" s="161">
        <v>45017</v>
      </c>
      <c r="F46" s="300">
        <f>'10_SUB''s_+_demandadas_2023'!J$16</f>
        <v>50</v>
      </c>
      <c r="G46" s="9">
        <f t="shared" si="16"/>
        <v>16.279069767441861</v>
      </c>
    </row>
    <row r="47" spans="1:15" ht="15">
      <c r="A47" s="161">
        <v>45047</v>
      </c>
      <c r="B47" s="162">
        <f>'10_SUB''s_+_demandadas_2023'!I$15</f>
        <v>53</v>
      </c>
      <c r="C47" s="9">
        <f t="shared" si="15"/>
        <v>15.217391304347828</v>
      </c>
      <c r="E47" s="161">
        <v>45047</v>
      </c>
      <c r="F47" s="300">
        <f>'10_SUB''s_+_demandadas_2023'!I$16</f>
        <v>46</v>
      </c>
      <c r="G47" s="9">
        <f t="shared" si="16"/>
        <v>-8</v>
      </c>
    </row>
    <row r="48" spans="1:15" ht="15">
      <c r="A48" s="161">
        <v>45078</v>
      </c>
      <c r="B48" s="162">
        <f>'10_SUB''s_+_demandadas_2023'!H$15</f>
        <v>43</v>
      </c>
      <c r="C48" s="9">
        <f t="shared" si="15"/>
        <v>-18.867924528301888</v>
      </c>
      <c r="E48" s="161">
        <v>45078</v>
      </c>
      <c r="F48" s="300">
        <f>'10_SUB''s_+_demandadas_2023'!H$16</f>
        <v>47</v>
      </c>
      <c r="G48" s="9">
        <f t="shared" si="16"/>
        <v>2.1739130434782608</v>
      </c>
    </row>
    <row r="49" spans="1:11" ht="15">
      <c r="A49" s="161">
        <v>45108</v>
      </c>
      <c r="B49" s="162">
        <f>'10_SUB''s_+_demandadas_2023'!G$15</f>
        <v>65</v>
      </c>
      <c r="C49" s="9">
        <f t="shared" si="15"/>
        <v>51.162790697674424</v>
      </c>
      <c r="E49" s="161">
        <v>45108</v>
      </c>
      <c r="F49" s="300">
        <f>'10_SUB''s_+_demandadas_2023'!G$16</f>
        <v>50</v>
      </c>
      <c r="G49" s="9">
        <f t="shared" si="16"/>
        <v>6.3829787234042552</v>
      </c>
    </row>
    <row r="50" spans="1:11" ht="15">
      <c r="A50" s="161">
        <v>45139</v>
      </c>
      <c r="B50" s="162">
        <f>'10_SUB''s_+_demandadas_2023'!F$15</f>
        <v>59</v>
      </c>
      <c r="C50" s="9">
        <f t="shared" ref="C50" si="17">((B50-B49)/B49)*100</f>
        <v>-9.2307692307692317</v>
      </c>
      <c r="E50" s="161">
        <v>45139</v>
      </c>
      <c r="F50" s="300">
        <f>'10_SUB''s_+_demandadas_2023'!F$16</f>
        <v>46</v>
      </c>
      <c r="G50" s="9">
        <f t="shared" ref="G50" si="18">((F50-F49)/F49)*100</f>
        <v>-8</v>
      </c>
    </row>
    <row r="51" spans="1:11" ht="15">
      <c r="A51" s="161">
        <v>45170</v>
      </c>
      <c r="B51" s="162"/>
      <c r="C51" s="9"/>
      <c r="E51" s="161">
        <v>45170</v>
      </c>
      <c r="F51" s="162"/>
      <c r="G51" s="9"/>
    </row>
    <row r="52" spans="1:11" ht="15">
      <c r="A52" s="161">
        <v>45200</v>
      </c>
      <c r="B52" s="162"/>
      <c r="C52" s="9"/>
      <c r="E52" s="161">
        <v>45200</v>
      </c>
      <c r="F52" s="162"/>
      <c r="G52" s="9"/>
    </row>
    <row r="53" spans="1:11" ht="15">
      <c r="A53" s="161">
        <v>45231</v>
      </c>
      <c r="B53" s="163"/>
      <c r="C53" s="9"/>
      <c r="E53" s="161">
        <v>45231</v>
      </c>
      <c r="F53" s="163"/>
      <c r="G53" s="9"/>
    </row>
    <row r="54" spans="1:11" ht="15.75" thickBot="1">
      <c r="A54" s="164">
        <v>45261</v>
      </c>
      <c r="B54" s="166"/>
      <c r="C54" s="19"/>
      <c r="E54" s="164">
        <v>45261</v>
      </c>
      <c r="F54" s="166"/>
      <c r="G54" s="19"/>
    </row>
    <row r="56" spans="1:11">
      <c r="B56" s="13"/>
      <c r="C56" s="13"/>
    </row>
    <row r="57" spans="1:11" ht="15">
      <c r="A57" s="883"/>
      <c r="B57" s="883"/>
      <c r="C57" s="883"/>
      <c r="D57" s="883"/>
      <c r="F57" s="883"/>
      <c r="G57" s="883"/>
      <c r="H57" s="883"/>
      <c r="I57" s="883"/>
      <c r="J57" s="883"/>
      <c r="K57" s="307"/>
    </row>
    <row r="58" spans="1:11">
      <c r="A58" s="307"/>
      <c r="B58" s="13"/>
      <c r="C58" s="13"/>
    </row>
    <row r="59" spans="1:11" ht="15">
      <c r="B59" s="13"/>
      <c r="C59" s="13"/>
      <c r="F59" s="883"/>
      <c r="G59" s="883"/>
      <c r="H59" s="883"/>
      <c r="I59" s="883"/>
      <c r="J59" s="883"/>
      <c r="K59" s="883"/>
    </row>
    <row r="60" spans="1:11">
      <c r="B60" s="13"/>
      <c r="C60" s="13"/>
    </row>
    <row r="61" spans="1:11" ht="15">
      <c r="A61" s="883"/>
      <c r="B61" s="883"/>
      <c r="C61" s="883"/>
      <c r="D61" s="883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7" workbookViewId="0">
      <selection activeCell="P24" sqref="P24"/>
    </sheetView>
  </sheetViews>
  <sheetFormatPr defaultRowHeight="15"/>
  <cols>
    <col min="1" max="1" width="27" customWidth="1"/>
    <col min="2" max="2" width="10.7109375" style="151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130" t="s">
        <v>0</v>
      </c>
    </row>
    <row r="2" spans="1:9">
      <c r="A2" s="1" t="s">
        <v>1</v>
      </c>
    </row>
    <row r="3" spans="1:9" ht="15.75" thickBot="1"/>
    <row r="4" spans="1:9" ht="15" customHeight="1" thickBot="1">
      <c r="A4" s="308" t="s">
        <v>213</v>
      </c>
      <c r="B4" s="187">
        <v>45139</v>
      </c>
      <c r="C4" s="309"/>
      <c r="I4" s="13"/>
    </row>
    <row r="5" spans="1:9">
      <c r="A5" s="208" t="s">
        <v>314</v>
      </c>
      <c r="B5" s="45">
        <v>79</v>
      </c>
      <c r="C5" s="134"/>
    </row>
    <row r="6" spans="1:9">
      <c r="A6" s="208" t="s">
        <v>310</v>
      </c>
      <c r="B6" s="45">
        <v>76</v>
      </c>
      <c r="C6" s="134"/>
    </row>
    <row r="7" spans="1:9">
      <c r="A7" s="208" t="s">
        <v>296</v>
      </c>
      <c r="B7" s="45">
        <v>64</v>
      </c>
      <c r="C7" s="134"/>
    </row>
    <row r="8" spans="1:9">
      <c r="A8" s="208" t="s">
        <v>319</v>
      </c>
      <c r="B8" s="45">
        <v>64</v>
      </c>
      <c r="C8" s="134"/>
    </row>
    <row r="9" spans="1:9">
      <c r="A9" s="208" t="s">
        <v>318</v>
      </c>
      <c r="B9" s="45">
        <v>59</v>
      </c>
      <c r="C9" s="134"/>
    </row>
    <row r="10" spans="1:9">
      <c r="A10" s="208" t="s">
        <v>312</v>
      </c>
      <c r="B10" s="45">
        <v>57</v>
      </c>
      <c r="C10" s="134"/>
    </row>
    <row r="11" spans="1:9">
      <c r="A11" s="208" t="s">
        <v>323</v>
      </c>
      <c r="B11" s="45">
        <v>57</v>
      </c>
      <c r="C11" s="134"/>
    </row>
    <row r="12" spans="1:9">
      <c r="A12" s="208" t="s">
        <v>325</v>
      </c>
      <c r="B12" s="45">
        <v>53</v>
      </c>
      <c r="C12" s="134"/>
    </row>
    <row r="13" spans="1:9">
      <c r="A13" s="208" t="s">
        <v>305</v>
      </c>
      <c r="B13" s="45">
        <v>46</v>
      </c>
      <c r="C13" s="134"/>
    </row>
    <row r="14" spans="1:9">
      <c r="A14" s="208" t="s">
        <v>317</v>
      </c>
      <c r="B14" s="45">
        <v>46</v>
      </c>
      <c r="C14" s="134"/>
    </row>
    <row r="15" spans="1:9">
      <c r="A15" s="208" t="s">
        <v>297</v>
      </c>
      <c r="B15" s="45">
        <v>43</v>
      </c>
      <c r="C15" s="310"/>
    </row>
    <row r="16" spans="1:9">
      <c r="A16" s="208" t="s">
        <v>307</v>
      </c>
      <c r="B16" s="45">
        <v>43</v>
      </c>
      <c r="C16" s="134"/>
    </row>
    <row r="17" spans="1:3">
      <c r="A17" s="208" t="s">
        <v>324</v>
      </c>
      <c r="B17" s="45">
        <v>40</v>
      </c>
      <c r="C17" s="134"/>
    </row>
    <row r="18" spans="1:3">
      <c r="A18" s="208" t="s">
        <v>298</v>
      </c>
      <c r="B18" s="45">
        <v>38</v>
      </c>
      <c r="C18" s="134"/>
    </row>
    <row r="19" spans="1:3">
      <c r="A19" s="208" t="s">
        <v>309</v>
      </c>
      <c r="B19" s="45">
        <v>38</v>
      </c>
      <c r="C19" s="134"/>
    </row>
    <row r="20" spans="1:3">
      <c r="A20" s="208" t="s">
        <v>300</v>
      </c>
      <c r="B20" s="45">
        <v>37</v>
      </c>
      <c r="C20" s="134"/>
    </row>
    <row r="21" spans="1:3">
      <c r="A21" s="208" t="s">
        <v>316</v>
      </c>
      <c r="B21" s="45">
        <v>31</v>
      </c>
      <c r="C21" s="134"/>
    </row>
    <row r="22" spans="1:3">
      <c r="A22" s="208" t="s">
        <v>303</v>
      </c>
      <c r="B22" s="45">
        <v>29</v>
      </c>
      <c r="C22" s="134"/>
    </row>
    <row r="23" spans="1:3">
      <c r="A23" s="208" t="s">
        <v>308</v>
      </c>
      <c r="B23" s="45">
        <v>29</v>
      </c>
      <c r="C23" s="134"/>
    </row>
    <row r="24" spans="1:3">
      <c r="A24" s="208" t="s">
        <v>326</v>
      </c>
      <c r="B24" s="45">
        <v>26</v>
      </c>
      <c r="C24" s="134"/>
    </row>
    <row r="25" spans="1:3">
      <c r="A25" s="208" t="s">
        <v>311</v>
      </c>
      <c r="B25" s="45">
        <v>25</v>
      </c>
      <c r="C25" s="134"/>
    </row>
    <row r="26" spans="1:3">
      <c r="A26" s="208" t="s">
        <v>295</v>
      </c>
      <c r="B26" s="45">
        <v>23</v>
      </c>
      <c r="C26" s="134"/>
    </row>
    <row r="27" spans="1:3">
      <c r="A27" s="208" t="s">
        <v>299</v>
      </c>
      <c r="B27" s="45">
        <v>23</v>
      </c>
      <c r="C27" s="134"/>
    </row>
    <row r="28" spans="1:3">
      <c r="A28" s="208" t="s">
        <v>306</v>
      </c>
      <c r="B28" s="45">
        <v>22</v>
      </c>
      <c r="C28" s="134"/>
    </row>
    <row r="29" spans="1:3">
      <c r="A29" s="208" t="s">
        <v>320</v>
      </c>
      <c r="B29" s="45">
        <v>22</v>
      </c>
      <c r="C29" s="134"/>
    </row>
    <row r="30" spans="1:3">
      <c r="A30" s="208" t="s">
        <v>302</v>
      </c>
      <c r="B30" s="45">
        <v>16</v>
      </c>
      <c r="C30" s="134"/>
    </row>
    <row r="31" spans="1:3">
      <c r="A31" s="208" t="s">
        <v>322</v>
      </c>
      <c r="B31" s="45">
        <v>16</v>
      </c>
      <c r="C31" s="134"/>
    </row>
    <row r="32" spans="1:3">
      <c r="A32" s="208" t="s">
        <v>321</v>
      </c>
      <c r="B32" s="45">
        <v>15</v>
      </c>
      <c r="C32" s="134"/>
    </row>
    <row r="33" spans="1:9">
      <c r="A33" s="208" t="s">
        <v>313</v>
      </c>
      <c r="B33" s="45">
        <v>14</v>
      </c>
      <c r="C33" s="134"/>
    </row>
    <row r="34" spans="1:9">
      <c r="A34" s="208" t="s">
        <v>304</v>
      </c>
      <c r="B34" s="45">
        <v>11</v>
      </c>
      <c r="C34" s="134"/>
    </row>
    <row r="35" spans="1:9">
      <c r="A35" s="208" t="s">
        <v>315</v>
      </c>
      <c r="B35" s="45">
        <v>7</v>
      </c>
      <c r="C35" s="134"/>
    </row>
    <row r="36" spans="1:9" ht="15.75" thickBot="1">
      <c r="A36" s="208" t="s">
        <v>301</v>
      </c>
      <c r="B36" s="45">
        <v>3</v>
      </c>
      <c r="C36" s="134"/>
    </row>
    <row r="37" spans="1:9" ht="15.75" thickBot="1">
      <c r="A37" s="311" t="s">
        <v>329</v>
      </c>
      <c r="B37" s="312">
        <f>SUM(B5:B36)</f>
        <v>1152</v>
      </c>
      <c r="C37" s="192"/>
      <c r="I37" s="13"/>
    </row>
    <row r="38" spans="1:9">
      <c r="I38" s="13"/>
    </row>
    <row r="39" spans="1:9">
      <c r="I39" s="13"/>
    </row>
    <row r="40" spans="1:9">
      <c r="I40" s="13"/>
    </row>
  </sheetData>
  <pageMargins left="0.511811024" right="0.511811024" top="0.78740157500000008" bottom="0.78740157500000008" header="0.31496062000000008" footer="0.31496062000000008"/>
  <ignoredErrors>
    <ignoredError sqref="B3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opLeftCell="A37" zoomScale="90" zoomScaleNormal="90"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130" t="s">
        <v>0</v>
      </c>
      <c r="I1" s="799"/>
      <c r="J1" s="799"/>
      <c r="K1" s="799"/>
      <c r="L1" s="799"/>
      <c r="M1" s="799"/>
      <c r="N1" s="799"/>
      <c r="O1" s="799"/>
      <c r="P1" s="799"/>
      <c r="Q1" s="799"/>
    </row>
    <row r="2" spans="1:18">
      <c r="A2" s="1" t="s">
        <v>1</v>
      </c>
      <c r="I2" s="799"/>
      <c r="J2" s="799"/>
      <c r="K2" s="799"/>
      <c r="L2" s="799"/>
      <c r="M2" s="799"/>
      <c r="N2" s="799"/>
      <c r="O2" s="799"/>
      <c r="P2" s="799"/>
      <c r="Q2" s="799"/>
    </row>
    <row r="3" spans="1:18" ht="15.75" thickBot="1">
      <c r="I3" s="799"/>
      <c r="J3" s="799"/>
      <c r="K3" s="799"/>
      <c r="L3" s="799"/>
      <c r="M3" s="799"/>
      <c r="N3" s="799"/>
      <c r="O3" s="799"/>
      <c r="P3" s="799"/>
      <c r="Q3" s="799"/>
    </row>
    <row r="4" spans="1:18" ht="46.5" customHeight="1" thickBot="1">
      <c r="A4" s="313" t="s">
        <v>3</v>
      </c>
      <c r="B4" s="314">
        <v>45261</v>
      </c>
      <c r="C4" s="314">
        <v>45231</v>
      </c>
      <c r="D4" s="314">
        <v>45200</v>
      </c>
      <c r="E4" s="314">
        <v>45170</v>
      </c>
      <c r="F4" s="314">
        <v>45139</v>
      </c>
      <c r="G4" s="314">
        <v>45108</v>
      </c>
      <c r="H4" s="314">
        <v>45078</v>
      </c>
      <c r="I4" s="315">
        <v>45047</v>
      </c>
      <c r="J4" s="314">
        <v>45017</v>
      </c>
      <c r="K4" s="316">
        <v>44986</v>
      </c>
      <c r="L4" s="317">
        <v>44958</v>
      </c>
      <c r="M4" s="317">
        <v>44927</v>
      </c>
      <c r="N4" s="317" t="s">
        <v>5</v>
      </c>
      <c r="O4" s="318" t="s">
        <v>330</v>
      </c>
      <c r="P4" s="319" t="s">
        <v>461</v>
      </c>
      <c r="Q4" s="320" t="s">
        <v>331</v>
      </c>
    </row>
    <row r="5" spans="1:18" ht="15.75" thickBot="1">
      <c r="A5" s="321" t="s">
        <v>332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3"/>
      <c r="N5" s="324"/>
      <c r="O5" s="325"/>
      <c r="P5" s="326"/>
      <c r="Q5" s="327"/>
    </row>
    <row r="6" spans="1:18" ht="15.75" thickBot="1">
      <c r="A6" s="328" t="s">
        <v>333</v>
      </c>
      <c r="B6" s="329"/>
      <c r="C6" s="330"/>
      <c r="D6" s="330"/>
      <c r="E6" s="330"/>
      <c r="F6" s="330">
        <v>99</v>
      </c>
      <c r="G6" s="330">
        <v>113</v>
      </c>
      <c r="H6" s="330">
        <v>111</v>
      </c>
      <c r="I6" s="330">
        <v>58</v>
      </c>
      <c r="J6" s="330">
        <v>49</v>
      </c>
      <c r="K6" s="330">
        <v>71</v>
      </c>
      <c r="L6" s="330">
        <v>40</v>
      </c>
      <c r="M6" s="331">
        <v>38</v>
      </c>
      <c r="N6" s="332">
        <f>SUM(B6:M6)</f>
        <v>579</v>
      </c>
      <c r="O6" s="333">
        <f>AVERAGE(B6:M6)</f>
        <v>72.375</v>
      </c>
      <c r="P6" s="334">
        <f>(F6/F$9)*100</f>
        <v>52.941176470588239</v>
      </c>
      <c r="Q6" s="334">
        <f>(N6/N$15)*100</f>
        <v>24.135056273447269</v>
      </c>
    </row>
    <row r="7" spans="1:18">
      <c r="A7" s="335" t="s">
        <v>334</v>
      </c>
      <c r="B7" s="336"/>
      <c r="C7" s="337"/>
      <c r="D7" s="337"/>
      <c r="E7" s="337"/>
      <c r="F7" s="337">
        <v>88</v>
      </c>
      <c r="G7" s="337">
        <v>80</v>
      </c>
      <c r="H7" s="337">
        <v>126</v>
      </c>
      <c r="I7" s="337">
        <v>112</v>
      </c>
      <c r="J7" s="337">
        <v>80</v>
      </c>
      <c r="K7" s="337">
        <v>91</v>
      </c>
      <c r="L7" s="337">
        <v>61</v>
      </c>
      <c r="M7" s="338">
        <v>100</v>
      </c>
      <c r="N7" s="339">
        <f>SUM(B7:M7)</f>
        <v>738</v>
      </c>
      <c r="O7" s="340">
        <f>AVERAGE(B7:M7)</f>
        <v>92.25</v>
      </c>
      <c r="P7" s="334">
        <f>(F7/F$9)*100</f>
        <v>47.058823529411761</v>
      </c>
      <c r="Q7" s="341">
        <f>(N7/N$15)*100</f>
        <v>30.762817840766989</v>
      </c>
    </row>
    <row r="8" spans="1:18" ht="15.75" thickBot="1">
      <c r="A8" s="342" t="s">
        <v>335</v>
      </c>
      <c r="B8" s="343"/>
      <c r="C8" s="344"/>
      <c r="D8" s="344"/>
      <c r="E8" s="344"/>
      <c r="F8" s="344">
        <v>2</v>
      </c>
      <c r="G8" s="344">
        <v>1</v>
      </c>
      <c r="H8" s="344">
        <v>2</v>
      </c>
      <c r="I8" s="344">
        <v>4</v>
      </c>
      <c r="J8" s="344">
        <v>0</v>
      </c>
      <c r="K8" s="344">
        <v>2</v>
      </c>
      <c r="L8" s="344">
        <v>1</v>
      </c>
      <c r="M8" s="345">
        <v>1</v>
      </c>
      <c r="N8" s="346">
        <f>SUM(B8:M8)</f>
        <v>13</v>
      </c>
      <c r="O8" s="347">
        <f>AVERAGE(B8:M8)</f>
        <v>1.625</v>
      </c>
      <c r="P8" s="348"/>
      <c r="Q8" s="341">
        <f>(N8/N$15)*100</f>
        <v>0.54189245518966234</v>
      </c>
    </row>
    <row r="9" spans="1:18" ht="24.75" customHeight="1" thickBot="1">
      <c r="A9" s="349" t="s">
        <v>336</v>
      </c>
      <c r="B9" s="350" t="s">
        <v>337</v>
      </c>
      <c r="C9" s="350" t="s">
        <v>337</v>
      </c>
      <c r="D9" s="350" t="s">
        <v>337</v>
      </c>
      <c r="E9" s="350" t="s">
        <v>337</v>
      </c>
      <c r="F9" s="350">
        <f t="shared" ref="F9:N9" si="0">SUM(F6:F7)</f>
        <v>187</v>
      </c>
      <c r="G9" s="350">
        <f t="shared" si="0"/>
        <v>193</v>
      </c>
      <c r="H9" s="350">
        <f t="shared" si="0"/>
        <v>237</v>
      </c>
      <c r="I9" s="350">
        <f t="shared" si="0"/>
        <v>170</v>
      </c>
      <c r="J9" s="350">
        <f t="shared" si="0"/>
        <v>129</v>
      </c>
      <c r="K9" s="350">
        <f t="shared" si="0"/>
        <v>162</v>
      </c>
      <c r="L9" s="350">
        <f t="shared" si="0"/>
        <v>101</v>
      </c>
      <c r="M9" s="351">
        <f t="shared" si="0"/>
        <v>138</v>
      </c>
      <c r="N9" s="352">
        <f t="shared" si="0"/>
        <v>1317</v>
      </c>
      <c r="O9" s="353">
        <f>AVERAGE(B9:M9)</f>
        <v>164.625</v>
      </c>
      <c r="P9" s="354">
        <f>SUM(P6:P7)</f>
        <v>100</v>
      </c>
      <c r="Q9" s="355"/>
    </row>
    <row r="10" spans="1:18" ht="15.75" thickBot="1">
      <c r="A10" s="356" t="s">
        <v>338</v>
      </c>
      <c r="B10" s="357"/>
      <c r="C10" s="357"/>
      <c r="D10" s="357"/>
      <c r="E10" s="357"/>
      <c r="F10" s="358">
        <f t="shared" ref="F10:N10" si="1">SUM(F6:F8)</f>
        <v>189</v>
      </c>
      <c r="G10" s="358">
        <f t="shared" si="1"/>
        <v>194</v>
      </c>
      <c r="H10" s="358">
        <f t="shared" si="1"/>
        <v>239</v>
      </c>
      <c r="I10" s="358">
        <f t="shared" si="1"/>
        <v>174</v>
      </c>
      <c r="J10" s="358">
        <f t="shared" si="1"/>
        <v>129</v>
      </c>
      <c r="K10" s="358">
        <f t="shared" si="1"/>
        <v>164</v>
      </c>
      <c r="L10" s="358">
        <f t="shared" si="1"/>
        <v>102</v>
      </c>
      <c r="M10" s="358">
        <f t="shared" si="1"/>
        <v>139</v>
      </c>
      <c r="N10" s="359">
        <f t="shared" si="1"/>
        <v>1330</v>
      </c>
      <c r="O10" s="360">
        <f>AVERAGE(B10:M10)</f>
        <v>166.25</v>
      </c>
      <c r="P10" s="361"/>
      <c r="Q10" s="341">
        <f>SUM(Q6:Q8)</f>
        <v>55.439766569403922</v>
      </c>
    </row>
    <row r="11" spans="1:18" ht="15.75" thickBot="1">
      <c r="A11" s="362"/>
      <c r="B11" s="363"/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4"/>
      <c r="N11" s="365"/>
      <c r="O11" s="366"/>
      <c r="P11" s="367"/>
      <c r="Q11" s="368"/>
    </row>
    <row r="12" spans="1:18" ht="15.75" thickBot="1">
      <c r="A12" s="369" t="s">
        <v>339</v>
      </c>
      <c r="B12" s="370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3"/>
      <c r="N12" s="371"/>
      <c r="O12" s="372"/>
      <c r="P12" s="373"/>
      <c r="Q12" s="374"/>
    </row>
    <row r="13" spans="1:18" ht="15.75" thickBot="1">
      <c r="A13" s="375" t="s">
        <v>339</v>
      </c>
      <c r="B13" s="376"/>
      <c r="C13" s="377"/>
      <c r="D13" s="377"/>
      <c r="E13" s="377"/>
      <c r="F13" s="377">
        <v>181</v>
      </c>
      <c r="G13" s="377">
        <v>165</v>
      </c>
      <c r="H13" s="377">
        <v>108</v>
      </c>
      <c r="I13" s="377">
        <v>91</v>
      </c>
      <c r="J13" s="377">
        <v>120</v>
      </c>
      <c r="K13" s="377">
        <v>149</v>
      </c>
      <c r="L13" s="377">
        <v>143</v>
      </c>
      <c r="M13" s="378">
        <v>112</v>
      </c>
      <c r="N13" s="379">
        <f>SUM(B13:M13)</f>
        <v>1069</v>
      </c>
      <c r="O13" s="380">
        <f>AVERAGE(B13:M13)</f>
        <v>133.625</v>
      </c>
      <c r="P13" s="381"/>
      <c r="Q13" s="341">
        <f>(N13/N$15)*100</f>
        <v>44.560233430596078</v>
      </c>
    </row>
    <row r="14" spans="1:18" ht="15.75" thickBot="1">
      <c r="A14" s="362"/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4"/>
      <c r="N14" s="382"/>
      <c r="O14" s="383"/>
      <c r="P14" s="384"/>
      <c r="Q14" s="385"/>
    </row>
    <row r="15" spans="1:18" ht="15.75" thickBot="1">
      <c r="A15" s="356" t="s">
        <v>15</v>
      </c>
      <c r="B15" s="386" t="s">
        <v>337</v>
      </c>
      <c r="C15" s="386" t="s">
        <v>337</v>
      </c>
      <c r="D15" s="386" t="s">
        <v>337</v>
      </c>
      <c r="E15" s="386" t="s">
        <v>337</v>
      </c>
      <c r="F15" s="386">
        <f t="shared" ref="F15:N15" si="2">F10+F13</f>
        <v>370</v>
      </c>
      <c r="G15" s="386">
        <f t="shared" si="2"/>
        <v>359</v>
      </c>
      <c r="H15" s="386">
        <f t="shared" si="2"/>
        <v>347</v>
      </c>
      <c r="I15" s="386">
        <f t="shared" si="2"/>
        <v>265</v>
      </c>
      <c r="J15" s="386">
        <f t="shared" si="2"/>
        <v>249</v>
      </c>
      <c r="K15" s="386">
        <f t="shared" si="2"/>
        <v>313</v>
      </c>
      <c r="L15" s="386">
        <f t="shared" si="2"/>
        <v>245</v>
      </c>
      <c r="M15" s="386">
        <f t="shared" si="2"/>
        <v>251</v>
      </c>
      <c r="N15" s="386">
        <f t="shared" si="2"/>
        <v>2399</v>
      </c>
      <c r="O15" s="387">
        <f>AVERAGE(B15:M15)</f>
        <v>299.875</v>
      </c>
      <c r="P15" s="361"/>
      <c r="Q15" s="388">
        <f>SUM(Q10:Q13)</f>
        <v>100</v>
      </c>
      <c r="R15" s="16"/>
    </row>
    <row r="16" spans="1:18" ht="15.75" thickBot="1"/>
    <row r="17" spans="1:7" ht="15.75" thickBot="1">
      <c r="A17" s="891" t="s">
        <v>340</v>
      </c>
      <c r="B17" s="891"/>
      <c r="C17" s="891"/>
      <c r="D17" s="389"/>
      <c r="E17" s="891" t="s">
        <v>339</v>
      </c>
      <c r="F17" s="891"/>
      <c r="G17" s="891"/>
    </row>
    <row r="18" spans="1:7" ht="15.75" thickBot="1">
      <c r="A18" s="390" t="s">
        <v>2</v>
      </c>
      <c r="B18" s="391" t="s">
        <v>219</v>
      </c>
      <c r="C18" s="391" t="s">
        <v>220</v>
      </c>
      <c r="D18" s="389"/>
      <c r="E18" s="390" t="s">
        <v>2</v>
      </c>
      <c r="F18" s="391" t="s">
        <v>219</v>
      </c>
      <c r="G18" s="391" t="s">
        <v>220</v>
      </c>
    </row>
    <row r="19" spans="1:7">
      <c r="A19" s="392">
        <v>44927</v>
      </c>
      <c r="B19" s="393">
        <f>M9</f>
        <v>138</v>
      </c>
      <c r="C19" s="394">
        <f>((B19-81)/81)*100</f>
        <v>70.370370370370367</v>
      </c>
      <c r="D19" s="389"/>
      <c r="E19" s="392">
        <v>44927</v>
      </c>
      <c r="F19" s="393">
        <f>M13</f>
        <v>112</v>
      </c>
      <c r="G19" s="394">
        <f>((F19-98)/98)*100</f>
        <v>14.285714285714285</v>
      </c>
    </row>
    <row r="20" spans="1:7">
      <c r="A20" s="395">
        <v>44958</v>
      </c>
      <c r="B20" s="396">
        <f>L9</f>
        <v>101</v>
      </c>
      <c r="C20" s="394">
        <f t="shared" ref="C20:C26" si="3">((B20-B19)/B19)*100</f>
        <v>-26.811594202898554</v>
      </c>
      <c r="D20" s="389"/>
      <c r="E20" s="395">
        <v>44958</v>
      </c>
      <c r="F20" s="396">
        <f>L13</f>
        <v>143</v>
      </c>
      <c r="G20" s="394">
        <f t="shared" ref="G20:G26" si="4">((F20-F19)/F19)*100</f>
        <v>27.678571428571431</v>
      </c>
    </row>
    <row r="21" spans="1:7">
      <c r="A21" s="395">
        <v>44986</v>
      </c>
      <c r="B21" s="396">
        <f>K9</f>
        <v>162</v>
      </c>
      <c r="C21" s="394">
        <f t="shared" si="3"/>
        <v>60.396039603960396</v>
      </c>
      <c r="D21" s="389"/>
      <c r="E21" s="395">
        <v>44986</v>
      </c>
      <c r="F21" s="396">
        <f>K13</f>
        <v>149</v>
      </c>
      <c r="G21" s="394">
        <f t="shared" si="4"/>
        <v>4.1958041958041958</v>
      </c>
    </row>
    <row r="22" spans="1:7">
      <c r="A22" s="395">
        <v>45017</v>
      </c>
      <c r="B22" s="396">
        <f>J9</f>
        <v>129</v>
      </c>
      <c r="C22" s="394">
        <f t="shared" si="3"/>
        <v>-20.37037037037037</v>
      </c>
      <c r="D22" s="389"/>
      <c r="E22" s="395">
        <v>45017</v>
      </c>
      <c r="F22" s="396">
        <f>J13</f>
        <v>120</v>
      </c>
      <c r="G22" s="394">
        <f t="shared" si="4"/>
        <v>-19.463087248322147</v>
      </c>
    </row>
    <row r="23" spans="1:7">
      <c r="A23" s="395">
        <v>45047</v>
      </c>
      <c r="B23" s="396">
        <f>I9</f>
        <v>170</v>
      </c>
      <c r="C23" s="394">
        <f t="shared" si="3"/>
        <v>31.782945736434108</v>
      </c>
      <c r="D23" s="389"/>
      <c r="E23" s="395">
        <v>45047</v>
      </c>
      <c r="F23" s="396">
        <f>I13</f>
        <v>91</v>
      </c>
      <c r="G23" s="394">
        <f t="shared" si="4"/>
        <v>-24.166666666666668</v>
      </c>
    </row>
    <row r="24" spans="1:7">
      <c r="A24" s="395">
        <v>45078</v>
      </c>
      <c r="B24" s="396">
        <f>H9</f>
        <v>237</v>
      </c>
      <c r="C24" s="394">
        <f t="shared" si="3"/>
        <v>39.411764705882355</v>
      </c>
      <c r="D24" s="389"/>
      <c r="E24" s="395">
        <v>45078</v>
      </c>
      <c r="F24" s="396">
        <f>H13</f>
        <v>108</v>
      </c>
      <c r="G24" s="394">
        <f t="shared" si="4"/>
        <v>18.681318681318682</v>
      </c>
    </row>
    <row r="25" spans="1:7">
      <c r="A25" s="395">
        <v>45108</v>
      </c>
      <c r="B25" s="396">
        <f>G9</f>
        <v>193</v>
      </c>
      <c r="C25" s="394">
        <f t="shared" si="3"/>
        <v>-18.565400843881857</v>
      </c>
      <c r="D25" s="389"/>
      <c r="E25" s="395">
        <v>45108</v>
      </c>
      <c r="F25" s="396">
        <f>G13</f>
        <v>165</v>
      </c>
      <c r="G25" s="394">
        <f t="shared" si="4"/>
        <v>52.777777777777779</v>
      </c>
    </row>
    <row r="26" spans="1:7">
      <c r="A26" s="395">
        <v>45139</v>
      </c>
      <c r="B26" s="396">
        <v>189</v>
      </c>
      <c r="C26" s="394">
        <f t="shared" si="3"/>
        <v>-2.0725388601036272</v>
      </c>
      <c r="D26" s="389"/>
      <c r="E26" s="395">
        <v>45139</v>
      </c>
      <c r="F26" s="396">
        <v>181</v>
      </c>
      <c r="G26" s="394">
        <f t="shared" si="4"/>
        <v>9.6969696969696972</v>
      </c>
    </row>
    <row r="27" spans="1:7">
      <c r="A27" s="395">
        <v>45170</v>
      </c>
      <c r="B27" s="396" t="str">
        <f>E9</f>
        <v xml:space="preserve"> </v>
      </c>
      <c r="C27" s="394"/>
      <c r="D27" s="389"/>
      <c r="E27" s="395">
        <v>45170</v>
      </c>
      <c r="F27" s="396"/>
      <c r="G27" s="394"/>
    </row>
    <row r="28" spans="1:7">
      <c r="A28" s="395">
        <v>45200</v>
      </c>
      <c r="B28" s="396" t="str">
        <f>D9</f>
        <v xml:space="preserve"> </v>
      </c>
      <c r="C28" s="394"/>
      <c r="D28" s="389"/>
      <c r="E28" s="395">
        <v>45200</v>
      </c>
      <c r="F28" s="396"/>
      <c r="G28" s="394"/>
    </row>
    <row r="29" spans="1:7">
      <c r="A29" s="395">
        <v>45231</v>
      </c>
      <c r="B29" s="397" t="str">
        <f>C9</f>
        <v xml:space="preserve"> </v>
      </c>
      <c r="C29" s="394"/>
      <c r="D29" s="389"/>
      <c r="E29" s="395">
        <v>45231</v>
      </c>
      <c r="F29" s="397"/>
      <c r="G29" s="394"/>
    </row>
    <row r="30" spans="1:7" ht="15.75" thickBot="1">
      <c r="A30" s="398">
        <v>45261</v>
      </c>
      <c r="B30" s="399" t="str">
        <f>B9</f>
        <v xml:space="preserve"> </v>
      </c>
      <c r="C30" s="400"/>
      <c r="D30" s="389"/>
      <c r="E30" s="398">
        <v>45261</v>
      </c>
      <c r="F30" s="399"/>
      <c r="G30" s="400"/>
    </row>
    <row r="31" spans="1:7" ht="15.75" thickBot="1">
      <c r="A31" s="401" t="s">
        <v>5</v>
      </c>
      <c r="B31" s="402">
        <f>SUM(B19:B30)</f>
        <v>1319</v>
      </c>
      <c r="C31" s="403"/>
      <c r="D31" s="389"/>
      <c r="E31" s="175" t="s">
        <v>5</v>
      </c>
      <c r="F31" s="402">
        <f>SUM(F19:F30)</f>
        <v>1069</v>
      </c>
      <c r="G31" s="403"/>
    </row>
    <row r="32" spans="1:7" ht="15.75" thickBot="1">
      <c r="A32" s="404" t="s">
        <v>6</v>
      </c>
      <c r="B32" s="402">
        <f>AVERAGE(B19:B30)</f>
        <v>164.875</v>
      </c>
      <c r="C32" s="403"/>
      <c r="D32" s="389"/>
      <c r="E32" s="404" t="s">
        <v>6</v>
      </c>
      <c r="F32" s="402">
        <f>AVERAGE(F19:F30)</f>
        <v>133.625</v>
      </c>
      <c r="G32" s="403"/>
    </row>
    <row r="33" spans="1:8" ht="17.25" customHeight="1" thickBot="1"/>
    <row r="34" spans="1:8" ht="93" customHeight="1" thickBot="1">
      <c r="A34" s="405"/>
      <c r="B34" s="406" t="s">
        <v>341</v>
      </c>
      <c r="C34" s="407" t="s">
        <v>342</v>
      </c>
      <c r="D34" s="407" t="s">
        <v>343</v>
      </c>
      <c r="E34" s="407" t="s">
        <v>344</v>
      </c>
      <c r="F34" s="407" t="s">
        <v>345</v>
      </c>
      <c r="G34" s="408" t="s">
        <v>346</v>
      </c>
      <c r="H34" s="409" t="s">
        <v>15</v>
      </c>
    </row>
    <row r="35" spans="1:8" ht="15.75" thickBot="1">
      <c r="A35" s="410" t="s">
        <v>334</v>
      </c>
      <c r="B35" s="411"/>
      <c r="C35" s="412"/>
      <c r="D35" s="412"/>
      <c r="E35" s="412"/>
      <c r="F35" s="412"/>
      <c r="G35" s="412"/>
      <c r="H35" s="413"/>
    </row>
    <row r="36" spans="1:8">
      <c r="A36" s="414">
        <v>44927</v>
      </c>
      <c r="B36" s="415">
        <v>6</v>
      </c>
      <c r="C36" s="416">
        <v>1</v>
      </c>
      <c r="D36" s="416">
        <v>65</v>
      </c>
      <c r="E36" s="416">
        <v>6</v>
      </c>
      <c r="F36" s="416">
        <v>16</v>
      </c>
      <c r="G36" s="417">
        <v>6</v>
      </c>
      <c r="H36" s="418">
        <f t="shared" ref="H36:H47" si="5">SUM(B36:G36)</f>
        <v>100</v>
      </c>
    </row>
    <row r="37" spans="1:8">
      <c r="A37" s="419">
        <v>44958</v>
      </c>
      <c r="B37" s="420">
        <v>6</v>
      </c>
      <c r="C37" s="421">
        <v>2</v>
      </c>
      <c r="D37" s="421">
        <v>35</v>
      </c>
      <c r="E37" s="421">
        <v>3</v>
      </c>
      <c r="F37" s="421">
        <v>8</v>
      </c>
      <c r="G37" s="422">
        <v>7</v>
      </c>
      <c r="H37" s="423">
        <f t="shared" si="5"/>
        <v>61</v>
      </c>
    </row>
    <row r="38" spans="1:8">
      <c r="A38" s="419">
        <v>44986</v>
      </c>
      <c r="B38" s="420">
        <v>6</v>
      </c>
      <c r="C38" s="421">
        <v>2</v>
      </c>
      <c r="D38" s="421">
        <v>56</v>
      </c>
      <c r="E38" s="421">
        <v>6</v>
      </c>
      <c r="F38" s="421">
        <v>9</v>
      </c>
      <c r="G38" s="422">
        <v>12</v>
      </c>
      <c r="H38" s="423">
        <f t="shared" si="5"/>
        <v>91</v>
      </c>
    </row>
    <row r="39" spans="1:8">
      <c r="A39" s="419">
        <v>45017</v>
      </c>
      <c r="B39" s="420">
        <v>11</v>
      </c>
      <c r="C39" s="421">
        <v>0</v>
      </c>
      <c r="D39" s="421">
        <v>46</v>
      </c>
      <c r="E39" s="421">
        <v>6</v>
      </c>
      <c r="F39" s="421">
        <v>11</v>
      </c>
      <c r="G39" s="422">
        <v>6</v>
      </c>
      <c r="H39" s="423">
        <f t="shared" si="5"/>
        <v>80</v>
      </c>
    </row>
    <row r="40" spans="1:8">
      <c r="A40" s="419">
        <v>45047</v>
      </c>
      <c r="B40" s="420">
        <v>18</v>
      </c>
      <c r="C40" s="421">
        <v>2</v>
      </c>
      <c r="D40" s="421">
        <v>54</v>
      </c>
      <c r="E40" s="421">
        <v>9</v>
      </c>
      <c r="F40" s="421">
        <v>14</v>
      </c>
      <c r="G40" s="422">
        <v>15</v>
      </c>
      <c r="H40" s="423">
        <f t="shared" si="5"/>
        <v>112</v>
      </c>
    </row>
    <row r="41" spans="1:8">
      <c r="A41" s="419">
        <v>45078</v>
      </c>
      <c r="B41" s="420">
        <v>10</v>
      </c>
      <c r="C41" s="421">
        <v>0</v>
      </c>
      <c r="D41" s="421">
        <v>97</v>
      </c>
      <c r="E41" s="421">
        <v>3</v>
      </c>
      <c r="F41" s="421">
        <v>11</v>
      </c>
      <c r="G41" s="422">
        <v>5</v>
      </c>
      <c r="H41" s="423">
        <f t="shared" si="5"/>
        <v>126</v>
      </c>
    </row>
    <row r="42" spans="1:8">
      <c r="A42" s="419">
        <v>45108</v>
      </c>
      <c r="B42" s="420">
        <v>11</v>
      </c>
      <c r="C42" s="421">
        <v>1</v>
      </c>
      <c r="D42" s="421">
        <v>44</v>
      </c>
      <c r="E42" s="421">
        <v>6</v>
      </c>
      <c r="F42" s="421">
        <v>9</v>
      </c>
      <c r="G42" s="422">
        <v>9</v>
      </c>
      <c r="H42" s="423">
        <f t="shared" si="5"/>
        <v>80</v>
      </c>
    </row>
    <row r="43" spans="1:8">
      <c r="A43" s="419">
        <v>45139</v>
      </c>
      <c r="B43" s="420">
        <v>6</v>
      </c>
      <c r="C43" s="421">
        <v>1</v>
      </c>
      <c r="D43" s="421">
        <v>51</v>
      </c>
      <c r="E43" s="421">
        <v>9</v>
      </c>
      <c r="F43" s="421">
        <v>14</v>
      </c>
      <c r="G43" s="422">
        <v>7</v>
      </c>
      <c r="H43" s="423">
        <f t="shared" si="5"/>
        <v>88</v>
      </c>
    </row>
    <row r="44" spans="1:8">
      <c r="A44" s="419">
        <v>45170</v>
      </c>
      <c r="B44" s="420"/>
      <c r="C44" s="421"/>
      <c r="D44" s="421"/>
      <c r="E44" s="421"/>
      <c r="F44" s="421"/>
      <c r="G44" s="422"/>
      <c r="H44" s="423">
        <f t="shared" si="5"/>
        <v>0</v>
      </c>
    </row>
    <row r="45" spans="1:8">
      <c r="A45" s="419">
        <v>45200</v>
      </c>
      <c r="B45" s="420"/>
      <c r="C45" s="421"/>
      <c r="D45" s="421"/>
      <c r="E45" s="421"/>
      <c r="F45" s="421"/>
      <c r="G45" s="422"/>
      <c r="H45" s="423">
        <f t="shared" si="5"/>
        <v>0</v>
      </c>
    </row>
    <row r="46" spans="1:8">
      <c r="A46" s="419">
        <v>45231</v>
      </c>
      <c r="B46" s="420"/>
      <c r="C46" s="421"/>
      <c r="D46" s="421"/>
      <c r="E46" s="421"/>
      <c r="F46" s="421"/>
      <c r="G46" s="422"/>
      <c r="H46" s="423">
        <f t="shared" si="5"/>
        <v>0</v>
      </c>
    </row>
    <row r="47" spans="1:8" ht="15.75" thickBot="1">
      <c r="A47" s="424">
        <v>45261</v>
      </c>
      <c r="B47" s="425"/>
      <c r="C47" s="426"/>
      <c r="D47" s="426"/>
      <c r="E47" s="426"/>
      <c r="F47" s="426"/>
      <c r="G47" s="427"/>
      <c r="H47" s="428">
        <f t="shared" si="5"/>
        <v>0</v>
      </c>
    </row>
    <row r="48" spans="1:8" ht="15.75" thickBot="1">
      <c r="A48" s="429" t="s">
        <v>347</v>
      </c>
      <c r="B48" s="430">
        <f t="shared" ref="B48:H48" si="6">SUM(B36:B47)</f>
        <v>74</v>
      </c>
      <c r="C48" s="430">
        <f t="shared" si="6"/>
        <v>9</v>
      </c>
      <c r="D48" s="430">
        <f t="shared" si="6"/>
        <v>448</v>
      </c>
      <c r="E48" s="430">
        <f t="shared" si="6"/>
        <v>48</v>
      </c>
      <c r="F48" s="430">
        <f t="shared" si="6"/>
        <v>92</v>
      </c>
      <c r="G48" s="430">
        <f t="shared" si="6"/>
        <v>67</v>
      </c>
      <c r="H48" s="431">
        <f t="shared" si="6"/>
        <v>738</v>
      </c>
    </row>
    <row r="49" spans="1:8" ht="15.75" thickBot="1">
      <c r="A49" s="412"/>
      <c r="B49" s="432"/>
      <c r="C49" s="432"/>
      <c r="D49" s="432"/>
      <c r="E49" s="432"/>
      <c r="F49" s="432"/>
      <c r="G49" s="432"/>
      <c r="H49" s="432"/>
    </row>
    <row r="50" spans="1:8" ht="15.75" thickBot="1">
      <c r="A50" s="410" t="s">
        <v>333</v>
      </c>
      <c r="B50" s="433"/>
      <c r="C50" s="434"/>
      <c r="D50" s="434"/>
      <c r="E50" s="434"/>
      <c r="F50" s="434"/>
      <c r="G50" s="434"/>
      <c r="H50" s="434"/>
    </row>
    <row r="51" spans="1:8">
      <c r="A51" s="414">
        <v>44927</v>
      </c>
      <c r="B51" s="435">
        <v>4</v>
      </c>
      <c r="C51" s="436">
        <v>2</v>
      </c>
      <c r="D51" s="436">
        <v>11</v>
      </c>
      <c r="E51" s="436">
        <v>3</v>
      </c>
      <c r="F51" s="436">
        <v>8</v>
      </c>
      <c r="G51" s="437">
        <v>10</v>
      </c>
      <c r="H51" s="438">
        <f t="shared" ref="H51:H62" si="7">SUM(B51:G51)</f>
        <v>38</v>
      </c>
    </row>
    <row r="52" spans="1:8">
      <c r="A52" s="419">
        <v>44958</v>
      </c>
      <c r="B52" s="439">
        <v>2</v>
      </c>
      <c r="C52" s="440">
        <v>4</v>
      </c>
      <c r="D52" s="440">
        <v>18</v>
      </c>
      <c r="E52" s="440">
        <v>0</v>
      </c>
      <c r="F52" s="440">
        <v>10</v>
      </c>
      <c r="G52" s="441">
        <v>6</v>
      </c>
      <c r="H52" s="442">
        <f t="shared" si="7"/>
        <v>40</v>
      </c>
    </row>
    <row r="53" spans="1:8">
      <c r="A53" s="419">
        <v>44986</v>
      </c>
      <c r="B53" s="439">
        <v>4</v>
      </c>
      <c r="C53" s="440">
        <v>5</v>
      </c>
      <c r="D53" s="440">
        <v>24</v>
      </c>
      <c r="E53" s="440">
        <v>3</v>
      </c>
      <c r="F53" s="440">
        <v>20</v>
      </c>
      <c r="G53" s="441">
        <v>15</v>
      </c>
      <c r="H53" s="442">
        <f t="shared" si="7"/>
        <v>71</v>
      </c>
    </row>
    <row r="54" spans="1:8">
      <c r="A54" s="419">
        <v>45017</v>
      </c>
      <c r="B54" s="439">
        <v>4</v>
      </c>
      <c r="C54" s="440">
        <v>5</v>
      </c>
      <c r="D54" s="440">
        <v>16</v>
      </c>
      <c r="E54" s="440">
        <v>3</v>
      </c>
      <c r="F54" s="440">
        <v>13</v>
      </c>
      <c r="G54" s="441">
        <v>8</v>
      </c>
      <c r="H54" s="442">
        <f t="shared" si="7"/>
        <v>49</v>
      </c>
    </row>
    <row r="55" spans="1:8">
      <c r="A55" s="419">
        <v>45047</v>
      </c>
      <c r="B55" s="439">
        <v>11</v>
      </c>
      <c r="C55" s="440">
        <v>0</v>
      </c>
      <c r="D55" s="440">
        <v>13</v>
      </c>
      <c r="E55" s="440">
        <v>3</v>
      </c>
      <c r="F55" s="440">
        <v>12</v>
      </c>
      <c r="G55" s="441">
        <v>19</v>
      </c>
      <c r="H55" s="442">
        <f t="shared" si="7"/>
        <v>58</v>
      </c>
    </row>
    <row r="56" spans="1:8">
      <c r="A56" s="419">
        <v>45078</v>
      </c>
      <c r="B56" s="439">
        <v>11</v>
      </c>
      <c r="C56" s="440">
        <v>3</v>
      </c>
      <c r="D56" s="440">
        <v>42</v>
      </c>
      <c r="E56" s="440">
        <v>11</v>
      </c>
      <c r="F56" s="440">
        <v>30</v>
      </c>
      <c r="G56" s="441">
        <v>14</v>
      </c>
      <c r="H56" s="442">
        <f t="shared" si="7"/>
        <v>111</v>
      </c>
    </row>
    <row r="57" spans="1:8">
      <c r="A57" s="419">
        <v>45108</v>
      </c>
      <c r="B57" s="439">
        <v>5</v>
      </c>
      <c r="C57" s="440">
        <v>3</v>
      </c>
      <c r="D57" s="440">
        <v>34</v>
      </c>
      <c r="E57" s="440">
        <v>3</v>
      </c>
      <c r="F57" s="440">
        <v>62</v>
      </c>
      <c r="G57" s="441">
        <v>6</v>
      </c>
      <c r="H57" s="442">
        <f t="shared" si="7"/>
        <v>113</v>
      </c>
    </row>
    <row r="58" spans="1:8">
      <c r="A58" s="419">
        <v>45139</v>
      </c>
      <c r="B58" s="439">
        <v>8</v>
      </c>
      <c r="C58" s="440">
        <v>4</v>
      </c>
      <c r="D58" s="440">
        <v>52</v>
      </c>
      <c r="E58" s="440">
        <v>6</v>
      </c>
      <c r="F58" s="440">
        <v>22</v>
      </c>
      <c r="G58" s="441">
        <v>7</v>
      </c>
      <c r="H58" s="442">
        <f t="shared" si="7"/>
        <v>99</v>
      </c>
    </row>
    <row r="59" spans="1:8">
      <c r="A59" s="419">
        <v>45170</v>
      </c>
      <c r="B59" s="439"/>
      <c r="C59" s="440"/>
      <c r="D59" s="440"/>
      <c r="E59" s="440"/>
      <c r="F59" s="440"/>
      <c r="G59" s="441"/>
      <c r="H59" s="442">
        <f t="shared" si="7"/>
        <v>0</v>
      </c>
    </row>
    <row r="60" spans="1:8">
      <c r="A60" s="419">
        <v>45200</v>
      </c>
      <c r="B60" s="439"/>
      <c r="C60" s="440"/>
      <c r="D60" s="440"/>
      <c r="E60" s="440"/>
      <c r="F60" s="440"/>
      <c r="G60" s="441"/>
      <c r="H60" s="442">
        <f t="shared" si="7"/>
        <v>0</v>
      </c>
    </row>
    <row r="61" spans="1:8">
      <c r="A61" s="419">
        <v>45231</v>
      </c>
      <c r="B61" s="439"/>
      <c r="C61" s="440"/>
      <c r="D61" s="440"/>
      <c r="E61" s="440"/>
      <c r="F61" s="440"/>
      <c r="G61" s="441"/>
      <c r="H61" s="442">
        <f t="shared" si="7"/>
        <v>0</v>
      </c>
    </row>
    <row r="62" spans="1:8" ht="15.75" thickBot="1">
      <c r="A62" s="424">
        <v>45261</v>
      </c>
      <c r="B62" s="443"/>
      <c r="C62" s="444"/>
      <c r="D62" s="444"/>
      <c r="E62" s="444"/>
      <c r="F62" s="444"/>
      <c r="G62" s="445"/>
      <c r="H62" s="446">
        <f t="shared" si="7"/>
        <v>0</v>
      </c>
    </row>
    <row r="63" spans="1:8" ht="15.75" thickBot="1">
      <c r="A63" s="447" t="s">
        <v>348</v>
      </c>
      <c r="B63" s="448">
        <f t="shared" ref="B63:H63" si="8">SUM(B51:B62)</f>
        <v>49</v>
      </c>
      <c r="C63" s="448">
        <f t="shared" si="8"/>
        <v>26</v>
      </c>
      <c r="D63" s="448">
        <f t="shared" si="8"/>
        <v>210</v>
      </c>
      <c r="E63" s="448">
        <f t="shared" si="8"/>
        <v>32</v>
      </c>
      <c r="F63" s="448">
        <f t="shared" si="8"/>
        <v>177</v>
      </c>
      <c r="G63" s="449">
        <f t="shared" si="8"/>
        <v>85</v>
      </c>
      <c r="H63" s="450">
        <f t="shared" si="8"/>
        <v>579</v>
      </c>
    </row>
    <row r="64" spans="1:8" ht="15.75" thickBot="1">
      <c r="A64" s="451"/>
      <c r="B64" s="451"/>
      <c r="C64" s="451"/>
      <c r="D64" s="451"/>
      <c r="E64" s="451"/>
      <c r="F64" s="451"/>
      <c r="G64" s="451"/>
      <c r="H64" s="451"/>
    </row>
    <row r="65" spans="1:8" ht="15.75" thickBot="1">
      <c r="A65" s="452" t="s">
        <v>15</v>
      </c>
      <c r="B65" s="453">
        <f t="shared" ref="B65:H65" si="9">B48+B63</f>
        <v>123</v>
      </c>
      <c r="C65" s="453">
        <f t="shared" si="9"/>
        <v>35</v>
      </c>
      <c r="D65" s="453">
        <f t="shared" si="9"/>
        <v>658</v>
      </c>
      <c r="E65" s="453">
        <f t="shared" si="9"/>
        <v>80</v>
      </c>
      <c r="F65" s="453">
        <f t="shared" si="9"/>
        <v>269</v>
      </c>
      <c r="G65" s="453">
        <f t="shared" si="9"/>
        <v>152</v>
      </c>
      <c r="H65" s="454">
        <f t="shared" si="9"/>
        <v>1317</v>
      </c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F9:J9 H36:H47 H51:H62" formulaRange="1"/>
    <ignoredError sqref="N9:O9" formula="1"/>
    <ignoredError sqref="K9:M9" formula="1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opLeftCell="A13" workbookViewId="0"/>
  </sheetViews>
  <sheetFormatPr defaultRowHeight="15"/>
  <cols>
    <col min="1" max="1" width="70" customWidth="1"/>
    <col min="2" max="2" width="10.42578125" customWidth="1"/>
    <col min="3" max="3" width="13.7109375" customWidth="1"/>
    <col min="5" max="5" width="4" customWidth="1"/>
    <col min="15" max="15" width="6.42578125" customWidth="1"/>
  </cols>
  <sheetData>
    <row r="1" spans="1:4">
      <c r="A1" s="746" t="s">
        <v>0</v>
      </c>
      <c r="B1" s="747"/>
      <c r="C1" s="747"/>
      <c r="D1" s="747"/>
    </row>
    <row r="2" spans="1:4" ht="15.75" thickBot="1">
      <c r="A2" s="748" t="s">
        <v>1</v>
      </c>
      <c r="B2" s="129"/>
      <c r="C2" s="129"/>
    </row>
    <row r="3" spans="1:4" ht="15.75" thickBot="1">
      <c r="A3" s="749" t="s">
        <v>462</v>
      </c>
      <c r="B3" s="750" t="s">
        <v>445</v>
      </c>
      <c r="C3" s="751" t="s">
        <v>446</v>
      </c>
      <c r="D3" s="752" t="s">
        <v>23</v>
      </c>
    </row>
    <row r="4" spans="1:4">
      <c r="A4" s="753" t="s">
        <v>222</v>
      </c>
      <c r="B4" s="754">
        <v>3</v>
      </c>
      <c r="C4" s="754">
        <v>2</v>
      </c>
      <c r="D4" s="754">
        <f>SUM(B4:C4)</f>
        <v>5</v>
      </c>
    </row>
    <row r="5" spans="1:4">
      <c r="A5" s="755" t="s">
        <v>447</v>
      </c>
      <c r="B5" s="756">
        <v>0</v>
      </c>
      <c r="C5" s="756">
        <v>0</v>
      </c>
      <c r="D5" s="756">
        <f t="shared" ref="D5:D68" si="0">SUM(B5:C5)</f>
        <v>0</v>
      </c>
    </row>
    <row r="6" spans="1:4">
      <c r="A6" s="757" t="s">
        <v>223</v>
      </c>
      <c r="B6" s="756">
        <v>0</v>
      </c>
      <c r="C6" s="756">
        <v>0</v>
      </c>
      <c r="D6" s="756">
        <f t="shared" si="0"/>
        <v>0</v>
      </c>
    </row>
    <row r="7" spans="1:4">
      <c r="A7" s="757" t="s">
        <v>224</v>
      </c>
      <c r="B7" s="756">
        <v>0</v>
      </c>
      <c r="C7" s="756">
        <v>0</v>
      </c>
      <c r="D7" s="756">
        <f t="shared" si="0"/>
        <v>0</v>
      </c>
    </row>
    <row r="8" spans="1:4">
      <c r="A8" s="757" t="s">
        <v>225</v>
      </c>
      <c r="B8" s="756">
        <v>0</v>
      </c>
      <c r="C8" s="756">
        <v>0</v>
      </c>
      <c r="D8" s="756">
        <f t="shared" si="0"/>
        <v>0</v>
      </c>
    </row>
    <row r="9" spans="1:4">
      <c r="A9" s="757" t="s">
        <v>226</v>
      </c>
      <c r="B9" s="756">
        <v>0</v>
      </c>
      <c r="C9" s="756">
        <v>0</v>
      </c>
      <c r="D9" s="756">
        <f t="shared" si="0"/>
        <v>0</v>
      </c>
    </row>
    <row r="10" spans="1:4">
      <c r="A10" s="757" t="s">
        <v>227</v>
      </c>
      <c r="B10" s="756">
        <v>0</v>
      </c>
      <c r="C10" s="756">
        <v>0</v>
      </c>
      <c r="D10" s="756">
        <f t="shared" si="0"/>
        <v>0</v>
      </c>
    </row>
    <row r="11" spans="1:4">
      <c r="A11" s="757" t="s">
        <v>147</v>
      </c>
      <c r="B11" s="756">
        <v>0</v>
      </c>
      <c r="C11" s="756">
        <v>1</v>
      </c>
      <c r="D11" s="756">
        <f t="shared" si="0"/>
        <v>1</v>
      </c>
    </row>
    <row r="12" spans="1:4">
      <c r="A12" s="757" t="s">
        <v>228</v>
      </c>
      <c r="B12" s="756">
        <v>1</v>
      </c>
      <c r="C12" s="756">
        <v>1</v>
      </c>
      <c r="D12" s="756">
        <f t="shared" si="0"/>
        <v>2</v>
      </c>
    </row>
    <row r="13" spans="1:4">
      <c r="A13" s="757" t="s">
        <v>229</v>
      </c>
      <c r="B13" s="756">
        <v>0</v>
      </c>
      <c r="C13" s="756">
        <v>0</v>
      </c>
      <c r="D13" s="756">
        <f t="shared" si="0"/>
        <v>0</v>
      </c>
    </row>
    <row r="14" spans="1:4">
      <c r="A14" s="757" t="s">
        <v>230</v>
      </c>
      <c r="B14" s="756">
        <v>1</v>
      </c>
      <c r="C14" s="756">
        <v>1</v>
      </c>
      <c r="D14" s="756">
        <f t="shared" si="0"/>
        <v>2</v>
      </c>
    </row>
    <row r="15" spans="1:4">
      <c r="A15" s="757" t="s">
        <v>231</v>
      </c>
      <c r="B15" s="756">
        <v>0</v>
      </c>
      <c r="C15" s="756">
        <v>0</v>
      </c>
      <c r="D15" s="756">
        <f t="shared" si="0"/>
        <v>0</v>
      </c>
    </row>
    <row r="16" spans="1:4">
      <c r="A16" s="757" t="s">
        <v>232</v>
      </c>
      <c r="B16" s="756">
        <v>0</v>
      </c>
      <c r="C16" s="756">
        <v>0</v>
      </c>
      <c r="D16" s="756">
        <f t="shared" si="0"/>
        <v>0</v>
      </c>
    </row>
    <row r="17" spans="1:4">
      <c r="A17" s="757" t="s">
        <v>233</v>
      </c>
      <c r="B17" s="756">
        <v>1</v>
      </c>
      <c r="C17" s="756">
        <v>0</v>
      </c>
      <c r="D17" s="756">
        <f t="shared" si="0"/>
        <v>1</v>
      </c>
    </row>
    <row r="18" spans="1:4">
      <c r="A18" s="757" t="s">
        <v>234</v>
      </c>
      <c r="B18" s="756">
        <v>0</v>
      </c>
      <c r="C18" s="756">
        <v>2</v>
      </c>
      <c r="D18" s="756">
        <f t="shared" si="0"/>
        <v>2</v>
      </c>
    </row>
    <row r="19" spans="1:4">
      <c r="A19" s="757" t="s">
        <v>235</v>
      </c>
      <c r="B19" s="756">
        <v>0</v>
      </c>
      <c r="C19" s="756">
        <v>2</v>
      </c>
      <c r="D19" s="756">
        <f t="shared" si="0"/>
        <v>2</v>
      </c>
    </row>
    <row r="20" spans="1:4">
      <c r="A20" s="757" t="s">
        <v>236</v>
      </c>
      <c r="B20" s="756">
        <v>0</v>
      </c>
      <c r="C20" s="756">
        <v>0</v>
      </c>
      <c r="D20" s="756">
        <f t="shared" si="0"/>
        <v>0</v>
      </c>
    </row>
    <row r="21" spans="1:4">
      <c r="A21" s="757" t="s">
        <v>237</v>
      </c>
      <c r="B21" s="756">
        <v>17</v>
      </c>
      <c r="C21" s="756">
        <v>13</v>
      </c>
      <c r="D21" s="756">
        <f t="shared" si="0"/>
        <v>30</v>
      </c>
    </row>
    <row r="22" spans="1:4">
      <c r="A22" s="757" t="s">
        <v>238</v>
      </c>
      <c r="B22" s="756">
        <v>3</v>
      </c>
      <c r="C22" s="756">
        <v>1</v>
      </c>
      <c r="D22" s="756">
        <f t="shared" si="0"/>
        <v>4</v>
      </c>
    </row>
    <row r="23" spans="1:4">
      <c r="A23" s="758" t="s">
        <v>239</v>
      </c>
      <c r="B23" s="759">
        <v>6</v>
      </c>
      <c r="C23" s="759">
        <v>8</v>
      </c>
      <c r="D23" s="756">
        <f t="shared" si="0"/>
        <v>14</v>
      </c>
    </row>
    <row r="24" spans="1:4">
      <c r="A24" s="760" t="s">
        <v>448</v>
      </c>
      <c r="B24" s="756">
        <v>0</v>
      </c>
      <c r="C24" s="756">
        <v>0</v>
      </c>
      <c r="D24" s="756">
        <f t="shared" si="0"/>
        <v>0</v>
      </c>
    </row>
    <row r="25" spans="1:4">
      <c r="A25" s="753" t="s">
        <v>240</v>
      </c>
      <c r="B25" s="754">
        <v>5</v>
      </c>
      <c r="C25" s="754">
        <v>2</v>
      </c>
      <c r="D25" s="756">
        <f t="shared" si="0"/>
        <v>7</v>
      </c>
    </row>
    <row r="26" spans="1:4">
      <c r="A26" s="757" t="s">
        <v>241</v>
      </c>
      <c r="B26" s="756">
        <v>0</v>
      </c>
      <c r="C26" s="756">
        <v>0</v>
      </c>
      <c r="D26" s="756">
        <f t="shared" si="0"/>
        <v>0</v>
      </c>
    </row>
    <row r="27" spans="1:4">
      <c r="A27" s="757" t="s">
        <v>242</v>
      </c>
      <c r="B27" s="756">
        <v>4</v>
      </c>
      <c r="C27" s="756">
        <v>2</v>
      </c>
      <c r="D27" s="756">
        <f t="shared" si="0"/>
        <v>6</v>
      </c>
    </row>
    <row r="28" spans="1:4">
      <c r="A28" s="757" t="s">
        <v>243</v>
      </c>
      <c r="B28" s="756">
        <v>40</v>
      </c>
      <c r="C28" s="756">
        <v>30</v>
      </c>
      <c r="D28" s="756">
        <f t="shared" si="0"/>
        <v>70</v>
      </c>
    </row>
    <row r="29" spans="1:4">
      <c r="A29" s="757" t="s">
        <v>244</v>
      </c>
      <c r="B29" s="756">
        <v>4</v>
      </c>
      <c r="C29" s="756">
        <v>5</v>
      </c>
      <c r="D29" s="756">
        <f t="shared" si="0"/>
        <v>9</v>
      </c>
    </row>
    <row r="30" spans="1:4">
      <c r="A30" s="757" t="s">
        <v>245</v>
      </c>
      <c r="B30" s="756">
        <v>1</v>
      </c>
      <c r="C30" s="756">
        <v>0</v>
      </c>
      <c r="D30" s="756">
        <f t="shared" si="0"/>
        <v>1</v>
      </c>
    </row>
    <row r="31" spans="1:4">
      <c r="A31" s="757" t="s">
        <v>246</v>
      </c>
      <c r="B31" s="756">
        <v>0</v>
      </c>
      <c r="C31" s="756">
        <v>0</v>
      </c>
      <c r="D31" s="756">
        <f t="shared" si="0"/>
        <v>0</v>
      </c>
    </row>
    <row r="32" spans="1:4">
      <c r="A32" s="757" t="s">
        <v>247</v>
      </c>
      <c r="B32" s="756">
        <v>1</v>
      </c>
      <c r="C32" s="756">
        <v>1</v>
      </c>
      <c r="D32" s="756">
        <f t="shared" si="0"/>
        <v>2</v>
      </c>
    </row>
    <row r="33" spans="1:4">
      <c r="A33" s="757" t="s">
        <v>248</v>
      </c>
      <c r="B33" s="756">
        <v>1</v>
      </c>
      <c r="C33" s="756">
        <v>0</v>
      </c>
      <c r="D33" s="756">
        <f t="shared" si="0"/>
        <v>1</v>
      </c>
    </row>
    <row r="34" spans="1:4">
      <c r="A34" s="757" t="s">
        <v>249</v>
      </c>
      <c r="B34" s="756">
        <v>0</v>
      </c>
      <c r="C34" s="756">
        <v>0</v>
      </c>
      <c r="D34" s="756">
        <f t="shared" si="0"/>
        <v>0</v>
      </c>
    </row>
    <row r="35" spans="1:4">
      <c r="A35" s="757" t="s">
        <v>250</v>
      </c>
      <c r="B35" s="756">
        <v>1</v>
      </c>
      <c r="C35" s="756">
        <v>0</v>
      </c>
      <c r="D35" s="756">
        <f t="shared" si="0"/>
        <v>1</v>
      </c>
    </row>
    <row r="36" spans="1:4">
      <c r="A36" s="757" t="s">
        <v>251</v>
      </c>
      <c r="B36" s="756">
        <v>5</v>
      </c>
      <c r="C36" s="756">
        <v>0</v>
      </c>
      <c r="D36" s="756">
        <f t="shared" si="0"/>
        <v>5</v>
      </c>
    </row>
    <row r="37" spans="1:4">
      <c r="A37" s="757" t="s">
        <v>252</v>
      </c>
      <c r="B37" s="756">
        <v>0</v>
      </c>
      <c r="C37" s="756">
        <v>0</v>
      </c>
      <c r="D37" s="756">
        <f t="shared" si="0"/>
        <v>0</v>
      </c>
    </row>
    <row r="38" spans="1:4">
      <c r="A38" s="757" t="s">
        <v>253</v>
      </c>
      <c r="B38" s="756">
        <v>0</v>
      </c>
      <c r="C38" s="756">
        <v>0</v>
      </c>
      <c r="D38" s="756">
        <f t="shared" si="0"/>
        <v>0</v>
      </c>
    </row>
    <row r="39" spans="1:4">
      <c r="A39" s="757" t="s">
        <v>254</v>
      </c>
      <c r="B39" s="756">
        <v>1</v>
      </c>
      <c r="C39" s="756">
        <v>4</v>
      </c>
      <c r="D39" s="756">
        <f t="shared" si="0"/>
        <v>5</v>
      </c>
    </row>
    <row r="40" spans="1:4">
      <c r="A40" s="757" t="s">
        <v>255</v>
      </c>
      <c r="B40" s="756">
        <v>0</v>
      </c>
      <c r="C40" s="756">
        <v>0</v>
      </c>
      <c r="D40" s="756">
        <f t="shared" si="0"/>
        <v>0</v>
      </c>
    </row>
    <row r="41" spans="1:4">
      <c r="A41" s="757" t="s">
        <v>256</v>
      </c>
      <c r="B41" s="756">
        <v>0</v>
      </c>
      <c r="C41" s="756">
        <v>0</v>
      </c>
      <c r="D41" s="756">
        <f t="shared" si="0"/>
        <v>0</v>
      </c>
    </row>
    <row r="42" spans="1:4">
      <c r="A42" s="757" t="s">
        <v>257</v>
      </c>
      <c r="B42" s="756">
        <v>0</v>
      </c>
      <c r="C42" s="756">
        <v>0</v>
      </c>
      <c r="D42" s="756">
        <f t="shared" si="0"/>
        <v>0</v>
      </c>
    </row>
    <row r="43" spans="1:4">
      <c r="A43" s="757" t="s">
        <v>258</v>
      </c>
      <c r="B43" s="756">
        <v>0</v>
      </c>
      <c r="C43" s="756">
        <v>0</v>
      </c>
      <c r="D43" s="756">
        <f t="shared" si="0"/>
        <v>0</v>
      </c>
    </row>
    <row r="44" spans="1:4">
      <c r="A44" s="757" t="s">
        <v>259</v>
      </c>
      <c r="B44" s="756">
        <v>0</v>
      </c>
      <c r="C44" s="756">
        <v>0</v>
      </c>
      <c r="D44" s="756">
        <f t="shared" si="0"/>
        <v>0</v>
      </c>
    </row>
    <row r="45" spans="1:4">
      <c r="A45" s="757" t="s">
        <v>260</v>
      </c>
      <c r="B45" s="756">
        <v>0</v>
      </c>
      <c r="C45" s="756">
        <v>0</v>
      </c>
      <c r="D45" s="756">
        <f t="shared" si="0"/>
        <v>0</v>
      </c>
    </row>
    <row r="46" spans="1:4">
      <c r="A46" s="757" t="s">
        <v>261</v>
      </c>
      <c r="B46" s="756">
        <v>0</v>
      </c>
      <c r="C46" s="756">
        <v>0</v>
      </c>
      <c r="D46" s="756">
        <f t="shared" si="0"/>
        <v>0</v>
      </c>
    </row>
    <row r="47" spans="1:4">
      <c r="A47" s="757" t="s">
        <v>262</v>
      </c>
      <c r="B47" s="756">
        <v>0</v>
      </c>
      <c r="C47" s="756">
        <v>0</v>
      </c>
      <c r="D47" s="756">
        <f t="shared" si="0"/>
        <v>0</v>
      </c>
    </row>
    <row r="48" spans="1:4">
      <c r="A48" s="757" t="s">
        <v>263</v>
      </c>
      <c r="B48" s="756">
        <v>0</v>
      </c>
      <c r="C48" s="756">
        <v>0</v>
      </c>
      <c r="D48" s="756">
        <f t="shared" si="0"/>
        <v>0</v>
      </c>
    </row>
    <row r="49" spans="1:4">
      <c r="A49" s="757" t="s">
        <v>264</v>
      </c>
      <c r="B49" s="756">
        <v>0</v>
      </c>
      <c r="C49" s="756">
        <v>0</v>
      </c>
      <c r="D49" s="756">
        <f t="shared" si="0"/>
        <v>0</v>
      </c>
    </row>
    <row r="50" spans="1:4">
      <c r="A50" s="757" t="s">
        <v>265</v>
      </c>
      <c r="B50" s="756">
        <v>0</v>
      </c>
      <c r="C50" s="756">
        <v>1</v>
      </c>
      <c r="D50" s="756">
        <f t="shared" si="0"/>
        <v>1</v>
      </c>
    </row>
    <row r="51" spans="1:4">
      <c r="A51" s="757" t="s">
        <v>266</v>
      </c>
      <c r="B51" s="756">
        <v>0</v>
      </c>
      <c r="C51" s="756">
        <v>0</v>
      </c>
      <c r="D51" s="756">
        <f t="shared" si="0"/>
        <v>0</v>
      </c>
    </row>
    <row r="52" spans="1:4">
      <c r="A52" s="757" t="s">
        <v>267</v>
      </c>
      <c r="B52" s="756">
        <v>0</v>
      </c>
      <c r="C52" s="756">
        <v>0</v>
      </c>
      <c r="D52" s="756">
        <f t="shared" si="0"/>
        <v>0</v>
      </c>
    </row>
    <row r="53" spans="1:4">
      <c r="A53" s="757" t="s">
        <v>268</v>
      </c>
      <c r="B53" s="756">
        <v>0</v>
      </c>
      <c r="C53" s="756">
        <v>2</v>
      </c>
      <c r="D53" s="756">
        <f t="shared" si="0"/>
        <v>2</v>
      </c>
    </row>
    <row r="54" spans="1:4">
      <c r="A54" s="757" t="s">
        <v>269</v>
      </c>
      <c r="B54" s="756">
        <v>0</v>
      </c>
      <c r="C54" s="756">
        <v>0</v>
      </c>
      <c r="D54" s="756">
        <f t="shared" si="0"/>
        <v>0</v>
      </c>
    </row>
    <row r="55" spans="1:4">
      <c r="A55" s="757" t="s">
        <v>270</v>
      </c>
      <c r="B55" s="756">
        <v>1</v>
      </c>
      <c r="C55" s="756">
        <v>0</v>
      </c>
      <c r="D55" s="756">
        <f t="shared" si="0"/>
        <v>1</v>
      </c>
    </row>
    <row r="56" spans="1:4">
      <c r="A56" s="757" t="s">
        <v>271</v>
      </c>
      <c r="B56" s="756">
        <v>0</v>
      </c>
      <c r="C56" s="756">
        <v>2</v>
      </c>
      <c r="D56" s="756">
        <f t="shared" si="0"/>
        <v>2</v>
      </c>
    </row>
    <row r="57" spans="1:4">
      <c r="A57" s="757" t="s">
        <v>272</v>
      </c>
      <c r="B57" s="756">
        <v>0</v>
      </c>
      <c r="C57" s="756">
        <v>0</v>
      </c>
      <c r="D57" s="756">
        <f t="shared" si="0"/>
        <v>0</v>
      </c>
    </row>
    <row r="58" spans="1:4">
      <c r="A58" s="757" t="s">
        <v>273</v>
      </c>
      <c r="B58" s="756">
        <v>1</v>
      </c>
      <c r="C58" s="756">
        <v>0</v>
      </c>
      <c r="D58" s="756">
        <f t="shared" si="0"/>
        <v>1</v>
      </c>
    </row>
    <row r="59" spans="1:4">
      <c r="A59" s="757" t="s">
        <v>274</v>
      </c>
      <c r="B59" s="756">
        <v>0</v>
      </c>
      <c r="C59" s="756">
        <v>0</v>
      </c>
      <c r="D59" s="756">
        <f t="shared" si="0"/>
        <v>0</v>
      </c>
    </row>
    <row r="60" spans="1:4">
      <c r="A60" s="757" t="s">
        <v>275</v>
      </c>
      <c r="B60" s="756">
        <v>0</v>
      </c>
      <c r="C60" s="756">
        <v>1</v>
      </c>
      <c r="D60" s="756">
        <f t="shared" si="0"/>
        <v>1</v>
      </c>
    </row>
    <row r="61" spans="1:4">
      <c r="A61" s="757" t="s">
        <v>276</v>
      </c>
      <c r="B61" s="756">
        <v>0</v>
      </c>
      <c r="C61" s="756">
        <v>1</v>
      </c>
      <c r="D61" s="756">
        <f t="shared" si="0"/>
        <v>1</v>
      </c>
    </row>
    <row r="62" spans="1:4">
      <c r="A62" s="757" t="s">
        <v>277</v>
      </c>
      <c r="B62" s="756">
        <v>1</v>
      </c>
      <c r="C62" s="756">
        <v>0</v>
      </c>
      <c r="D62" s="756">
        <f t="shared" si="0"/>
        <v>1</v>
      </c>
    </row>
    <row r="63" spans="1:4">
      <c r="A63" s="757" t="s">
        <v>278</v>
      </c>
      <c r="B63" s="756">
        <v>0</v>
      </c>
      <c r="C63" s="756">
        <v>0</v>
      </c>
      <c r="D63" s="756">
        <f t="shared" si="0"/>
        <v>0</v>
      </c>
    </row>
    <row r="64" spans="1:4">
      <c r="A64" s="757" t="s">
        <v>279</v>
      </c>
      <c r="B64" s="756">
        <v>0</v>
      </c>
      <c r="C64" s="756">
        <v>1</v>
      </c>
      <c r="D64" s="756">
        <f t="shared" si="0"/>
        <v>1</v>
      </c>
    </row>
    <row r="65" spans="1:4">
      <c r="A65" s="757" t="s">
        <v>280</v>
      </c>
      <c r="B65" s="756">
        <v>0</v>
      </c>
      <c r="C65" s="756">
        <v>0</v>
      </c>
      <c r="D65" s="756">
        <f t="shared" si="0"/>
        <v>0</v>
      </c>
    </row>
    <row r="66" spans="1:4">
      <c r="A66" s="757" t="s">
        <v>281</v>
      </c>
      <c r="B66" s="756">
        <v>0</v>
      </c>
      <c r="C66" s="756">
        <v>0</v>
      </c>
      <c r="D66" s="756">
        <f t="shared" si="0"/>
        <v>0</v>
      </c>
    </row>
    <row r="67" spans="1:4">
      <c r="A67" s="757" t="s">
        <v>282</v>
      </c>
      <c r="B67" s="756">
        <v>0</v>
      </c>
      <c r="C67" s="756">
        <v>0</v>
      </c>
      <c r="D67" s="756">
        <f t="shared" si="0"/>
        <v>0</v>
      </c>
    </row>
    <row r="68" spans="1:4">
      <c r="A68" s="757" t="s">
        <v>283</v>
      </c>
      <c r="B68" s="756">
        <v>0</v>
      </c>
      <c r="C68" s="756">
        <v>4</v>
      </c>
      <c r="D68" s="756">
        <f t="shared" si="0"/>
        <v>4</v>
      </c>
    </row>
    <row r="69" spans="1:4">
      <c r="A69" s="757" t="s">
        <v>284</v>
      </c>
      <c r="B69" s="756">
        <v>1</v>
      </c>
      <c r="C69" s="756">
        <v>0</v>
      </c>
      <c r="D69" s="756">
        <f t="shared" ref="D69:D71" si="1">SUM(B69:C69)</f>
        <v>1</v>
      </c>
    </row>
    <row r="70" spans="1:4">
      <c r="A70" s="757" t="s">
        <v>285</v>
      </c>
      <c r="B70" s="756">
        <v>0</v>
      </c>
      <c r="C70" s="756">
        <v>1</v>
      </c>
      <c r="D70" s="756">
        <f t="shared" si="1"/>
        <v>1</v>
      </c>
    </row>
    <row r="71" spans="1:4">
      <c r="A71" s="757" t="s">
        <v>286</v>
      </c>
      <c r="B71" s="756">
        <v>0</v>
      </c>
      <c r="C71" s="756">
        <v>0</v>
      </c>
      <c r="D71" s="756">
        <f t="shared" si="1"/>
        <v>0</v>
      </c>
    </row>
    <row r="72" spans="1:4">
      <c r="A72" s="757" t="s">
        <v>287</v>
      </c>
      <c r="B72" s="756">
        <v>0</v>
      </c>
      <c r="C72" s="756">
        <v>0</v>
      </c>
      <c r="D72" s="756">
        <f>SUM(B72:C72)</f>
        <v>0</v>
      </c>
    </row>
    <row r="73" spans="1:4">
      <c r="A73" s="761" t="s">
        <v>335</v>
      </c>
      <c r="B73" s="892"/>
      <c r="C73" s="893"/>
      <c r="D73" s="756">
        <v>2</v>
      </c>
    </row>
    <row r="74" spans="1:4">
      <c r="A74" s="762" t="s">
        <v>5</v>
      </c>
      <c r="B74" s="763">
        <f>SUM(B4:B72)</f>
        <v>99</v>
      </c>
      <c r="C74" s="763">
        <f>SUM(C4:C72)</f>
        <v>88</v>
      </c>
      <c r="D74" s="806">
        <f>SUM(D4:D73)</f>
        <v>189</v>
      </c>
    </row>
  </sheetData>
  <mergeCells count="1">
    <mergeCell ref="B73:C7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7.5703125" bestFit="1" customWidth="1"/>
    <col min="13" max="13" width="7.140625" bestFit="1" customWidth="1"/>
    <col min="14" max="14" width="7.5703125" bestFit="1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5" t="s">
        <v>3</v>
      </c>
      <c r="C4" s="5" t="s">
        <v>4</v>
      </c>
      <c r="D4" s="6"/>
      <c r="E4" s="6"/>
      <c r="F4" s="6"/>
      <c r="I4"/>
      <c r="J4"/>
    </row>
    <row r="5" spans="1:11">
      <c r="A5" s="7">
        <v>44927</v>
      </c>
      <c r="B5" s="8">
        <v>4396</v>
      </c>
      <c r="C5" s="9">
        <f>((B5-3527)/3527)*100</f>
        <v>24.638502977034307</v>
      </c>
      <c r="D5" s="10"/>
      <c r="E5" s="10"/>
      <c r="F5" s="10"/>
      <c r="I5"/>
      <c r="J5"/>
    </row>
    <row r="6" spans="1:11">
      <c r="A6" s="11">
        <v>44958</v>
      </c>
      <c r="B6" s="12">
        <v>4747</v>
      </c>
      <c r="C6" s="9">
        <f>((B6-4396)/4396)*100</f>
        <v>7.9845313921747039</v>
      </c>
      <c r="D6" s="10"/>
      <c r="E6" s="10"/>
      <c r="F6" s="10"/>
      <c r="H6" s="13"/>
      <c r="I6" s="10"/>
      <c r="J6" s="10"/>
      <c r="K6" s="14"/>
    </row>
    <row r="7" spans="1:11">
      <c r="A7" s="11">
        <v>44986</v>
      </c>
      <c r="B7" s="15">
        <v>5681</v>
      </c>
      <c r="C7" s="9">
        <f t="shared" ref="C7:C12" si="0">((B7-B6)/B6)*100</f>
        <v>19.675584579734569</v>
      </c>
      <c r="D7" s="10"/>
      <c r="E7" s="10"/>
      <c r="F7" s="10"/>
      <c r="H7" s="13"/>
      <c r="I7" s="10"/>
      <c r="J7" s="10"/>
      <c r="K7" s="14"/>
    </row>
    <row r="8" spans="1:11">
      <c r="A8" s="11">
        <v>45017</v>
      </c>
      <c r="B8" s="15">
        <v>4816</v>
      </c>
      <c r="C8" s="9">
        <f t="shared" si="0"/>
        <v>-15.22619257173033</v>
      </c>
      <c r="D8" s="10"/>
      <c r="E8" s="10"/>
      <c r="F8" s="10"/>
    </row>
    <row r="9" spans="1:11">
      <c r="A9" s="11">
        <v>45047</v>
      </c>
      <c r="B9" s="15">
        <v>5527</v>
      </c>
      <c r="C9" s="9">
        <f t="shared" si="0"/>
        <v>14.763289036544849</v>
      </c>
      <c r="D9" s="10"/>
      <c r="E9" s="10"/>
      <c r="F9" s="10"/>
    </row>
    <row r="10" spans="1:11">
      <c r="A10" s="11">
        <v>45078</v>
      </c>
      <c r="B10" s="15">
        <v>4921</v>
      </c>
      <c r="C10" s="9">
        <f t="shared" si="0"/>
        <v>-10.964356793920754</v>
      </c>
      <c r="D10" s="10"/>
      <c r="E10" s="10"/>
      <c r="F10" s="10"/>
    </row>
    <row r="11" spans="1:11">
      <c r="A11" s="11">
        <v>45108</v>
      </c>
      <c r="B11" s="15">
        <v>4897</v>
      </c>
      <c r="C11" s="9">
        <f t="shared" si="0"/>
        <v>-0.48770575086364554</v>
      </c>
      <c r="D11" s="10"/>
      <c r="E11" s="10"/>
      <c r="F11" s="10"/>
    </row>
    <row r="12" spans="1:11">
      <c r="A12" s="11">
        <v>45139</v>
      </c>
      <c r="B12" s="15">
        <v>5084</v>
      </c>
      <c r="C12" s="9">
        <f t="shared" si="0"/>
        <v>3.818664488462324</v>
      </c>
      <c r="D12" s="10"/>
      <c r="E12" s="10"/>
      <c r="F12" s="10"/>
    </row>
    <row r="13" spans="1:11">
      <c r="A13" s="11">
        <v>45170</v>
      </c>
      <c r="B13" s="15"/>
      <c r="C13" s="9"/>
      <c r="D13" s="10"/>
      <c r="E13" s="10"/>
      <c r="F13" s="10"/>
    </row>
    <row r="14" spans="1:11">
      <c r="A14" s="11">
        <v>45200</v>
      </c>
      <c r="B14" s="15"/>
      <c r="C14" s="9"/>
      <c r="D14" s="10"/>
      <c r="E14" s="10"/>
      <c r="F14" s="10"/>
      <c r="H14" s="16"/>
    </row>
    <row r="15" spans="1:11">
      <c r="A15" s="11">
        <v>45231</v>
      </c>
      <c r="B15" s="15"/>
      <c r="C15" s="9"/>
      <c r="D15" s="10"/>
      <c r="E15" s="10"/>
      <c r="F15" s="10"/>
    </row>
    <row r="16" spans="1:11" ht="15.75" thickBot="1">
      <c r="A16" s="17">
        <v>45261</v>
      </c>
      <c r="B16" s="18"/>
      <c r="C16" s="19"/>
      <c r="D16" s="10"/>
      <c r="E16" s="10"/>
      <c r="F16" s="10"/>
    </row>
    <row r="17" spans="1:19" ht="15.75" thickBot="1">
      <c r="A17" s="20" t="s">
        <v>5</v>
      </c>
      <c r="B17" s="21">
        <f>SUM(B5:B16)</f>
        <v>40069</v>
      </c>
    </row>
    <row r="18" spans="1:19" ht="30">
      <c r="A18" s="22" t="s">
        <v>6</v>
      </c>
      <c r="B18" s="23">
        <f>AVERAGE(B5:B16)</f>
        <v>5008.625</v>
      </c>
      <c r="D18" s="24" t="s">
        <v>7</v>
      </c>
      <c r="E18" s="25">
        <v>45261</v>
      </c>
      <c r="F18" s="26">
        <v>45231</v>
      </c>
      <c r="G18" s="26">
        <v>45200</v>
      </c>
      <c r="H18" s="26">
        <v>45170</v>
      </c>
      <c r="I18" s="26">
        <v>45139</v>
      </c>
      <c r="J18" s="26">
        <v>45108</v>
      </c>
      <c r="K18" s="26">
        <v>45078</v>
      </c>
      <c r="L18" s="27">
        <v>45047</v>
      </c>
      <c r="M18" s="25">
        <v>45017</v>
      </c>
      <c r="N18" s="25">
        <v>44986</v>
      </c>
      <c r="O18" s="25">
        <v>44958</v>
      </c>
      <c r="P18" s="28">
        <v>44927</v>
      </c>
      <c r="Q18" s="26" t="s">
        <v>5</v>
      </c>
      <c r="R18" s="29" t="s">
        <v>8</v>
      </c>
      <c r="S18" s="29" t="s">
        <v>6</v>
      </c>
    </row>
    <row r="19" spans="1:19">
      <c r="A19" s="881"/>
      <c r="B19" s="881"/>
      <c r="C19" s="881"/>
      <c r="D19" s="30" t="s">
        <v>9</v>
      </c>
      <c r="E19" s="31"/>
      <c r="F19" s="32"/>
      <c r="G19" s="33"/>
      <c r="H19" s="33"/>
      <c r="I19" s="33">
        <v>189</v>
      </c>
      <c r="J19" s="33">
        <v>194</v>
      </c>
      <c r="K19" s="34">
        <v>236</v>
      </c>
      <c r="L19" s="34">
        <v>174</v>
      </c>
      <c r="M19" s="35">
        <v>129</v>
      </c>
      <c r="N19" s="36">
        <v>164</v>
      </c>
      <c r="O19" s="35">
        <v>102</v>
      </c>
      <c r="P19" s="37">
        <v>139</v>
      </c>
      <c r="Q19" s="38">
        <f>SUM(E19:P19)</f>
        <v>1327</v>
      </c>
      <c r="R19" s="39">
        <f>(Q19/Q24)*100</f>
        <v>3.3117871671366892</v>
      </c>
      <c r="S19" s="40">
        <f t="shared" ref="S19:S24" si="1">AVERAGE(E19:P19)</f>
        <v>165.875</v>
      </c>
    </row>
    <row r="20" spans="1:19" ht="15" customHeight="1">
      <c r="A20" s="882" t="s">
        <v>10</v>
      </c>
      <c r="B20" s="882"/>
      <c r="C20" s="41"/>
      <c r="D20" s="42" t="s">
        <v>11</v>
      </c>
      <c r="E20" s="43"/>
      <c r="F20" s="44"/>
      <c r="G20" s="45"/>
      <c r="H20" s="45"/>
      <c r="I20" s="45">
        <v>90</v>
      </c>
      <c r="J20" s="45">
        <v>86</v>
      </c>
      <c r="K20" s="46">
        <v>79</v>
      </c>
      <c r="L20" s="46">
        <v>70</v>
      </c>
      <c r="M20" s="45">
        <v>70</v>
      </c>
      <c r="N20" s="36">
        <v>76</v>
      </c>
      <c r="O20" s="45">
        <v>55</v>
      </c>
      <c r="P20" s="47">
        <v>67</v>
      </c>
      <c r="Q20" s="48">
        <f>SUM(E20:P20)</f>
        <v>593</v>
      </c>
      <c r="R20" s="49">
        <f>(Q20/Q24)*100</f>
        <v>1.4799470912675634</v>
      </c>
      <c r="S20" s="50">
        <f t="shared" si="1"/>
        <v>74.125</v>
      </c>
    </row>
    <row r="21" spans="1:19">
      <c r="A21" s="882"/>
      <c r="B21" s="882"/>
      <c r="D21" s="42" t="s">
        <v>12</v>
      </c>
      <c r="E21" s="43"/>
      <c r="F21" s="44"/>
      <c r="G21" s="45"/>
      <c r="H21" s="45"/>
      <c r="I21" s="45">
        <v>4511</v>
      </c>
      <c r="J21" s="45">
        <v>4376</v>
      </c>
      <c r="K21" s="46">
        <v>4377</v>
      </c>
      <c r="L21" s="46">
        <v>4920</v>
      </c>
      <c r="M21" s="45">
        <v>4272</v>
      </c>
      <c r="N21" s="36">
        <v>5075</v>
      </c>
      <c r="O21" s="45">
        <v>4256</v>
      </c>
      <c r="P21" s="47">
        <v>3881</v>
      </c>
      <c r="Q21" s="48">
        <f>SUM(E21:P21)</f>
        <v>35668</v>
      </c>
      <c r="R21" s="49">
        <f>(Q21/Q24)*100</f>
        <v>89.016446629564001</v>
      </c>
      <c r="S21" s="50">
        <f t="shared" si="1"/>
        <v>4458.5</v>
      </c>
    </row>
    <row r="22" spans="1:19">
      <c r="D22" s="42" t="s">
        <v>13</v>
      </c>
      <c r="E22" s="43"/>
      <c r="F22" s="44"/>
      <c r="G22" s="45"/>
      <c r="H22" s="45"/>
      <c r="I22" s="45">
        <v>233</v>
      </c>
      <c r="J22" s="45">
        <v>182</v>
      </c>
      <c r="K22" s="46">
        <v>185</v>
      </c>
      <c r="L22" s="46">
        <v>281</v>
      </c>
      <c r="M22" s="45">
        <v>257</v>
      </c>
      <c r="N22" s="36">
        <v>292</v>
      </c>
      <c r="O22" s="45">
        <v>262</v>
      </c>
      <c r="P22" s="47">
        <v>253</v>
      </c>
      <c r="Q22" s="48">
        <f>SUM(E22:P22)</f>
        <v>1945</v>
      </c>
      <c r="R22" s="49">
        <f>(Q22/Q24)*100</f>
        <v>4.8541266315605585</v>
      </c>
      <c r="S22" s="50">
        <f t="shared" si="1"/>
        <v>243.125</v>
      </c>
    </row>
    <row r="23" spans="1:19" ht="15.75" thickBot="1">
      <c r="D23" s="42" t="s">
        <v>14</v>
      </c>
      <c r="E23" s="51"/>
      <c r="F23" s="44"/>
      <c r="G23" s="52"/>
      <c r="H23" s="52"/>
      <c r="I23" s="52">
        <v>61</v>
      </c>
      <c r="J23" s="52">
        <v>59</v>
      </c>
      <c r="K23" s="53">
        <v>44</v>
      </c>
      <c r="L23" s="53">
        <v>82</v>
      </c>
      <c r="M23" s="45">
        <v>88</v>
      </c>
      <c r="N23" s="36">
        <v>74</v>
      </c>
      <c r="O23" s="52">
        <v>72</v>
      </c>
      <c r="P23" s="54">
        <v>56</v>
      </c>
      <c r="Q23" s="55">
        <f>SUM(E23:P23)</f>
        <v>536</v>
      </c>
      <c r="R23" s="56">
        <f>(Q23/Q24)*100</f>
        <v>1.3376924804711872</v>
      </c>
      <c r="S23" s="57">
        <f t="shared" si="1"/>
        <v>67</v>
      </c>
    </row>
    <row r="24" spans="1:19" ht="15.75" thickBot="1">
      <c r="D24" s="278" t="s">
        <v>15</v>
      </c>
      <c r="E24" s="59"/>
      <c r="F24" s="59"/>
      <c r="G24" s="59"/>
      <c r="H24" s="59"/>
      <c r="I24" s="59">
        <f>SUM(I19:I23)</f>
        <v>5084</v>
      </c>
      <c r="J24" s="59">
        <f t="shared" ref="J24:R24" si="2">SUM(J19:J23)</f>
        <v>4897</v>
      </c>
      <c r="K24" s="59">
        <f t="shared" si="2"/>
        <v>4921</v>
      </c>
      <c r="L24" s="59">
        <f t="shared" si="2"/>
        <v>5527</v>
      </c>
      <c r="M24" s="59">
        <f t="shared" si="2"/>
        <v>4816</v>
      </c>
      <c r="N24" s="61">
        <f t="shared" si="2"/>
        <v>5681</v>
      </c>
      <c r="O24" s="59">
        <f t="shared" si="2"/>
        <v>4747</v>
      </c>
      <c r="P24" s="61">
        <f t="shared" si="2"/>
        <v>4396</v>
      </c>
      <c r="Q24" s="62">
        <f t="shared" si="2"/>
        <v>40069</v>
      </c>
      <c r="R24" s="61">
        <f t="shared" si="2"/>
        <v>100</v>
      </c>
      <c r="S24" s="63">
        <f t="shared" si="1"/>
        <v>5008.625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I24:P24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2"/>
  <sheetViews>
    <sheetView topLeftCell="A31" zoomScaleNormal="100" workbookViewId="0"/>
  </sheetViews>
  <sheetFormatPr defaultRowHeight="15"/>
  <cols>
    <col min="1" max="1" width="22.7109375" customWidth="1"/>
    <col min="2" max="2" width="9.85546875" customWidth="1"/>
    <col min="3" max="3" width="9" style="129" customWidth="1"/>
    <col min="4" max="4" width="6.85546875" style="129" bestFit="1" customWidth="1"/>
    <col min="5" max="5" width="6.5703125" bestFit="1" customWidth="1"/>
    <col min="6" max="6" width="7" style="95" bestFit="1" customWidth="1"/>
    <col min="7" max="7" width="6.140625" style="95" bestFit="1" customWidth="1"/>
    <col min="8" max="8" width="6.7109375" style="95" bestFit="1" customWidth="1"/>
    <col min="9" max="9" width="7.140625" style="124" bestFit="1" customWidth="1"/>
    <col min="10" max="10" width="6.7109375" style="95" bestFit="1" customWidth="1"/>
    <col min="11" max="11" width="7.28515625" style="95" bestFit="1" customWidth="1"/>
    <col min="12" max="12" width="6.7109375" style="95" bestFit="1" customWidth="1"/>
    <col min="13" max="13" width="6.5703125" style="182" bestFit="1" customWidth="1"/>
    <col min="14" max="14" width="6.5703125" style="455" bestFit="1" customWidth="1"/>
    <col min="15" max="15" width="12.140625" style="129" customWidth="1"/>
    <col min="16" max="16" width="6" style="129" bestFit="1" customWidth="1"/>
    <col min="17" max="17" width="5.42578125" style="129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bestFit="1" customWidth="1"/>
    <col min="33" max="33" width="6.7109375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186" bestFit="1" customWidth="1"/>
    <col min="55" max="55" width="9.140625" customWidth="1"/>
  </cols>
  <sheetData>
    <row r="1" spans="1:3">
      <c r="A1" s="130" t="s">
        <v>0</v>
      </c>
    </row>
    <row r="2" spans="1:3">
      <c r="A2" s="1" t="s">
        <v>1</v>
      </c>
    </row>
    <row r="3" spans="1:3" ht="15.75" thickBot="1"/>
    <row r="4" spans="1:3" ht="15.75" thickBot="1">
      <c r="A4" s="895" t="s">
        <v>349</v>
      </c>
      <c r="B4" s="895"/>
      <c r="C4" s="895"/>
    </row>
    <row r="5" spans="1:3" ht="15.75" thickBot="1">
      <c r="A5" s="4" t="s">
        <v>2</v>
      </c>
      <c r="B5" s="456" t="s">
        <v>219</v>
      </c>
      <c r="C5" s="457" t="s">
        <v>220</v>
      </c>
    </row>
    <row r="6" spans="1:3">
      <c r="A6" s="458">
        <v>44927</v>
      </c>
      <c r="B6" s="459">
        <f>M100</f>
        <v>728</v>
      </c>
      <c r="C6" s="237">
        <f>((B6-728)/728)*100</f>
        <v>0</v>
      </c>
    </row>
    <row r="7" spans="1:3">
      <c r="A7" s="460">
        <v>44958</v>
      </c>
      <c r="B7" s="461">
        <v>532</v>
      </c>
      <c r="C7" s="9">
        <f t="shared" ref="C7:C13" si="0">((B7-B6)/B6)*100</f>
        <v>-26.923076923076923</v>
      </c>
    </row>
    <row r="8" spans="1:3">
      <c r="A8" s="460">
        <v>44986</v>
      </c>
      <c r="B8" s="461">
        <v>728</v>
      </c>
      <c r="C8" s="9">
        <f t="shared" si="0"/>
        <v>36.84210526315789</v>
      </c>
    </row>
    <row r="9" spans="1:3">
      <c r="A9" s="460">
        <v>45017</v>
      </c>
      <c r="B9" s="461">
        <v>799</v>
      </c>
      <c r="C9" s="9">
        <f t="shared" si="0"/>
        <v>9.7527472527472536</v>
      </c>
    </row>
    <row r="10" spans="1:3">
      <c r="A10" s="460">
        <v>45047</v>
      </c>
      <c r="B10" s="461">
        <v>736</v>
      </c>
      <c r="C10" s="9">
        <f t="shared" si="0"/>
        <v>-7.8848560700876096</v>
      </c>
    </row>
    <row r="11" spans="1:3">
      <c r="A11" s="460">
        <v>45078</v>
      </c>
      <c r="B11" s="461">
        <v>662</v>
      </c>
      <c r="C11" s="9">
        <f t="shared" si="0"/>
        <v>-10.054347826086957</v>
      </c>
    </row>
    <row r="12" spans="1:3">
      <c r="A12" s="460">
        <v>45108</v>
      </c>
      <c r="B12" s="461">
        <v>706</v>
      </c>
      <c r="C12" s="9">
        <f t="shared" si="0"/>
        <v>6.6465256797583088</v>
      </c>
    </row>
    <row r="13" spans="1:3">
      <c r="A13" s="460">
        <v>45139</v>
      </c>
      <c r="B13" s="461">
        <v>636</v>
      </c>
      <c r="C13" s="9">
        <f t="shared" si="0"/>
        <v>-9.9150141643059495</v>
      </c>
    </row>
    <row r="14" spans="1:3">
      <c r="A14" s="460">
        <v>45170</v>
      </c>
      <c r="B14" s="461"/>
      <c r="C14" s="9"/>
    </row>
    <row r="15" spans="1:3">
      <c r="A15" s="460">
        <v>45200</v>
      </c>
      <c r="B15" s="461"/>
      <c r="C15" s="9"/>
    </row>
    <row r="16" spans="1:3">
      <c r="A16" s="460">
        <v>45231</v>
      </c>
      <c r="B16" s="462"/>
      <c r="C16" s="9"/>
    </row>
    <row r="17" spans="1:41" ht="15.75" thickBot="1">
      <c r="A17" s="463">
        <v>45261</v>
      </c>
      <c r="B17" s="464"/>
      <c r="C17" s="19"/>
    </row>
    <row r="18" spans="1:41" ht="15.75" thickBot="1">
      <c r="A18" s="20" t="s">
        <v>5</v>
      </c>
      <c r="B18" s="465">
        <f>SUM(B6:B17)</f>
        <v>5527</v>
      </c>
      <c r="C18"/>
    </row>
    <row r="19" spans="1:41" ht="15.75" thickBot="1">
      <c r="A19" s="466" t="s">
        <v>6</v>
      </c>
      <c r="B19" s="465">
        <f>AVERAGE(B6:B17)</f>
        <v>690.875</v>
      </c>
      <c r="C19"/>
    </row>
    <row r="20" spans="1:41" ht="15.75" thickBot="1">
      <c r="A20" s="129"/>
      <c r="B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</row>
    <row r="21" spans="1:41" customFormat="1" ht="24.95" customHeight="1" thickBot="1">
      <c r="A21" s="467" t="s">
        <v>350</v>
      </c>
      <c r="B21" s="468">
        <v>45261</v>
      </c>
      <c r="C21" s="468">
        <v>45231</v>
      </c>
      <c r="D21" s="468">
        <v>45200</v>
      </c>
      <c r="E21" s="468">
        <v>45170</v>
      </c>
      <c r="F21" s="468">
        <v>45139</v>
      </c>
      <c r="G21" s="468">
        <v>45108</v>
      </c>
      <c r="H21" s="468">
        <v>45078</v>
      </c>
      <c r="I21" s="468">
        <v>45047</v>
      </c>
      <c r="J21" s="468">
        <v>45017</v>
      </c>
      <c r="K21" s="468">
        <v>44986</v>
      </c>
      <c r="L21" s="468">
        <v>44958</v>
      </c>
      <c r="M21" s="468">
        <v>44927</v>
      </c>
      <c r="N21" s="468" t="s">
        <v>5</v>
      </c>
      <c r="O21" s="469" t="s">
        <v>6</v>
      </c>
      <c r="P21" s="470" t="s">
        <v>8</v>
      </c>
      <c r="Q21" s="471"/>
      <c r="S21" s="895" t="s">
        <v>351</v>
      </c>
      <c r="T21" s="895"/>
      <c r="U21" s="895"/>
      <c r="V21" s="895"/>
      <c r="W21" s="895"/>
      <c r="X21" s="895"/>
      <c r="Y21" s="895"/>
      <c r="Z21" s="895"/>
      <c r="AA21" s="895"/>
      <c r="AB21" s="895"/>
      <c r="AC21" s="895"/>
      <c r="AD21" s="895"/>
      <c r="AE21" s="895"/>
      <c r="AF21" s="895"/>
      <c r="AG21" s="895"/>
      <c r="AH21" s="472">
        <v>12</v>
      </c>
      <c r="AI21" s="472">
        <v>7</v>
      </c>
      <c r="AJ21" s="472">
        <v>11</v>
      </c>
      <c r="AK21" s="472">
        <v>7</v>
      </c>
      <c r="AL21" s="472">
        <v>2</v>
      </c>
      <c r="AM21" s="472">
        <v>10</v>
      </c>
      <c r="AN21" s="472">
        <v>7</v>
      </c>
      <c r="AO21" s="186"/>
    </row>
    <row r="22" spans="1:41" customFormat="1" ht="34.5" customHeight="1" thickBot="1">
      <c r="A22" s="473" t="s">
        <v>352</v>
      </c>
      <c r="B22" s="474"/>
      <c r="C22" s="475"/>
      <c r="D22" s="475"/>
      <c r="E22" s="475"/>
      <c r="F22" s="475">
        <v>1</v>
      </c>
      <c r="G22" s="475">
        <v>0</v>
      </c>
      <c r="H22" s="475">
        <v>0</v>
      </c>
      <c r="I22" s="475">
        <v>0</v>
      </c>
      <c r="J22" s="476">
        <v>3</v>
      </c>
      <c r="K22" s="477">
        <v>0</v>
      </c>
      <c r="L22" s="476">
        <v>2</v>
      </c>
      <c r="M22" s="478">
        <v>0</v>
      </c>
      <c r="N22" s="479">
        <f t="shared" ref="N22:N53" si="1">SUM(B22:M22)</f>
        <v>6</v>
      </c>
      <c r="O22" s="480">
        <f t="shared" ref="O22:O53" si="2">AVERAGE(B22:M22)</f>
        <v>0.75</v>
      </c>
      <c r="P22" s="481">
        <f>(N22/N100)*100</f>
        <v>0.1085579880586213</v>
      </c>
      <c r="Q22" s="482"/>
      <c r="R22" s="264"/>
      <c r="S22" s="483"/>
      <c r="T22" s="484">
        <v>45261</v>
      </c>
      <c r="U22" s="484">
        <v>45231</v>
      </c>
      <c r="V22" s="484">
        <v>45200</v>
      </c>
      <c r="W22" s="484">
        <v>45170</v>
      </c>
      <c r="X22" s="484">
        <v>45139</v>
      </c>
      <c r="Y22" s="484">
        <v>45108</v>
      </c>
      <c r="Z22" s="484">
        <v>45078</v>
      </c>
      <c r="AA22" s="484">
        <v>45047</v>
      </c>
      <c r="AB22" s="484">
        <v>45017</v>
      </c>
      <c r="AC22" s="484">
        <v>44986</v>
      </c>
      <c r="AD22" s="484">
        <v>44958</v>
      </c>
      <c r="AE22" s="485">
        <v>44927</v>
      </c>
      <c r="AF22" s="486" t="s">
        <v>5</v>
      </c>
      <c r="AG22" s="487" t="s">
        <v>6</v>
      </c>
      <c r="AH22" s="472">
        <v>84</v>
      </c>
      <c r="AI22" s="472">
        <v>49</v>
      </c>
      <c r="AJ22" s="472">
        <v>90</v>
      </c>
      <c r="AK22" s="472">
        <v>117</v>
      </c>
      <c r="AL22" s="472">
        <v>58</v>
      </c>
      <c r="AM22" s="472">
        <v>49</v>
      </c>
      <c r="AN22" s="472">
        <v>22</v>
      </c>
      <c r="AO22" s="186"/>
    </row>
    <row r="23" spans="1:41" customFormat="1" ht="24.95" customHeight="1" thickBot="1">
      <c r="A23" s="488" t="s">
        <v>353</v>
      </c>
      <c r="B23" s="474"/>
      <c r="C23" s="475"/>
      <c r="D23" s="475"/>
      <c r="E23" s="475"/>
      <c r="F23" s="475">
        <v>0</v>
      </c>
      <c r="G23" s="475">
        <v>0</v>
      </c>
      <c r="H23" s="475">
        <v>0</v>
      </c>
      <c r="I23" s="475">
        <v>2</v>
      </c>
      <c r="J23" s="489">
        <v>1</v>
      </c>
      <c r="K23" s="490">
        <v>0</v>
      </c>
      <c r="L23" s="489">
        <v>5</v>
      </c>
      <c r="M23" s="478">
        <v>0</v>
      </c>
      <c r="N23" s="479">
        <f t="shared" si="1"/>
        <v>8</v>
      </c>
      <c r="O23" s="480">
        <f t="shared" si="2"/>
        <v>1</v>
      </c>
      <c r="P23" s="481">
        <f>(N23/N100)*100</f>
        <v>0.14474398407816175</v>
      </c>
      <c r="Q23" s="482"/>
      <c r="R23" s="264"/>
      <c r="S23" s="896" t="s">
        <v>354</v>
      </c>
      <c r="T23" s="896"/>
      <c r="U23" s="896"/>
      <c r="V23" s="896"/>
      <c r="W23" s="896"/>
      <c r="X23" s="896"/>
      <c r="Y23" s="896"/>
      <c r="Z23" s="896"/>
      <c r="AA23" s="896"/>
      <c r="AB23" s="896"/>
      <c r="AC23" s="896"/>
      <c r="AD23" s="896"/>
      <c r="AE23" s="896"/>
      <c r="AF23" s="491"/>
      <c r="AG23" s="492"/>
      <c r="AH23" s="186"/>
      <c r="AI23" s="186"/>
      <c r="AJ23" s="186"/>
      <c r="AK23" s="186"/>
      <c r="AL23" s="186"/>
      <c r="AM23" s="186"/>
      <c r="AN23" s="186"/>
      <c r="AO23" s="186"/>
    </row>
    <row r="24" spans="1:41" customFormat="1" ht="24.95" customHeight="1" thickBot="1">
      <c r="A24" s="488" t="s">
        <v>223</v>
      </c>
      <c r="B24" s="493"/>
      <c r="C24" s="494"/>
      <c r="D24" s="495"/>
      <c r="E24" s="494"/>
      <c r="F24" s="494">
        <v>4</v>
      </c>
      <c r="G24" s="475">
        <v>1</v>
      </c>
      <c r="H24" s="494">
        <v>7</v>
      </c>
      <c r="I24" s="494">
        <v>4</v>
      </c>
      <c r="J24" s="489">
        <v>6</v>
      </c>
      <c r="K24" s="496">
        <v>3</v>
      </c>
      <c r="L24" s="489">
        <v>4</v>
      </c>
      <c r="M24" s="497">
        <v>6</v>
      </c>
      <c r="N24" s="498">
        <f t="shared" si="1"/>
        <v>35</v>
      </c>
      <c r="O24" s="499">
        <f t="shared" si="2"/>
        <v>4.375</v>
      </c>
      <c r="P24" s="500">
        <f t="shared" ref="P24:P55" si="3">(N24/$N$100)*100</f>
        <v>0.63325493034195768</v>
      </c>
      <c r="Q24" s="482"/>
      <c r="R24" s="264"/>
      <c r="S24" s="501" t="s">
        <v>5</v>
      </c>
      <c r="T24" s="502"/>
      <c r="U24" s="502"/>
      <c r="V24" s="502"/>
      <c r="W24" s="502"/>
      <c r="X24" s="502">
        <v>636</v>
      </c>
      <c r="Y24" s="502">
        <v>706</v>
      </c>
      <c r="Z24" s="502">
        <v>662</v>
      </c>
      <c r="AA24" s="502">
        <v>736</v>
      </c>
      <c r="AB24" s="502">
        <v>799</v>
      </c>
      <c r="AC24" s="502">
        <v>728</v>
      </c>
      <c r="AD24" s="502">
        <v>560</v>
      </c>
      <c r="AE24" s="503">
        <v>728</v>
      </c>
      <c r="AF24" s="504">
        <f>SUM(T24:AE24)</f>
        <v>5555</v>
      </c>
      <c r="AG24" s="505">
        <f>AVERAGE(T24:AE24)</f>
        <v>694.375</v>
      </c>
      <c r="AH24" s="186"/>
      <c r="AI24" s="186"/>
      <c r="AJ24" s="186"/>
      <c r="AK24" s="186"/>
      <c r="AL24" s="186"/>
      <c r="AM24" s="186"/>
      <c r="AN24" s="186"/>
      <c r="AO24" s="186"/>
    </row>
    <row r="25" spans="1:41" customFormat="1" ht="24.95" customHeight="1">
      <c r="A25" s="488" t="s">
        <v>355</v>
      </c>
      <c r="B25" s="493"/>
      <c r="C25" s="494"/>
      <c r="D25" s="495"/>
      <c r="E25" s="494"/>
      <c r="F25" s="494">
        <v>66</v>
      </c>
      <c r="G25" s="475">
        <v>54</v>
      </c>
      <c r="H25" s="494">
        <v>54</v>
      </c>
      <c r="I25" s="494">
        <v>71</v>
      </c>
      <c r="J25" s="489">
        <v>74</v>
      </c>
      <c r="K25" s="496">
        <v>53</v>
      </c>
      <c r="L25" s="489">
        <v>45</v>
      </c>
      <c r="M25" s="497">
        <v>55</v>
      </c>
      <c r="N25" s="498">
        <f t="shared" si="1"/>
        <v>472</v>
      </c>
      <c r="O25" s="499">
        <f t="shared" si="2"/>
        <v>59</v>
      </c>
      <c r="P25" s="500">
        <f>(N25/$N$100)*100</f>
        <v>8.5398950606115438</v>
      </c>
      <c r="Q25" s="482"/>
      <c r="R25" s="264"/>
      <c r="S25" s="506"/>
      <c r="T25" s="507"/>
      <c r="U25" s="507"/>
      <c r="V25" s="507"/>
      <c r="W25" s="507"/>
      <c r="X25" s="507"/>
      <c r="Y25" s="508"/>
      <c r="Z25" s="509"/>
      <c r="AA25" s="507"/>
      <c r="AB25" s="507"/>
      <c r="AC25" s="507"/>
      <c r="AD25" s="507"/>
      <c r="AE25" s="508"/>
      <c r="AF25" s="506"/>
      <c r="AG25" s="510"/>
      <c r="AH25" s="511"/>
      <c r="AI25" s="186"/>
      <c r="AJ25" s="186"/>
      <c r="AK25" s="186"/>
      <c r="AL25" s="186"/>
      <c r="AM25" s="186"/>
      <c r="AN25" s="186"/>
      <c r="AO25" s="186"/>
    </row>
    <row r="26" spans="1:41" customFormat="1" ht="24.95" customHeight="1" thickBot="1">
      <c r="A26" s="488" t="s">
        <v>356</v>
      </c>
      <c r="B26" s="493"/>
      <c r="C26" s="494"/>
      <c r="D26" s="495"/>
      <c r="E26" s="494"/>
      <c r="F26" s="494">
        <v>6</v>
      </c>
      <c r="G26" s="475">
        <v>2</v>
      </c>
      <c r="H26" s="494">
        <v>4</v>
      </c>
      <c r="I26" s="494">
        <v>13</v>
      </c>
      <c r="J26" s="489">
        <v>11</v>
      </c>
      <c r="K26" s="496">
        <v>7</v>
      </c>
      <c r="L26" s="489">
        <v>5</v>
      </c>
      <c r="M26" s="497">
        <v>10</v>
      </c>
      <c r="N26" s="498">
        <f t="shared" si="1"/>
        <v>58</v>
      </c>
      <c r="O26" s="499">
        <f t="shared" si="2"/>
        <v>7.25</v>
      </c>
      <c r="P26" s="500">
        <f t="shared" si="3"/>
        <v>1.0493938845666728</v>
      </c>
      <c r="Q26" s="482"/>
      <c r="R26" s="264"/>
      <c r="S26" s="897" t="s">
        <v>357</v>
      </c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512"/>
      <c r="AG26" s="513"/>
      <c r="AH26" s="511"/>
      <c r="AI26" s="186"/>
      <c r="AJ26" s="186"/>
      <c r="AK26" s="186"/>
      <c r="AL26" s="186"/>
      <c r="AM26" s="186"/>
      <c r="AN26" s="186"/>
      <c r="AO26" s="186"/>
    </row>
    <row r="27" spans="1:41" customFormat="1" ht="24.95" customHeight="1" thickBot="1">
      <c r="A27" s="488" t="s">
        <v>358</v>
      </c>
      <c r="B27" s="493"/>
      <c r="C27" s="494"/>
      <c r="D27" s="495"/>
      <c r="E27" s="494"/>
      <c r="F27" s="494">
        <v>10</v>
      </c>
      <c r="G27" s="475">
        <v>14</v>
      </c>
      <c r="H27" s="494">
        <v>20</v>
      </c>
      <c r="I27" s="494">
        <v>14</v>
      </c>
      <c r="J27" s="489">
        <v>12</v>
      </c>
      <c r="K27" s="496">
        <v>18</v>
      </c>
      <c r="L27" s="489">
        <v>13</v>
      </c>
      <c r="M27" s="497">
        <v>12</v>
      </c>
      <c r="N27" s="498">
        <f t="shared" si="1"/>
        <v>113</v>
      </c>
      <c r="O27" s="499">
        <f t="shared" si="2"/>
        <v>14.125</v>
      </c>
      <c r="P27" s="500">
        <f t="shared" si="3"/>
        <v>2.0445087751040347</v>
      </c>
      <c r="Q27" s="482"/>
      <c r="R27" s="264"/>
      <c r="S27" s="514" t="s">
        <v>359</v>
      </c>
      <c r="T27" s="515">
        <f t="shared" ref="T27:AB27" si="4">SUM(T28:T29)</f>
        <v>0</v>
      </c>
      <c r="U27" s="516">
        <f t="shared" si="4"/>
        <v>0</v>
      </c>
      <c r="V27" s="516">
        <f t="shared" si="4"/>
        <v>0</v>
      </c>
      <c r="W27" s="516">
        <f t="shared" si="4"/>
        <v>0</v>
      </c>
      <c r="X27" s="516">
        <f t="shared" si="4"/>
        <v>599</v>
      </c>
      <c r="Y27" s="516">
        <f t="shared" si="4"/>
        <v>669</v>
      </c>
      <c r="Z27" s="516">
        <v>650</v>
      </c>
      <c r="AA27" s="516">
        <v>832</v>
      </c>
      <c r="AB27" s="516">
        <f t="shared" si="4"/>
        <v>609</v>
      </c>
      <c r="AC27" s="516">
        <v>648</v>
      </c>
      <c r="AD27" s="516">
        <f>SUM(AD28:AD29)</f>
        <v>560</v>
      </c>
      <c r="AE27" s="516">
        <f>SUM(AE28:AE29)</f>
        <v>580</v>
      </c>
      <c r="AF27" s="517">
        <f>SUM(T27:AE27)</f>
        <v>5147</v>
      </c>
      <c r="AG27" s="505">
        <f>SUM(AG28:AG29)</f>
        <v>643.375</v>
      </c>
      <c r="AH27" s="511"/>
      <c r="AI27" s="186"/>
      <c r="AJ27" s="186"/>
      <c r="AK27" s="186"/>
      <c r="AL27" s="186"/>
      <c r="AM27" s="186"/>
      <c r="AN27" s="186"/>
      <c r="AO27" s="186"/>
    </row>
    <row r="28" spans="1:41" customFormat="1" ht="24.95" customHeight="1">
      <c r="A28" s="488" t="s">
        <v>360</v>
      </c>
      <c r="B28" s="493"/>
      <c r="C28" s="494"/>
      <c r="D28" s="495"/>
      <c r="E28" s="494"/>
      <c r="F28" s="494">
        <v>0</v>
      </c>
      <c r="G28" s="475">
        <v>0</v>
      </c>
      <c r="H28" s="494">
        <v>0</v>
      </c>
      <c r="I28" s="494">
        <v>0</v>
      </c>
      <c r="J28" s="489">
        <v>0</v>
      </c>
      <c r="K28" s="496">
        <v>1</v>
      </c>
      <c r="L28" s="489">
        <v>1</v>
      </c>
      <c r="M28" s="497">
        <v>1</v>
      </c>
      <c r="N28" s="498">
        <f t="shared" si="1"/>
        <v>3</v>
      </c>
      <c r="O28" s="499">
        <f t="shared" si="2"/>
        <v>0.375</v>
      </c>
      <c r="P28" s="500">
        <f t="shared" si="3"/>
        <v>5.4278994029310648E-2</v>
      </c>
      <c r="Q28" s="482"/>
      <c r="R28" s="264"/>
      <c r="S28" s="518" t="s">
        <v>361</v>
      </c>
      <c r="T28" s="519"/>
      <c r="U28" s="520"/>
      <c r="V28" s="520"/>
      <c r="W28" s="520"/>
      <c r="X28" s="520">
        <v>466</v>
      </c>
      <c r="Y28" s="520">
        <v>515</v>
      </c>
      <c r="Z28" s="520">
        <v>518</v>
      </c>
      <c r="AA28" s="520">
        <v>640</v>
      </c>
      <c r="AB28" s="520">
        <v>491</v>
      </c>
      <c r="AC28" s="521">
        <v>527</v>
      </c>
      <c r="AD28" s="521">
        <v>435</v>
      </c>
      <c r="AE28" s="522">
        <v>471</v>
      </c>
      <c r="AF28" s="523">
        <f>SUM(T28:AE28)</f>
        <v>4063</v>
      </c>
      <c r="AG28" s="524">
        <f>AVERAGE(T28:AE28)</f>
        <v>507.875</v>
      </c>
      <c r="AH28" s="511"/>
      <c r="AI28" s="186"/>
      <c r="AJ28" s="186"/>
      <c r="AK28" s="186"/>
      <c r="AL28" s="186"/>
      <c r="AM28" s="186"/>
      <c r="AN28" s="186"/>
      <c r="AO28" s="186"/>
    </row>
    <row r="29" spans="1:41" customFormat="1" ht="24.95" customHeight="1" thickBot="1">
      <c r="A29" s="488" t="s">
        <v>362</v>
      </c>
      <c r="B29" s="493"/>
      <c r="C29" s="494"/>
      <c r="D29" s="495"/>
      <c r="E29" s="494"/>
      <c r="F29" s="494">
        <v>1</v>
      </c>
      <c r="G29" s="475">
        <v>0</v>
      </c>
      <c r="H29" s="494">
        <v>3</v>
      </c>
      <c r="I29" s="494">
        <v>1</v>
      </c>
      <c r="J29" s="489">
        <v>0</v>
      </c>
      <c r="K29" s="496">
        <v>0</v>
      </c>
      <c r="L29" s="489">
        <v>1</v>
      </c>
      <c r="M29" s="497">
        <v>1</v>
      </c>
      <c r="N29" s="498">
        <f t="shared" si="1"/>
        <v>7</v>
      </c>
      <c r="O29" s="499">
        <f t="shared" si="2"/>
        <v>0.875</v>
      </c>
      <c r="P29" s="500">
        <f t="shared" si="3"/>
        <v>0.12665098606839154</v>
      </c>
      <c r="Q29" s="482"/>
      <c r="R29" s="264"/>
      <c r="S29" s="525" t="s">
        <v>363</v>
      </c>
      <c r="T29" s="526"/>
      <c r="U29" s="527"/>
      <c r="V29" s="527"/>
      <c r="W29" s="527"/>
      <c r="X29" s="527">
        <v>133</v>
      </c>
      <c r="Y29" s="527">
        <v>154</v>
      </c>
      <c r="Z29" s="527">
        <v>132</v>
      </c>
      <c r="AA29" s="527">
        <v>192</v>
      </c>
      <c r="AB29" s="527">
        <v>118</v>
      </c>
      <c r="AC29" s="528">
        <v>121</v>
      </c>
      <c r="AD29" s="528">
        <v>125</v>
      </c>
      <c r="AE29" s="529">
        <v>109</v>
      </c>
      <c r="AF29" s="530">
        <f>SUM(T29:AE29)</f>
        <v>1084</v>
      </c>
      <c r="AG29" s="531">
        <f>AVERAGE(T29:AE29)</f>
        <v>135.5</v>
      </c>
      <c r="AH29" s="511"/>
      <c r="AI29" s="186"/>
      <c r="AJ29" s="186"/>
      <c r="AK29" s="186"/>
      <c r="AL29" s="186"/>
      <c r="AM29" s="186"/>
      <c r="AN29" s="186"/>
      <c r="AO29" s="186"/>
    </row>
    <row r="30" spans="1:41" customFormat="1" ht="24.95" customHeight="1" thickBot="1">
      <c r="A30" s="532" t="s">
        <v>364</v>
      </c>
      <c r="B30" s="493"/>
      <c r="C30" s="494"/>
      <c r="D30" s="495"/>
      <c r="E30" s="494"/>
      <c r="F30" s="494">
        <v>1</v>
      </c>
      <c r="G30" s="475">
        <v>0</v>
      </c>
      <c r="H30" s="494">
        <v>6</v>
      </c>
      <c r="I30" s="494">
        <v>4</v>
      </c>
      <c r="J30" s="489">
        <v>5</v>
      </c>
      <c r="K30" s="496">
        <v>3</v>
      </c>
      <c r="L30" s="489">
        <v>2</v>
      </c>
      <c r="M30" s="497">
        <v>1</v>
      </c>
      <c r="N30" s="498">
        <f t="shared" si="1"/>
        <v>22</v>
      </c>
      <c r="O30" s="499">
        <f t="shared" si="2"/>
        <v>2.75</v>
      </c>
      <c r="P30" s="500">
        <f t="shared" si="3"/>
        <v>0.39804595621494482</v>
      </c>
      <c r="Q30" s="482"/>
      <c r="R30" s="264"/>
      <c r="S30" s="533"/>
      <c r="T30" s="534"/>
      <c r="U30" s="534"/>
      <c r="V30" s="534"/>
      <c r="W30" s="534"/>
      <c r="X30" s="534"/>
      <c r="Y30" s="534"/>
      <c r="Z30" s="534"/>
      <c r="AA30" s="534"/>
      <c r="AB30" s="534"/>
      <c r="AC30" s="534"/>
      <c r="AD30" s="534"/>
      <c r="AE30" s="535"/>
      <c r="AF30" s="506"/>
      <c r="AG30" s="510"/>
      <c r="AH30" s="186"/>
      <c r="AI30" s="186"/>
      <c r="AJ30" s="186"/>
      <c r="AK30" s="186"/>
      <c r="AL30" s="186"/>
      <c r="AM30" s="186"/>
      <c r="AN30" s="186"/>
      <c r="AO30" s="186"/>
    </row>
    <row r="31" spans="1:41" customFormat="1" ht="36.75" customHeight="1" thickBot="1">
      <c r="A31" s="488" t="s">
        <v>365</v>
      </c>
      <c r="B31" s="493"/>
      <c r="C31" s="494"/>
      <c r="D31" s="495"/>
      <c r="E31" s="494"/>
      <c r="F31" s="494">
        <v>2</v>
      </c>
      <c r="G31" s="475">
        <v>1</v>
      </c>
      <c r="H31" s="494">
        <v>4</v>
      </c>
      <c r="I31" s="494">
        <v>4</v>
      </c>
      <c r="J31" s="489">
        <v>5</v>
      </c>
      <c r="K31" s="496">
        <v>4</v>
      </c>
      <c r="L31" s="489">
        <v>3</v>
      </c>
      <c r="M31" s="497">
        <v>5</v>
      </c>
      <c r="N31" s="498">
        <f t="shared" si="1"/>
        <v>28</v>
      </c>
      <c r="O31" s="499">
        <f t="shared" si="2"/>
        <v>3.5</v>
      </c>
      <c r="P31" s="500">
        <f t="shared" si="3"/>
        <v>0.50660394427356614</v>
      </c>
      <c r="Q31" s="482"/>
      <c r="R31" s="264"/>
      <c r="S31" s="898" t="s">
        <v>366</v>
      </c>
      <c r="T31" s="898"/>
      <c r="U31" s="898"/>
      <c r="V31" s="898"/>
      <c r="W31" s="898"/>
      <c r="X31" s="898"/>
      <c r="Y31" s="898"/>
      <c r="Z31" s="898"/>
      <c r="AA31" s="898"/>
      <c r="AB31" s="898"/>
      <c r="AC31" s="898"/>
      <c r="AD31" s="898"/>
      <c r="AE31" s="898"/>
      <c r="AF31" s="512"/>
      <c r="AG31" s="513"/>
      <c r="AH31" s="186"/>
      <c r="AI31" s="186"/>
      <c r="AJ31" s="186"/>
      <c r="AK31" s="186"/>
      <c r="AL31" s="186"/>
      <c r="AM31" s="186"/>
      <c r="AN31" s="186"/>
      <c r="AO31" s="186"/>
    </row>
    <row r="32" spans="1:41" customFormat="1" ht="27.75" customHeight="1" thickBot="1">
      <c r="A32" s="488" t="s">
        <v>367</v>
      </c>
      <c r="B32" s="493"/>
      <c r="C32" s="494"/>
      <c r="D32" s="495"/>
      <c r="E32" s="494"/>
      <c r="F32" s="494">
        <v>11</v>
      </c>
      <c r="G32" s="475">
        <v>10</v>
      </c>
      <c r="H32" s="494">
        <v>6</v>
      </c>
      <c r="I32" s="494">
        <v>12</v>
      </c>
      <c r="J32" s="489">
        <v>8</v>
      </c>
      <c r="K32" s="496">
        <v>9</v>
      </c>
      <c r="L32" s="489">
        <v>12</v>
      </c>
      <c r="M32" s="497">
        <v>7</v>
      </c>
      <c r="N32" s="498">
        <f t="shared" si="1"/>
        <v>75</v>
      </c>
      <c r="O32" s="499">
        <f t="shared" si="2"/>
        <v>9.375</v>
      </c>
      <c r="P32" s="500">
        <f t="shared" si="3"/>
        <v>1.3569748507327664</v>
      </c>
      <c r="Q32" s="482"/>
      <c r="R32" s="264"/>
      <c r="S32" s="536" t="s">
        <v>368</v>
      </c>
      <c r="T32" s="537"/>
      <c r="U32" s="538"/>
      <c r="V32" s="538"/>
      <c r="W32" s="538"/>
      <c r="X32" s="538">
        <v>50</v>
      </c>
      <c r="Y32" s="538">
        <v>66</v>
      </c>
      <c r="Z32" s="538">
        <v>81</v>
      </c>
      <c r="AA32" s="538">
        <v>89</v>
      </c>
      <c r="AB32" s="539">
        <v>76</v>
      </c>
      <c r="AC32" s="539">
        <v>80</v>
      </c>
      <c r="AD32" s="539">
        <v>51</v>
      </c>
      <c r="AE32" s="540">
        <v>80</v>
      </c>
      <c r="AF32" s="517">
        <f>SUM(T32:AE32)</f>
        <v>573</v>
      </c>
      <c r="AG32" s="505">
        <f>AVERAGE(T32:AE32)</f>
        <v>71.625</v>
      </c>
      <c r="AM32" s="186"/>
    </row>
    <row r="33" spans="1:40" customFormat="1" ht="34.5" thickBot="1">
      <c r="A33" s="541" t="s">
        <v>369</v>
      </c>
      <c r="B33" s="493"/>
      <c r="C33" s="494"/>
      <c r="D33" s="495"/>
      <c r="E33" s="494"/>
      <c r="F33" s="494">
        <v>1</v>
      </c>
      <c r="G33" s="475">
        <v>2</v>
      </c>
      <c r="H33" s="494">
        <v>4</v>
      </c>
      <c r="I33" s="494">
        <v>3</v>
      </c>
      <c r="J33" s="489">
        <v>2</v>
      </c>
      <c r="K33" s="496">
        <v>6</v>
      </c>
      <c r="L33" s="489">
        <v>1</v>
      </c>
      <c r="M33" s="497">
        <v>8</v>
      </c>
      <c r="N33" s="498">
        <f t="shared" si="1"/>
        <v>27</v>
      </c>
      <c r="O33" s="499">
        <f t="shared" si="2"/>
        <v>3.375</v>
      </c>
      <c r="P33" s="500">
        <f t="shared" si="3"/>
        <v>0.48851094626379593</v>
      </c>
      <c r="Q33" s="482"/>
      <c r="R33" s="264"/>
      <c r="S33" s="542" t="s">
        <v>370</v>
      </c>
      <c r="T33" s="543">
        <f t="shared" ref="T33:Y33" si="5">SUM(T34:T35)</f>
        <v>0</v>
      </c>
      <c r="U33" s="543">
        <f t="shared" si="5"/>
        <v>0</v>
      </c>
      <c r="V33" s="543">
        <f t="shared" si="5"/>
        <v>0</v>
      </c>
      <c r="W33" s="543">
        <f t="shared" si="5"/>
        <v>0</v>
      </c>
      <c r="X33" s="543">
        <f t="shared" si="5"/>
        <v>36</v>
      </c>
      <c r="Y33" s="543">
        <f t="shared" si="5"/>
        <v>53</v>
      </c>
      <c r="Z33" s="543">
        <v>69</v>
      </c>
      <c r="AA33" s="543">
        <v>66</v>
      </c>
      <c r="AB33" s="543">
        <v>63</v>
      </c>
      <c r="AC33" s="543">
        <v>50</v>
      </c>
      <c r="AD33" s="543">
        <f>SUM(AD34:AD35)</f>
        <v>46</v>
      </c>
      <c r="AE33" s="543">
        <f>SUM(AE34:AE35)</f>
        <v>63</v>
      </c>
      <c r="AF33" s="517">
        <f>SUM(T33:AE33)</f>
        <v>446</v>
      </c>
      <c r="AG33" s="505">
        <f>SUM(AG34:AG35)</f>
        <v>55.75</v>
      </c>
      <c r="AM33" s="186"/>
    </row>
    <row r="34" spans="1:40" customFormat="1" ht="24" thickBot="1">
      <c r="A34" s="488" t="s">
        <v>371</v>
      </c>
      <c r="B34" s="493"/>
      <c r="C34" s="494"/>
      <c r="D34" s="495"/>
      <c r="E34" s="494"/>
      <c r="F34" s="494">
        <v>38</v>
      </c>
      <c r="G34" s="475">
        <v>54</v>
      </c>
      <c r="H34" s="494">
        <v>54</v>
      </c>
      <c r="I34" s="494">
        <v>55</v>
      </c>
      <c r="J34" s="489">
        <v>50</v>
      </c>
      <c r="K34" s="496">
        <v>34</v>
      </c>
      <c r="L34" s="489">
        <v>52</v>
      </c>
      <c r="M34" s="497">
        <v>52</v>
      </c>
      <c r="N34" s="498">
        <f t="shared" si="1"/>
        <v>389</v>
      </c>
      <c r="O34" s="499">
        <f t="shared" si="2"/>
        <v>48.625</v>
      </c>
      <c r="P34" s="500">
        <f t="shared" si="3"/>
        <v>7.0381762258006146</v>
      </c>
      <c r="Q34" s="482"/>
      <c r="R34" s="264"/>
      <c r="S34" s="544" t="s">
        <v>372</v>
      </c>
      <c r="T34" s="545"/>
      <c r="U34" s="546"/>
      <c r="V34" s="547"/>
      <c r="W34" s="548"/>
      <c r="X34" s="546">
        <v>30</v>
      </c>
      <c r="Y34" s="745">
        <v>40</v>
      </c>
      <c r="Z34" s="548">
        <v>55</v>
      </c>
      <c r="AA34" s="546">
        <v>51</v>
      </c>
      <c r="AB34" s="546">
        <v>48</v>
      </c>
      <c r="AC34" s="546">
        <v>30</v>
      </c>
      <c r="AD34" s="546">
        <v>24</v>
      </c>
      <c r="AE34" s="549">
        <v>47</v>
      </c>
      <c r="AF34" s="550">
        <f>SUM(T34:AE34)</f>
        <v>325</v>
      </c>
      <c r="AG34" s="551">
        <f>AVERAGE(T34:AE34)</f>
        <v>40.625</v>
      </c>
      <c r="AM34" s="186"/>
      <c r="AN34" s="186"/>
    </row>
    <row r="35" spans="1:40" customFormat="1" ht="24" thickBot="1">
      <c r="A35" s="488" t="s">
        <v>373</v>
      </c>
      <c r="B35" s="493"/>
      <c r="C35" s="494"/>
      <c r="D35" s="495"/>
      <c r="E35" s="494"/>
      <c r="F35" s="494">
        <v>3</v>
      </c>
      <c r="G35" s="475">
        <v>4</v>
      </c>
      <c r="H35" s="494">
        <v>5</v>
      </c>
      <c r="I35" s="494">
        <v>1</v>
      </c>
      <c r="J35" s="489">
        <v>1</v>
      </c>
      <c r="K35" s="496">
        <v>1</v>
      </c>
      <c r="L35" s="489">
        <v>2</v>
      </c>
      <c r="M35" s="497">
        <v>5</v>
      </c>
      <c r="N35" s="498">
        <f t="shared" si="1"/>
        <v>22</v>
      </c>
      <c r="O35" s="499">
        <f t="shared" si="2"/>
        <v>2.75</v>
      </c>
      <c r="P35" s="500">
        <f t="shared" si="3"/>
        <v>0.39804595621494482</v>
      </c>
      <c r="Q35" s="482"/>
      <c r="R35" s="264"/>
      <c r="S35" s="552" t="s">
        <v>363</v>
      </c>
      <c r="T35" s="553"/>
      <c r="U35" s="554"/>
      <c r="V35" s="554"/>
      <c r="W35" s="555"/>
      <c r="X35" s="554">
        <v>6</v>
      </c>
      <c r="Y35" s="745">
        <v>13</v>
      </c>
      <c r="Z35" s="555">
        <v>14</v>
      </c>
      <c r="AA35" s="554">
        <v>15</v>
      </c>
      <c r="AB35" s="554">
        <v>15</v>
      </c>
      <c r="AC35" s="554">
        <v>20</v>
      </c>
      <c r="AD35" s="554">
        <v>22</v>
      </c>
      <c r="AE35" s="556">
        <v>16</v>
      </c>
      <c r="AF35" s="557">
        <f>SUM(T35:AE35)</f>
        <v>121</v>
      </c>
      <c r="AG35" s="558">
        <f>AVERAGE(T35:AE35)</f>
        <v>15.125</v>
      </c>
      <c r="AM35" s="186"/>
      <c r="AN35" s="186"/>
    </row>
    <row r="36" spans="1:40" customFormat="1" ht="24" thickBot="1">
      <c r="A36" s="488" t="s">
        <v>374</v>
      </c>
      <c r="B36" s="493"/>
      <c r="C36" s="494"/>
      <c r="D36" s="495"/>
      <c r="E36" s="494"/>
      <c r="F36" s="494">
        <v>15</v>
      </c>
      <c r="G36" s="475">
        <v>14</v>
      </c>
      <c r="H36" s="494">
        <v>20</v>
      </c>
      <c r="I36" s="494">
        <v>19</v>
      </c>
      <c r="J36" s="489">
        <v>21</v>
      </c>
      <c r="K36" s="496">
        <v>23</v>
      </c>
      <c r="L36" s="489">
        <v>17</v>
      </c>
      <c r="M36" s="497">
        <v>12</v>
      </c>
      <c r="N36" s="498">
        <f t="shared" si="1"/>
        <v>141</v>
      </c>
      <c r="O36" s="499">
        <f t="shared" si="2"/>
        <v>17.625</v>
      </c>
      <c r="P36" s="500">
        <f t="shared" si="3"/>
        <v>2.5511127193776009</v>
      </c>
      <c r="Q36" s="2"/>
      <c r="R36" s="264"/>
      <c r="S36" s="533"/>
      <c r="T36" s="534"/>
      <c r="U36" s="534"/>
      <c r="V36" s="534"/>
      <c r="W36" s="534"/>
      <c r="X36" s="534"/>
      <c r="Y36" s="534"/>
      <c r="Z36" s="534"/>
      <c r="AA36" s="534"/>
      <c r="AB36" s="534"/>
      <c r="AC36" s="534"/>
      <c r="AD36" s="534"/>
      <c r="AE36" s="535"/>
      <c r="AF36" s="491"/>
      <c r="AG36" s="510"/>
      <c r="AM36" s="186"/>
      <c r="AN36" s="186"/>
    </row>
    <row r="37" spans="1:40" customFormat="1" ht="24" thickBot="1">
      <c r="A37" s="488" t="s">
        <v>375</v>
      </c>
      <c r="B37" s="493"/>
      <c r="C37" s="494"/>
      <c r="D37" s="495"/>
      <c r="E37" s="494"/>
      <c r="F37" s="494">
        <v>24</v>
      </c>
      <c r="G37" s="475">
        <v>12</v>
      </c>
      <c r="H37" s="494">
        <v>9</v>
      </c>
      <c r="I37" s="494">
        <v>8</v>
      </c>
      <c r="J37" s="489">
        <v>22</v>
      </c>
      <c r="K37" s="496">
        <v>17</v>
      </c>
      <c r="L37" s="489">
        <v>8</v>
      </c>
      <c r="M37" s="497">
        <v>14</v>
      </c>
      <c r="N37" s="498">
        <f t="shared" si="1"/>
        <v>114</v>
      </c>
      <c r="O37" s="499">
        <f t="shared" si="2"/>
        <v>14.25</v>
      </c>
      <c r="P37" s="500">
        <f t="shared" si="3"/>
        <v>2.0626017731138049</v>
      </c>
      <c r="Q37" s="2"/>
      <c r="R37" s="264"/>
      <c r="S37" s="899" t="s">
        <v>376</v>
      </c>
      <c r="T37" s="899"/>
      <c r="U37" s="899"/>
      <c r="V37" s="899"/>
      <c r="W37" s="899"/>
      <c r="X37" s="899"/>
      <c r="Y37" s="899"/>
      <c r="Z37" s="899"/>
      <c r="AA37" s="899"/>
      <c r="AB37" s="899"/>
      <c r="AC37" s="899"/>
      <c r="AD37" s="899"/>
      <c r="AE37" s="899"/>
      <c r="AF37" s="512"/>
      <c r="AG37" s="513"/>
      <c r="AM37" s="186"/>
      <c r="AN37" s="186"/>
    </row>
    <row r="38" spans="1:40" customFormat="1" ht="24" thickBot="1">
      <c r="A38" s="488" t="s">
        <v>377</v>
      </c>
      <c r="B38" s="493"/>
      <c r="C38" s="494"/>
      <c r="D38" s="495"/>
      <c r="E38" s="494"/>
      <c r="F38" s="494">
        <v>4</v>
      </c>
      <c r="G38" s="475">
        <v>7</v>
      </c>
      <c r="H38" s="494">
        <v>5</v>
      </c>
      <c r="I38" s="494">
        <v>3</v>
      </c>
      <c r="J38" s="489">
        <v>4</v>
      </c>
      <c r="K38" s="496">
        <v>5</v>
      </c>
      <c r="L38" s="489">
        <v>2</v>
      </c>
      <c r="M38" s="497">
        <v>4</v>
      </c>
      <c r="N38" s="498">
        <f t="shared" si="1"/>
        <v>34</v>
      </c>
      <c r="O38" s="499">
        <f t="shared" si="2"/>
        <v>4.25</v>
      </c>
      <c r="P38" s="500">
        <f t="shared" si="3"/>
        <v>0.61516193233218741</v>
      </c>
      <c r="Q38" s="2"/>
      <c r="R38" s="264"/>
      <c r="S38" s="559" t="s">
        <v>368</v>
      </c>
      <c r="T38" s="560"/>
      <c r="U38" s="561"/>
      <c r="V38" s="561"/>
      <c r="W38" s="561"/>
      <c r="X38" s="561">
        <v>64</v>
      </c>
      <c r="Y38" s="561">
        <v>48</v>
      </c>
      <c r="Z38" s="561">
        <v>64</v>
      </c>
      <c r="AA38" s="561">
        <v>60</v>
      </c>
      <c r="AB38" s="561">
        <v>43</v>
      </c>
      <c r="AC38" s="561">
        <v>65</v>
      </c>
      <c r="AD38" s="561">
        <v>48</v>
      </c>
      <c r="AE38" s="562">
        <v>37</v>
      </c>
      <c r="AF38" s="563">
        <f t="shared" ref="AF38:AF43" si="6">SUM(T38:AE38)</f>
        <v>429</v>
      </c>
      <c r="AG38" s="505">
        <f>AVERAGE(T38:AE38)</f>
        <v>53.625</v>
      </c>
      <c r="AM38" s="186"/>
      <c r="AN38" s="186"/>
    </row>
    <row r="39" spans="1:40" customFormat="1" ht="29.25" thickBot="1">
      <c r="A39" s="488" t="s">
        <v>378</v>
      </c>
      <c r="B39" s="493"/>
      <c r="C39" s="494"/>
      <c r="D39" s="495"/>
      <c r="E39" s="494"/>
      <c r="F39" s="494">
        <v>0</v>
      </c>
      <c r="G39" s="475">
        <v>0</v>
      </c>
      <c r="H39" s="494">
        <v>3</v>
      </c>
      <c r="I39" s="494">
        <v>0</v>
      </c>
      <c r="J39" s="489">
        <v>2</v>
      </c>
      <c r="K39" s="496">
        <v>0</v>
      </c>
      <c r="L39" s="489">
        <v>0</v>
      </c>
      <c r="M39" s="497">
        <v>2</v>
      </c>
      <c r="N39" s="498">
        <f t="shared" si="1"/>
        <v>7</v>
      </c>
      <c r="O39" s="499">
        <f t="shared" si="2"/>
        <v>0.875</v>
      </c>
      <c r="P39" s="500">
        <f t="shared" si="3"/>
        <v>0.12665098606839154</v>
      </c>
      <c r="Q39" s="2"/>
      <c r="R39" s="264"/>
      <c r="S39" s="564" t="s">
        <v>379</v>
      </c>
      <c r="T39" s="565">
        <f t="shared" ref="T39:Y39" si="7">SUM(T40:T41)</f>
        <v>0</v>
      </c>
      <c r="U39" s="565">
        <f t="shared" si="7"/>
        <v>0</v>
      </c>
      <c r="V39" s="565">
        <f t="shared" si="7"/>
        <v>0</v>
      </c>
      <c r="W39" s="565">
        <f t="shared" si="7"/>
        <v>0</v>
      </c>
      <c r="X39" s="565">
        <f t="shared" si="7"/>
        <v>55</v>
      </c>
      <c r="Y39" s="565">
        <f t="shared" si="7"/>
        <v>53</v>
      </c>
      <c r="Z39" s="565">
        <v>59</v>
      </c>
      <c r="AA39" s="565">
        <v>60</v>
      </c>
      <c r="AB39" s="565">
        <v>56</v>
      </c>
      <c r="AC39" s="565">
        <v>59</v>
      </c>
      <c r="AD39" s="565">
        <f>SUM(AD40:AD41)</f>
        <v>33</v>
      </c>
      <c r="AE39" s="566">
        <f>SUM(AE40:AE41)</f>
        <v>53</v>
      </c>
      <c r="AF39" s="567">
        <f t="shared" si="6"/>
        <v>428</v>
      </c>
      <c r="AG39" s="568">
        <f>SUM(AG40:AG41)</f>
        <v>53.5</v>
      </c>
      <c r="AM39" s="186"/>
      <c r="AN39" s="186"/>
    </row>
    <row r="40" spans="1:40" customFormat="1" ht="23.25">
      <c r="A40" s="488" t="s">
        <v>380</v>
      </c>
      <c r="B40" s="493"/>
      <c r="C40" s="494"/>
      <c r="D40" s="495"/>
      <c r="E40" s="494"/>
      <c r="F40" s="494">
        <v>43</v>
      </c>
      <c r="G40" s="475">
        <v>32</v>
      </c>
      <c r="H40" s="494">
        <v>45</v>
      </c>
      <c r="I40" s="494">
        <v>42</v>
      </c>
      <c r="J40" s="489">
        <v>37</v>
      </c>
      <c r="K40" s="496">
        <v>66</v>
      </c>
      <c r="L40" s="489">
        <v>40</v>
      </c>
      <c r="M40" s="497">
        <v>46</v>
      </c>
      <c r="N40" s="498">
        <f t="shared" si="1"/>
        <v>351</v>
      </c>
      <c r="O40" s="499">
        <f t="shared" si="2"/>
        <v>43.875</v>
      </c>
      <c r="P40" s="500">
        <f t="shared" si="3"/>
        <v>6.350642301429346</v>
      </c>
      <c r="Q40" s="482"/>
      <c r="R40" s="264"/>
      <c r="S40" s="569" t="s">
        <v>372</v>
      </c>
      <c r="T40" s="570"/>
      <c r="U40" s="571"/>
      <c r="V40" s="572"/>
      <c r="W40" s="571"/>
      <c r="X40" s="572">
        <v>31</v>
      </c>
      <c r="Y40" s="572">
        <v>29</v>
      </c>
      <c r="Z40" s="571">
        <v>32</v>
      </c>
      <c r="AA40" s="571">
        <v>41</v>
      </c>
      <c r="AB40" s="571">
        <v>33</v>
      </c>
      <c r="AC40" s="571">
        <v>36</v>
      </c>
      <c r="AD40" s="571">
        <v>11</v>
      </c>
      <c r="AE40" s="573">
        <v>27</v>
      </c>
      <c r="AF40" s="574">
        <f t="shared" si="6"/>
        <v>240</v>
      </c>
      <c r="AG40" s="575">
        <f>AVERAGE(T40:AE40)</f>
        <v>30</v>
      </c>
      <c r="AM40" s="186"/>
      <c r="AN40" s="186"/>
    </row>
    <row r="41" spans="1:40" customFormat="1" ht="15.75" thickBot="1">
      <c r="A41" s="488" t="s">
        <v>381</v>
      </c>
      <c r="B41" s="493"/>
      <c r="C41" s="494"/>
      <c r="D41" s="495"/>
      <c r="E41" s="494"/>
      <c r="F41" s="494">
        <v>5</v>
      </c>
      <c r="G41" s="475">
        <v>4</v>
      </c>
      <c r="H41" s="494">
        <v>3</v>
      </c>
      <c r="I41" s="494">
        <v>3</v>
      </c>
      <c r="J41" s="489">
        <v>1</v>
      </c>
      <c r="K41" s="496">
        <v>3</v>
      </c>
      <c r="L41" s="489">
        <v>3</v>
      </c>
      <c r="M41" s="497">
        <v>2</v>
      </c>
      <c r="N41" s="498">
        <f t="shared" si="1"/>
        <v>24</v>
      </c>
      <c r="O41" s="499">
        <f t="shared" si="2"/>
        <v>3</v>
      </c>
      <c r="P41" s="500">
        <f t="shared" si="3"/>
        <v>0.43423195223448519</v>
      </c>
      <c r="Q41" s="2"/>
      <c r="R41" s="264"/>
      <c r="S41" s="576" t="s">
        <v>363</v>
      </c>
      <c r="T41" s="577"/>
      <c r="U41" s="572"/>
      <c r="V41" s="578"/>
      <c r="W41" s="572"/>
      <c r="X41" s="578">
        <v>24</v>
      </c>
      <c r="Y41" s="578">
        <v>24</v>
      </c>
      <c r="Z41" s="572">
        <v>27</v>
      </c>
      <c r="AA41" s="572">
        <v>19</v>
      </c>
      <c r="AB41" s="572">
        <v>23</v>
      </c>
      <c r="AC41" s="572">
        <v>23</v>
      </c>
      <c r="AD41" s="572">
        <v>22</v>
      </c>
      <c r="AE41" s="579">
        <v>26</v>
      </c>
      <c r="AF41" s="580">
        <f t="shared" si="6"/>
        <v>188</v>
      </c>
      <c r="AG41" s="581">
        <f>AVERAGE(T41:AE41)</f>
        <v>23.5</v>
      </c>
      <c r="AM41" s="186"/>
      <c r="AN41" s="186"/>
    </row>
    <row r="42" spans="1:40" customFormat="1" ht="24" thickBot="1">
      <c r="A42" s="488" t="s">
        <v>382</v>
      </c>
      <c r="B42" s="493"/>
      <c r="C42" s="494"/>
      <c r="D42" s="495"/>
      <c r="E42" s="494"/>
      <c r="F42" s="494">
        <v>9</v>
      </c>
      <c r="G42" s="475">
        <v>7</v>
      </c>
      <c r="H42" s="494">
        <v>10</v>
      </c>
      <c r="I42" s="494">
        <v>15</v>
      </c>
      <c r="J42" s="489">
        <v>18</v>
      </c>
      <c r="K42" s="496">
        <v>4</v>
      </c>
      <c r="L42" s="489">
        <v>3</v>
      </c>
      <c r="M42" s="497">
        <v>9</v>
      </c>
      <c r="N42" s="498">
        <f t="shared" si="1"/>
        <v>75</v>
      </c>
      <c r="O42" s="499">
        <f t="shared" si="2"/>
        <v>9.375</v>
      </c>
      <c r="P42" s="500">
        <f t="shared" si="3"/>
        <v>1.3569748507327664</v>
      </c>
      <c r="Q42" s="2"/>
      <c r="R42" s="264"/>
      <c r="S42" s="582" t="s">
        <v>383</v>
      </c>
      <c r="T42" s="560"/>
      <c r="U42" s="561"/>
      <c r="V42" s="561"/>
      <c r="W42" s="561"/>
      <c r="X42" s="561">
        <v>50</v>
      </c>
      <c r="Y42" s="561">
        <v>29</v>
      </c>
      <c r="Z42" s="561">
        <v>45</v>
      </c>
      <c r="AA42" s="561">
        <v>52</v>
      </c>
      <c r="AB42" s="561">
        <v>25</v>
      </c>
      <c r="AC42" s="561">
        <v>57</v>
      </c>
      <c r="AD42" s="561">
        <v>35</v>
      </c>
      <c r="AE42" s="562">
        <v>15</v>
      </c>
      <c r="AF42" s="583">
        <f t="shared" si="6"/>
        <v>308</v>
      </c>
      <c r="AG42" s="584">
        <f>AVERAGE(T42:AE42)</f>
        <v>38.5</v>
      </c>
      <c r="AM42" s="186"/>
      <c r="AN42" s="186"/>
    </row>
    <row r="43" spans="1:40" customFormat="1" ht="26.25" thickBot="1">
      <c r="A43" s="488" t="s">
        <v>384</v>
      </c>
      <c r="B43" s="493"/>
      <c r="C43" s="494"/>
      <c r="D43" s="495"/>
      <c r="E43" s="494"/>
      <c r="F43" s="494">
        <v>9</v>
      </c>
      <c r="G43" s="475">
        <v>4</v>
      </c>
      <c r="H43" s="494">
        <v>11</v>
      </c>
      <c r="I43" s="494">
        <v>16</v>
      </c>
      <c r="J43" s="489">
        <v>17</v>
      </c>
      <c r="K43" s="496">
        <v>17</v>
      </c>
      <c r="L43" s="489">
        <v>9</v>
      </c>
      <c r="M43" s="497">
        <v>8</v>
      </c>
      <c r="N43" s="498">
        <f t="shared" si="1"/>
        <v>91</v>
      </c>
      <c r="O43" s="499">
        <f t="shared" si="2"/>
        <v>11.375</v>
      </c>
      <c r="P43" s="500">
        <f t="shared" si="3"/>
        <v>1.6464628188890897</v>
      </c>
      <c r="Q43" s="2"/>
      <c r="R43" s="264"/>
      <c r="S43" s="585" t="s">
        <v>385</v>
      </c>
      <c r="T43" s="586"/>
      <c r="U43" s="587"/>
      <c r="V43" s="588"/>
      <c r="W43" s="588"/>
      <c r="X43" s="587">
        <v>15</v>
      </c>
      <c r="Y43" s="587">
        <v>6</v>
      </c>
      <c r="Z43" s="587">
        <v>21</v>
      </c>
      <c r="AA43" s="587">
        <v>24</v>
      </c>
      <c r="AB43" s="587">
        <v>17</v>
      </c>
      <c r="AC43" s="587">
        <v>27</v>
      </c>
      <c r="AD43" s="587">
        <v>10</v>
      </c>
      <c r="AE43" s="589">
        <v>3</v>
      </c>
      <c r="AF43" s="590">
        <f t="shared" si="6"/>
        <v>123</v>
      </c>
      <c r="AG43" s="568">
        <f>AVERAGE(T43:AE43)</f>
        <v>15.375</v>
      </c>
      <c r="AM43" s="186"/>
      <c r="AN43" s="186"/>
    </row>
    <row r="44" spans="1:40" customFormat="1" ht="34.5" thickBot="1">
      <c r="A44" s="541" t="s">
        <v>386</v>
      </c>
      <c r="B44" s="493"/>
      <c r="C44" s="494"/>
      <c r="D44" s="495"/>
      <c r="E44" s="494"/>
      <c r="F44" s="494">
        <v>20</v>
      </c>
      <c r="G44" s="475">
        <v>13</v>
      </c>
      <c r="H44" s="494">
        <v>12</v>
      </c>
      <c r="I44" s="494">
        <v>19</v>
      </c>
      <c r="J44" s="489">
        <v>45</v>
      </c>
      <c r="K44" s="496">
        <v>14</v>
      </c>
      <c r="L44" s="489">
        <v>10</v>
      </c>
      <c r="M44" s="497">
        <v>9</v>
      </c>
      <c r="N44" s="498">
        <f t="shared" si="1"/>
        <v>142</v>
      </c>
      <c r="O44" s="499">
        <f t="shared" si="2"/>
        <v>17.75</v>
      </c>
      <c r="P44" s="500">
        <f t="shared" si="3"/>
        <v>2.569205717387371</v>
      </c>
      <c r="Q44" s="2"/>
      <c r="R44" s="264"/>
      <c r="S44" s="491"/>
      <c r="T44" s="591"/>
      <c r="U44" s="591"/>
      <c r="V44" s="591"/>
      <c r="W44" s="591"/>
      <c r="X44" s="591"/>
      <c r="Y44" s="591"/>
      <c r="Z44" s="591"/>
      <c r="AA44" s="591"/>
      <c r="AB44" s="591"/>
      <c r="AC44" s="591"/>
      <c r="AD44" s="591"/>
      <c r="AE44" s="592"/>
      <c r="AF44" s="593"/>
      <c r="AG44" s="594"/>
      <c r="AM44" s="186"/>
      <c r="AN44" s="186"/>
    </row>
    <row r="45" spans="1:40" customFormat="1" ht="24" thickBot="1">
      <c r="A45" s="488" t="s">
        <v>387</v>
      </c>
      <c r="B45" s="493"/>
      <c r="C45" s="494"/>
      <c r="D45" s="495"/>
      <c r="E45" s="494"/>
      <c r="F45" s="494">
        <v>25</v>
      </c>
      <c r="G45" s="475">
        <v>38</v>
      </c>
      <c r="H45" s="494">
        <v>18</v>
      </c>
      <c r="I45" s="494">
        <v>20</v>
      </c>
      <c r="J45" s="489">
        <v>14</v>
      </c>
      <c r="K45" s="496">
        <v>14</v>
      </c>
      <c r="L45" s="489">
        <v>15</v>
      </c>
      <c r="M45" s="497">
        <v>15</v>
      </c>
      <c r="N45" s="498">
        <f t="shared" si="1"/>
        <v>159</v>
      </c>
      <c r="O45" s="499">
        <f t="shared" si="2"/>
        <v>19.875</v>
      </c>
      <c r="P45" s="500">
        <f t="shared" si="3"/>
        <v>2.876786683553465</v>
      </c>
      <c r="Q45" s="2"/>
      <c r="R45" s="264"/>
      <c r="S45" s="894" t="s">
        <v>388</v>
      </c>
      <c r="T45" s="894"/>
      <c r="U45" s="894"/>
      <c r="V45" s="894"/>
      <c r="W45" s="894"/>
      <c r="X45" s="894"/>
      <c r="Y45" s="894"/>
      <c r="Z45" s="894"/>
      <c r="AA45" s="894"/>
      <c r="AB45" s="894"/>
      <c r="AC45" s="894"/>
      <c r="AD45" s="894"/>
      <c r="AE45" s="894"/>
      <c r="AF45" s="595"/>
      <c r="AG45" s="596"/>
      <c r="AM45" s="186"/>
      <c r="AN45" s="186"/>
    </row>
    <row r="46" spans="1:40" customFormat="1" ht="35.25" thickBot="1">
      <c r="A46" s="488" t="s">
        <v>389</v>
      </c>
      <c r="B46" s="493"/>
      <c r="C46" s="494"/>
      <c r="D46" s="495"/>
      <c r="E46" s="494"/>
      <c r="F46" s="494">
        <v>0</v>
      </c>
      <c r="G46" s="475">
        <v>4</v>
      </c>
      <c r="H46" s="494">
        <v>4</v>
      </c>
      <c r="I46" s="494">
        <v>3</v>
      </c>
      <c r="J46" s="489">
        <v>2</v>
      </c>
      <c r="K46" s="496">
        <v>1</v>
      </c>
      <c r="L46" s="489">
        <v>5</v>
      </c>
      <c r="M46" s="497">
        <v>4</v>
      </c>
      <c r="N46" s="498">
        <f t="shared" si="1"/>
        <v>23</v>
      </c>
      <c r="O46" s="499">
        <f t="shared" si="2"/>
        <v>2.875</v>
      </c>
      <c r="P46" s="500">
        <f t="shared" si="3"/>
        <v>0.41613895422471503</v>
      </c>
      <c r="Q46" s="2"/>
      <c r="R46" s="264"/>
      <c r="S46" s="597" t="s">
        <v>368</v>
      </c>
      <c r="T46" s="598"/>
      <c r="U46" s="599"/>
      <c r="V46" s="599"/>
      <c r="W46" s="599"/>
      <c r="X46" s="599">
        <v>6</v>
      </c>
      <c r="Y46" s="599">
        <v>6</v>
      </c>
      <c r="Z46" s="599">
        <v>12</v>
      </c>
      <c r="AA46" s="599">
        <v>6</v>
      </c>
      <c r="AB46" s="599">
        <v>7</v>
      </c>
      <c r="AC46" s="599">
        <v>9</v>
      </c>
      <c r="AD46" s="599">
        <v>11</v>
      </c>
      <c r="AE46" s="600">
        <v>8</v>
      </c>
      <c r="AF46" s="601">
        <f>SUM(T46:AE46)</f>
        <v>65</v>
      </c>
      <c r="AG46" s="584">
        <f>AVERAGE(T46:AE46)</f>
        <v>8.125</v>
      </c>
      <c r="AM46" s="186"/>
      <c r="AN46" s="186"/>
    </row>
    <row r="47" spans="1:40" customFormat="1" ht="35.25" thickBot="1">
      <c r="A47" s="488" t="s">
        <v>390</v>
      </c>
      <c r="B47" s="493"/>
      <c r="C47" s="494"/>
      <c r="D47" s="495"/>
      <c r="E47" s="494"/>
      <c r="F47" s="494">
        <v>3</v>
      </c>
      <c r="G47" s="475">
        <v>2</v>
      </c>
      <c r="H47" s="494">
        <v>2</v>
      </c>
      <c r="I47" s="494">
        <v>7</v>
      </c>
      <c r="J47" s="489">
        <v>12</v>
      </c>
      <c r="K47" s="496">
        <v>6</v>
      </c>
      <c r="L47" s="489">
        <v>5</v>
      </c>
      <c r="M47" s="497">
        <v>2</v>
      </c>
      <c r="N47" s="498">
        <f t="shared" si="1"/>
        <v>39</v>
      </c>
      <c r="O47" s="499">
        <f t="shared" si="2"/>
        <v>4.875</v>
      </c>
      <c r="P47" s="500">
        <f t="shared" si="3"/>
        <v>0.70562692238103852</v>
      </c>
      <c r="Q47" s="2"/>
      <c r="R47" s="264"/>
      <c r="S47" s="602" t="s">
        <v>391</v>
      </c>
      <c r="T47" s="603">
        <f t="shared" ref="T47:Y47" si="8">SUM(T48:T49)</f>
        <v>0</v>
      </c>
      <c r="U47" s="603">
        <f t="shared" si="8"/>
        <v>0</v>
      </c>
      <c r="V47" s="603">
        <f t="shared" si="8"/>
        <v>0</v>
      </c>
      <c r="W47" s="603">
        <f t="shared" si="8"/>
        <v>0</v>
      </c>
      <c r="X47" s="603">
        <f t="shared" si="8"/>
        <v>2</v>
      </c>
      <c r="Y47" s="603">
        <f t="shared" si="8"/>
        <v>5</v>
      </c>
      <c r="Z47" s="603">
        <v>7</v>
      </c>
      <c r="AA47" s="603">
        <v>10</v>
      </c>
      <c r="AB47" s="603">
        <v>18</v>
      </c>
      <c r="AC47" s="604">
        <v>21</v>
      </c>
      <c r="AD47" s="603">
        <f>SUM(AD48:AD49)</f>
        <v>3</v>
      </c>
      <c r="AE47" s="605">
        <f>SUM(AE48:AE49)</f>
        <v>35</v>
      </c>
      <c r="AF47" s="567">
        <f>SUM(T47:AE47)</f>
        <v>101</v>
      </c>
      <c r="AG47" s="568">
        <f>SUM(AG48:AG49)</f>
        <v>12.625</v>
      </c>
      <c r="AM47" s="186"/>
      <c r="AN47" s="186"/>
    </row>
    <row r="48" spans="1:40" customFormat="1" ht="23.25">
      <c r="A48" s="488" t="s">
        <v>392</v>
      </c>
      <c r="B48" s="493"/>
      <c r="C48" s="494"/>
      <c r="D48" s="495"/>
      <c r="E48" s="494"/>
      <c r="F48" s="494">
        <v>45</v>
      </c>
      <c r="G48" s="475">
        <v>60</v>
      </c>
      <c r="H48" s="494">
        <v>38</v>
      </c>
      <c r="I48" s="494">
        <v>47</v>
      </c>
      <c r="J48" s="489">
        <v>43</v>
      </c>
      <c r="K48" s="496">
        <v>79</v>
      </c>
      <c r="L48" s="489">
        <v>56</v>
      </c>
      <c r="M48" s="497">
        <v>38</v>
      </c>
      <c r="N48" s="498">
        <f t="shared" si="1"/>
        <v>406</v>
      </c>
      <c r="O48" s="499">
        <f t="shared" si="2"/>
        <v>50.75</v>
      </c>
      <c r="P48" s="500">
        <f t="shared" si="3"/>
        <v>7.3457571919667091</v>
      </c>
      <c r="Q48" s="2"/>
      <c r="R48" s="264"/>
      <c r="S48" s="606" t="s">
        <v>372</v>
      </c>
      <c r="T48" s="607"/>
      <c r="U48" s="608"/>
      <c r="V48" s="608"/>
      <c r="W48" s="608"/>
      <c r="X48" s="608">
        <v>0</v>
      </c>
      <c r="Y48" s="609">
        <v>0</v>
      </c>
      <c r="Z48" s="608">
        <v>0</v>
      </c>
      <c r="AA48" s="608">
        <v>0</v>
      </c>
      <c r="AB48" s="608">
        <v>0</v>
      </c>
      <c r="AC48" s="608">
        <v>1</v>
      </c>
      <c r="AD48" s="608">
        <v>3</v>
      </c>
      <c r="AE48" s="610">
        <v>3</v>
      </c>
      <c r="AF48" s="574">
        <f>SUM(T48:AE48)</f>
        <v>7</v>
      </c>
      <c r="AG48" s="575">
        <f>AVERAGE(T48:AE48)</f>
        <v>0.875</v>
      </c>
      <c r="AM48" s="186"/>
      <c r="AN48" s="186"/>
    </row>
    <row r="49" spans="1:55" ht="24" thickBot="1">
      <c r="A49" s="488" t="s">
        <v>393</v>
      </c>
      <c r="B49" s="493"/>
      <c r="C49" s="494"/>
      <c r="D49" s="495"/>
      <c r="E49" s="494"/>
      <c r="F49" s="494">
        <v>5</v>
      </c>
      <c r="G49" s="475">
        <v>5</v>
      </c>
      <c r="H49" s="494">
        <v>3</v>
      </c>
      <c r="I49" s="494">
        <v>9</v>
      </c>
      <c r="J49" s="489">
        <v>5</v>
      </c>
      <c r="K49" s="496">
        <v>7</v>
      </c>
      <c r="L49" s="489">
        <v>5</v>
      </c>
      <c r="M49" s="497">
        <v>7</v>
      </c>
      <c r="N49" s="498">
        <f t="shared" si="1"/>
        <v>46</v>
      </c>
      <c r="O49" s="499">
        <f t="shared" si="2"/>
        <v>5.75</v>
      </c>
      <c r="P49" s="500">
        <f t="shared" si="3"/>
        <v>0.83227790844943006</v>
      </c>
      <c r="Q49" s="2"/>
      <c r="R49" s="264"/>
      <c r="S49" s="611" t="s">
        <v>363</v>
      </c>
      <c r="T49" s="612"/>
      <c r="U49" s="613"/>
      <c r="V49" s="613"/>
      <c r="W49" s="613"/>
      <c r="X49" s="613">
        <v>2</v>
      </c>
      <c r="Y49" s="614">
        <v>5</v>
      </c>
      <c r="Z49" s="613">
        <v>7</v>
      </c>
      <c r="AA49" s="613">
        <v>10</v>
      </c>
      <c r="AB49" s="613">
        <v>18</v>
      </c>
      <c r="AC49" s="613">
        <v>20</v>
      </c>
      <c r="AD49" s="613">
        <v>0</v>
      </c>
      <c r="AE49" s="615">
        <v>32</v>
      </c>
      <c r="AF49" s="580">
        <f>SUM(T49:AE49)</f>
        <v>94</v>
      </c>
      <c r="AG49" s="581">
        <f>AVERAGE(T49:AE49)</f>
        <v>11.75</v>
      </c>
      <c r="AM49" s="186"/>
      <c r="AN49" s="186"/>
      <c r="BB49"/>
    </row>
    <row r="50" spans="1:55" ht="23.25">
      <c r="A50" s="488" t="s">
        <v>394</v>
      </c>
      <c r="B50" s="493"/>
      <c r="C50" s="494"/>
      <c r="D50" s="495"/>
      <c r="E50" s="494"/>
      <c r="F50" s="494">
        <v>0</v>
      </c>
      <c r="G50" s="475">
        <v>0</v>
      </c>
      <c r="H50" s="494">
        <v>2</v>
      </c>
      <c r="I50" s="494">
        <v>1</v>
      </c>
      <c r="J50" s="489">
        <v>0</v>
      </c>
      <c r="K50" s="496">
        <v>0</v>
      </c>
      <c r="L50" s="489">
        <v>1</v>
      </c>
      <c r="M50" s="497">
        <v>1</v>
      </c>
      <c r="N50" s="498">
        <f t="shared" si="1"/>
        <v>5</v>
      </c>
      <c r="O50" s="499">
        <f t="shared" si="2"/>
        <v>0.625</v>
      </c>
      <c r="P50" s="500">
        <f t="shared" si="3"/>
        <v>9.0464990048851085E-2</v>
      </c>
      <c r="Q50" s="2"/>
      <c r="R50" s="264"/>
      <c r="BC50" s="186"/>
    </row>
    <row r="51" spans="1:55" ht="23.25">
      <c r="A51" s="488" t="s">
        <v>395</v>
      </c>
      <c r="B51" s="493"/>
      <c r="C51" s="494"/>
      <c r="D51" s="495"/>
      <c r="E51" s="494"/>
      <c r="F51" s="494">
        <v>2</v>
      </c>
      <c r="G51" s="475">
        <v>1</v>
      </c>
      <c r="H51" s="494">
        <v>3</v>
      </c>
      <c r="I51" s="494">
        <v>1</v>
      </c>
      <c r="J51" s="489">
        <v>3</v>
      </c>
      <c r="K51" s="496">
        <v>3</v>
      </c>
      <c r="L51" s="489">
        <v>0</v>
      </c>
      <c r="M51" s="497">
        <v>4</v>
      </c>
      <c r="N51" s="498">
        <f t="shared" si="1"/>
        <v>17</v>
      </c>
      <c r="O51" s="499">
        <f t="shared" si="2"/>
        <v>2.125</v>
      </c>
      <c r="P51" s="500">
        <f t="shared" si="3"/>
        <v>0.30758096616609371</v>
      </c>
      <c r="Q51" s="2"/>
      <c r="R51" s="264"/>
      <c r="BC51" s="186"/>
    </row>
    <row r="52" spans="1:55" ht="22.5">
      <c r="A52" s="532" t="s">
        <v>396</v>
      </c>
      <c r="B52" s="493"/>
      <c r="C52" s="494"/>
      <c r="D52" s="495"/>
      <c r="E52" s="494"/>
      <c r="F52" s="494">
        <v>2</v>
      </c>
      <c r="G52" s="475">
        <v>1</v>
      </c>
      <c r="H52" s="494">
        <v>0</v>
      </c>
      <c r="I52" s="494">
        <v>0</v>
      </c>
      <c r="J52" s="489">
        <v>1</v>
      </c>
      <c r="K52" s="496">
        <v>1</v>
      </c>
      <c r="L52" s="489">
        <v>0</v>
      </c>
      <c r="M52" s="497">
        <v>1</v>
      </c>
      <c r="N52" s="498">
        <f t="shared" si="1"/>
        <v>6</v>
      </c>
      <c r="O52" s="499">
        <f t="shared" si="2"/>
        <v>0.75</v>
      </c>
      <c r="P52" s="500">
        <f t="shared" si="3"/>
        <v>0.1085579880586213</v>
      </c>
      <c r="Q52" s="482"/>
      <c r="R52" s="264"/>
      <c r="S52" s="264"/>
      <c r="AH52" s="129"/>
    </row>
    <row r="53" spans="1:55" ht="23.25">
      <c r="A53" s="488" t="s">
        <v>397</v>
      </c>
      <c r="B53" s="493"/>
      <c r="C53" s="494"/>
      <c r="D53" s="495"/>
      <c r="E53" s="494"/>
      <c r="F53" s="494">
        <v>91</v>
      </c>
      <c r="G53" s="475">
        <v>124</v>
      </c>
      <c r="H53" s="494">
        <v>86</v>
      </c>
      <c r="I53" s="494">
        <v>105</v>
      </c>
      <c r="J53" s="489">
        <v>121</v>
      </c>
      <c r="K53" s="496">
        <v>89</v>
      </c>
      <c r="L53" s="489">
        <v>65</v>
      </c>
      <c r="M53" s="497">
        <v>154</v>
      </c>
      <c r="N53" s="498">
        <f t="shared" si="1"/>
        <v>835</v>
      </c>
      <c r="O53" s="499">
        <f t="shared" si="2"/>
        <v>104.375</v>
      </c>
      <c r="P53" s="500">
        <f t="shared" si="3"/>
        <v>15.107653338158133</v>
      </c>
      <c r="Q53" s="2"/>
      <c r="R53" s="264"/>
      <c r="S53" s="264"/>
    </row>
    <row r="54" spans="1:55" ht="23.25">
      <c r="A54" s="488" t="s">
        <v>398</v>
      </c>
      <c r="B54" s="493"/>
      <c r="C54" s="494"/>
      <c r="D54" s="495"/>
      <c r="E54" s="494"/>
      <c r="F54" s="494">
        <v>7</v>
      </c>
      <c r="G54" s="475">
        <v>19</v>
      </c>
      <c r="H54" s="494">
        <v>8</v>
      </c>
      <c r="I54" s="494">
        <v>7</v>
      </c>
      <c r="J54" s="489">
        <v>17</v>
      </c>
      <c r="K54" s="496">
        <v>15</v>
      </c>
      <c r="L54" s="489">
        <v>7</v>
      </c>
      <c r="M54" s="497">
        <v>7</v>
      </c>
      <c r="N54" s="498">
        <f t="shared" ref="N54:N85" si="9">SUM(B54:M54)</f>
        <v>87</v>
      </c>
      <c r="O54" s="499">
        <f t="shared" ref="O54:O85" si="10">AVERAGE(B54:M54)</f>
        <v>10.875</v>
      </c>
      <c r="P54" s="500">
        <f t="shared" si="3"/>
        <v>1.5740908268500091</v>
      </c>
      <c r="Q54" s="2"/>
      <c r="R54" s="264"/>
      <c r="S54" s="264"/>
    </row>
    <row r="55" spans="1:55" ht="23.25">
      <c r="A55" s="488" t="s">
        <v>399</v>
      </c>
      <c r="B55" s="493"/>
      <c r="C55" s="494"/>
      <c r="D55" s="495"/>
      <c r="E55" s="494"/>
      <c r="F55" s="494">
        <v>39</v>
      </c>
      <c r="G55" s="475">
        <v>33</v>
      </c>
      <c r="H55" s="494">
        <v>31</v>
      </c>
      <c r="I55" s="494">
        <v>34</v>
      </c>
      <c r="J55" s="489">
        <v>37</v>
      </c>
      <c r="K55" s="496">
        <v>32</v>
      </c>
      <c r="L55" s="489">
        <v>24</v>
      </c>
      <c r="M55" s="497">
        <v>30</v>
      </c>
      <c r="N55" s="498">
        <f t="shared" si="9"/>
        <v>260</v>
      </c>
      <c r="O55" s="499">
        <f t="shared" si="10"/>
        <v>32.5</v>
      </c>
      <c r="P55" s="500">
        <f t="shared" si="3"/>
        <v>4.7041794825402574</v>
      </c>
      <c r="Q55" s="2"/>
      <c r="R55" s="264"/>
      <c r="S55" s="264"/>
    </row>
    <row r="56" spans="1:55" ht="23.25">
      <c r="A56" s="488" t="s">
        <v>400</v>
      </c>
      <c r="B56" s="493"/>
      <c r="C56" s="494"/>
      <c r="D56" s="495"/>
      <c r="E56" s="494"/>
      <c r="F56" s="494">
        <v>18</v>
      </c>
      <c r="G56" s="475">
        <v>19</v>
      </c>
      <c r="H56" s="494">
        <v>18</v>
      </c>
      <c r="I56" s="494">
        <v>32</v>
      </c>
      <c r="J56" s="489">
        <v>26</v>
      </c>
      <c r="K56" s="496">
        <v>22</v>
      </c>
      <c r="L56" s="489">
        <v>17</v>
      </c>
      <c r="M56" s="497">
        <v>20</v>
      </c>
      <c r="N56" s="498">
        <f t="shared" si="9"/>
        <v>172</v>
      </c>
      <c r="O56" s="499">
        <f t="shared" si="10"/>
        <v>21.5</v>
      </c>
      <c r="P56" s="500">
        <f t="shared" ref="P56:P87" si="11">(N56/$N$100)*100</f>
        <v>3.1119956576804779</v>
      </c>
      <c r="Q56" s="482"/>
      <c r="R56" s="264"/>
      <c r="S56" s="264"/>
    </row>
    <row r="57" spans="1:55" ht="23.25">
      <c r="A57" s="616" t="s">
        <v>401</v>
      </c>
      <c r="B57" s="493"/>
      <c r="C57" s="494"/>
      <c r="D57" s="495"/>
      <c r="E57" s="494"/>
      <c r="F57" s="494">
        <v>3</v>
      </c>
      <c r="G57" s="475">
        <v>0</v>
      </c>
      <c r="H57" s="494">
        <v>1</v>
      </c>
      <c r="I57" s="494">
        <v>2</v>
      </c>
      <c r="J57" s="489">
        <v>3</v>
      </c>
      <c r="K57" s="496">
        <v>1</v>
      </c>
      <c r="L57" s="489">
        <v>0</v>
      </c>
      <c r="M57" s="497">
        <v>1</v>
      </c>
      <c r="N57" s="498">
        <f t="shared" si="9"/>
        <v>11</v>
      </c>
      <c r="O57" s="499">
        <f t="shared" si="10"/>
        <v>1.375</v>
      </c>
      <c r="P57" s="500">
        <f t="shared" si="11"/>
        <v>0.19902297810747241</v>
      </c>
      <c r="Q57" s="482"/>
      <c r="R57" s="264"/>
      <c r="S57" s="264"/>
    </row>
    <row r="58" spans="1:55" ht="23.25">
      <c r="A58" s="488" t="s">
        <v>402</v>
      </c>
      <c r="B58" s="493"/>
      <c r="C58" s="494"/>
      <c r="D58" s="495"/>
      <c r="E58" s="494"/>
      <c r="F58" s="494">
        <v>18</v>
      </c>
      <c r="G58" s="475">
        <v>9</v>
      </c>
      <c r="H58" s="494">
        <v>24</v>
      </c>
      <c r="I58" s="494">
        <v>10</v>
      </c>
      <c r="J58" s="489">
        <v>20</v>
      </c>
      <c r="K58" s="496">
        <v>23</v>
      </c>
      <c r="L58" s="489">
        <v>14</v>
      </c>
      <c r="M58" s="497">
        <v>20</v>
      </c>
      <c r="N58" s="498">
        <f t="shared" si="9"/>
        <v>138</v>
      </c>
      <c r="O58" s="499">
        <f t="shared" si="10"/>
        <v>17.25</v>
      </c>
      <c r="P58" s="500">
        <f t="shared" si="11"/>
        <v>2.49683372534829</v>
      </c>
      <c r="Q58" s="482"/>
      <c r="R58" s="264"/>
      <c r="S58" s="264"/>
    </row>
    <row r="59" spans="1:55" ht="23.25">
      <c r="A59" s="488" t="s">
        <v>403</v>
      </c>
      <c r="B59" s="493"/>
      <c r="C59" s="494"/>
      <c r="D59" s="495"/>
      <c r="E59" s="494"/>
      <c r="F59" s="494">
        <v>2</v>
      </c>
      <c r="G59" s="475">
        <v>1</v>
      </c>
      <c r="H59" s="494">
        <v>1</v>
      </c>
      <c r="I59" s="494">
        <v>0</v>
      </c>
      <c r="J59" s="489">
        <v>4</v>
      </c>
      <c r="K59" s="496">
        <v>0</v>
      </c>
      <c r="L59" s="489">
        <v>0</v>
      </c>
      <c r="M59" s="497">
        <v>0</v>
      </c>
      <c r="N59" s="498">
        <f t="shared" si="9"/>
        <v>8</v>
      </c>
      <c r="O59" s="499">
        <f t="shared" si="10"/>
        <v>1</v>
      </c>
      <c r="P59" s="500">
        <f t="shared" si="11"/>
        <v>0.14474398407816175</v>
      </c>
      <c r="Q59" s="482"/>
      <c r="R59" s="264"/>
      <c r="S59" s="264"/>
    </row>
    <row r="60" spans="1:55">
      <c r="A60" s="488" t="s">
        <v>404</v>
      </c>
      <c r="B60" s="493"/>
      <c r="C60" s="494"/>
      <c r="D60" s="495"/>
      <c r="E60" s="494"/>
      <c r="F60" s="494">
        <v>5</v>
      </c>
      <c r="G60" s="475">
        <v>10</v>
      </c>
      <c r="H60" s="494">
        <v>12</v>
      </c>
      <c r="I60" s="494">
        <v>10</v>
      </c>
      <c r="J60" s="489">
        <v>14</v>
      </c>
      <c r="K60" s="496">
        <v>10</v>
      </c>
      <c r="L60" s="489">
        <v>5</v>
      </c>
      <c r="M60" s="497">
        <v>6</v>
      </c>
      <c r="N60" s="498">
        <f t="shared" si="9"/>
        <v>72</v>
      </c>
      <c r="O60" s="499">
        <f t="shared" si="10"/>
        <v>9</v>
      </c>
      <c r="P60" s="500">
        <f t="shared" si="11"/>
        <v>1.3026958567034559</v>
      </c>
      <c r="Q60" s="482"/>
      <c r="R60" s="264"/>
      <c r="S60" s="264"/>
    </row>
    <row r="61" spans="1:55">
      <c r="A61" s="617" t="s">
        <v>405</v>
      </c>
      <c r="B61" s="493"/>
      <c r="C61" s="494"/>
      <c r="D61" s="495"/>
      <c r="E61" s="494"/>
      <c r="F61" s="494">
        <v>1</v>
      </c>
      <c r="G61" s="475">
        <v>0</v>
      </c>
      <c r="H61" s="494">
        <v>0</v>
      </c>
      <c r="I61" s="494">
        <v>5</v>
      </c>
      <c r="J61" s="489">
        <v>3</v>
      </c>
      <c r="K61" s="496">
        <v>0</v>
      </c>
      <c r="L61" s="489">
        <v>0</v>
      </c>
      <c r="M61" s="497">
        <v>1</v>
      </c>
      <c r="N61" s="498">
        <f t="shared" si="9"/>
        <v>10</v>
      </c>
      <c r="O61" s="499">
        <f t="shared" si="10"/>
        <v>1.25</v>
      </c>
      <c r="P61" s="500">
        <f t="shared" si="11"/>
        <v>0.18092998009770217</v>
      </c>
      <c r="Q61" s="2"/>
      <c r="R61" s="264"/>
      <c r="S61" s="264"/>
      <c r="AL61" s="618"/>
    </row>
    <row r="62" spans="1:55" ht="34.5">
      <c r="A62" s="616" t="s">
        <v>406</v>
      </c>
      <c r="B62" s="493"/>
      <c r="C62" s="494"/>
      <c r="D62" s="495"/>
      <c r="E62" s="494"/>
      <c r="F62" s="494">
        <v>9</v>
      </c>
      <c r="G62" s="475">
        <v>14</v>
      </c>
      <c r="H62" s="494">
        <v>20</v>
      </c>
      <c r="I62" s="494">
        <v>16</v>
      </c>
      <c r="J62" s="489">
        <v>12</v>
      </c>
      <c r="K62" s="496">
        <v>9</v>
      </c>
      <c r="L62" s="489">
        <v>9</v>
      </c>
      <c r="M62" s="497">
        <v>3</v>
      </c>
      <c r="N62" s="498">
        <f t="shared" si="9"/>
        <v>92</v>
      </c>
      <c r="O62" s="499">
        <f t="shared" si="10"/>
        <v>11.5</v>
      </c>
      <c r="P62" s="500">
        <f t="shared" si="11"/>
        <v>1.6645558168988601</v>
      </c>
      <c r="Q62" s="2"/>
      <c r="R62" s="264"/>
      <c r="S62" s="264"/>
    </row>
    <row r="63" spans="1:55" ht="23.25">
      <c r="A63" s="616" t="s">
        <v>407</v>
      </c>
      <c r="B63" s="493"/>
      <c r="C63" s="494"/>
      <c r="D63" s="495"/>
      <c r="E63" s="494"/>
      <c r="F63" s="494">
        <v>1</v>
      </c>
      <c r="G63" s="475">
        <v>1</v>
      </c>
      <c r="H63" s="494">
        <v>3</v>
      </c>
      <c r="I63" s="494">
        <v>7</v>
      </c>
      <c r="J63" s="489">
        <v>3</v>
      </c>
      <c r="K63" s="496">
        <v>1</v>
      </c>
      <c r="L63" s="489">
        <v>0</v>
      </c>
      <c r="M63" s="497">
        <v>3</v>
      </c>
      <c r="N63" s="498">
        <f t="shared" si="9"/>
        <v>19</v>
      </c>
      <c r="O63" s="499">
        <f t="shared" si="10"/>
        <v>2.375</v>
      </c>
      <c r="P63" s="500">
        <f t="shared" si="11"/>
        <v>0.34376696218563418</v>
      </c>
      <c r="Q63" s="482"/>
      <c r="R63" s="264"/>
      <c r="S63" s="264"/>
    </row>
    <row r="64" spans="1:55" ht="34.5">
      <c r="A64" s="616" t="s">
        <v>408</v>
      </c>
      <c r="B64" s="493"/>
      <c r="C64" s="494"/>
      <c r="D64" s="495"/>
      <c r="E64" s="494"/>
      <c r="F64" s="494">
        <v>1</v>
      </c>
      <c r="G64" s="475">
        <v>0</v>
      </c>
      <c r="H64" s="494">
        <v>1</v>
      </c>
      <c r="I64" s="494">
        <v>1</v>
      </c>
      <c r="J64" s="489">
        <v>1</v>
      </c>
      <c r="K64" s="496">
        <v>1</v>
      </c>
      <c r="L64" s="489">
        <v>1</v>
      </c>
      <c r="M64" s="497">
        <v>0</v>
      </c>
      <c r="N64" s="498">
        <f t="shared" si="9"/>
        <v>6</v>
      </c>
      <c r="O64" s="499">
        <f t="shared" si="10"/>
        <v>0.75</v>
      </c>
      <c r="P64" s="500">
        <f t="shared" si="11"/>
        <v>0.1085579880586213</v>
      </c>
      <c r="Q64" s="482"/>
      <c r="R64" s="264"/>
      <c r="S64" s="264"/>
    </row>
    <row r="65" spans="1:38" ht="24.95" customHeight="1">
      <c r="A65" s="532" t="s">
        <v>409</v>
      </c>
      <c r="B65" s="493"/>
      <c r="C65" s="494"/>
      <c r="D65" s="495"/>
      <c r="E65" s="494"/>
      <c r="F65" s="494">
        <v>0</v>
      </c>
      <c r="G65" s="475">
        <v>0</v>
      </c>
      <c r="H65" s="494">
        <v>0</v>
      </c>
      <c r="I65" s="494">
        <v>0</v>
      </c>
      <c r="J65" s="489">
        <v>0</v>
      </c>
      <c r="K65" s="490">
        <v>0</v>
      </c>
      <c r="L65" s="489">
        <v>0</v>
      </c>
      <c r="M65" s="497">
        <v>0</v>
      </c>
      <c r="N65" s="498">
        <f t="shared" si="9"/>
        <v>0</v>
      </c>
      <c r="O65" s="499">
        <f t="shared" si="10"/>
        <v>0</v>
      </c>
      <c r="P65" s="500">
        <f t="shared" si="11"/>
        <v>0</v>
      </c>
      <c r="Q65" s="482"/>
      <c r="R65" s="264"/>
      <c r="S65" s="264"/>
    </row>
    <row r="66" spans="1:38" ht="24.95" customHeight="1">
      <c r="A66" s="488" t="s">
        <v>410</v>
      </c>
      <c r="B66" s="493"/>
      <c r="C66" s="494"/>
      <c r="D66" s="495"/>
      <c r="E66" s="494"/>
      <c r="F66" s="494">
        <v>1</v>
      </c>
      <c r="G66" s="475">
        <v>1</v>
      </c>
      <c r="H66" s="494">
        <v>2</v>
      </c>
      <c r="I66" s="494">
        <v>2</v>
      </c>
      <c r="J66" s="489">
        <v>3</v>
      </c>
      <c r="K66" s="496">
        <v>2</v>
      </c>
      <c r="L66" s="489">
        <v>1</v>
      </c>
      <c r="M66" s="497">
        <v>2</v>
      </c>
      <c r="N66" s="498">
        <f t="shared" si="9"/>
        <v>14</v>
      </c>
      <c r="O66" s="499">
        <f t="shared" si="10"/>
        <v>1.75</v>
      </c>
      <c r="P66" s="500">
        <f t="shared" si="11"/>
        <v>0.25330197213678307</v>
      </c>
      <c r="Q66" s="482"/>
      <c r="R66" s="264"/>
      <c r="S66" s="264"/>
    </row>
    <row r="67" spans="1:38" ht="24.95" customHeight="1">
      <c r="A67" s="488" t="s">
        <v>411</v>
      </c>
      <c r="B67" s="493"/>
      <c r="C67" s="494"/>
      <c r="D67" s="495"/>
      <c r="E67" s="494"/>
      <c r="F67" s="494">
        <v>0</v>
      </c>
      <c r="G67" s="475">
        <v>6</v>
      </c>
      <c r="H67" s="494">
        <v>3</v>
      </c>
      <c r="I67" s="494">
        <v>3</v>
      </c>
      <c r="J67" s="489">
        <v>4</v>
      </c>
      <c r="K67" s="496">
        <v>1</v>
      </c>
      <c r="L67" s="489">
        <v>1</v>
      </c>
      <c r="M67" s="497">
        <v>3</v>
      </c>
      <c r="N67" s="498">
        <f t="shared" si="9"/>
        <v>21</v>
      </c>
      <c r="O67" s="499">
        <f t="shared" si="10"/>
        <v>2.625</v>
      </c>
      <c r="P67" s="500">
        <f t="shared" si="11"/>
        <v>0.37995295820517461</v>
      </c>
      <c r="Q67" s="2"/>
      <c r="R67" s="264"/>
      <c r="S67" s="264"/>
      <c r="AL67" s="124"/>
    </row>
    <row r="68" spans="1:38" ht="24.95" customHeight="1">
      <c r="A68" s="488" t="s">
        <v>257</v>
      </c>
      <c r="B68" s="493"/>
      <c r="C68" s="494"/>
      <c r="D68" s="495"/>
      <c r="E68" s="494"/>
      <c r="F68" s="494">
        <v>10</v>
      </c>
      <c r="G68" s="475">
        <v>6</v>
      </c>
      <c r="H68" s="494">
        <v>4</v>
      </c>
      <c r="I68" s="494">
        <v>8</v>
      </c>
      <c r="J68" s="489">
        <v>4</v>
      </c>
      <c r="K68" s="496">
        <v>8</v>
      </c>
      <c r="L68" s="489">
        <v>6</v>
      </c>
      <c r="M68" s="497">
        <v>5</v>
      </c>
      <c r="N68" s="498">
        <f t="shared" si="9"/>
        <v>51</v>
      </c>
      <c r="O68" s="499">
        <f t="shared" si="10"/>
        <v>6.375</v>
      </c>
      <c r="P68" s="500">
        <f t="shared" si="11"/>
        <v>0.92274289849828117</v>
      </c>
      <c r="Q68" s="2"/>
      <c r="R68" s="264"/>
      <c r="S68" s="264"/>
      <c r="AL68" s="124"/>
    </row>
    <row r="69" spans="1:38" ht="24.95" customHeight="1">
      <c r="A69" s="488" t="s">
        <v>258</v>
      </c>
      <c r="B69" s="493"/>
      <c r="C69" s="494"/>
      <c r="D69" s="495"/>
      <c r="E69" s="494"/>
      <c r="F69" s="494">
        <v>2</v>
      </c>
      <c r="G69" s="475">
        <v>2</v>
      </c>
      <c r="H69" s="494">
        <v>2</v>
      </c>
      <c r="I69" s="494">
        <v>2</v>
      </c>
      <c r="J69" s="489">
        <v>2</v>
      </c>
      <c r="K69" s="496">
        <v>1</v>
      </c>
      <c r="L69" s="489">
        <v>0</v>
      </c>
      <c r="M69" s="497">
        <v>4</v>
      </c>
      <c r="N69" s="498">
        <f t="shared" si="9"/>
        <v>15</v>
      </c>
      <c r="O69" s="499">
        <f t="shared" si="10"/>
        <v>1.875</v>
      </c>
      <c r="P69" s="500">
        <f t="shared" si="11"/>
        <v>0.27139497014655328</v>
      </c>
      <c r="Q69" s="2"/>
      <c r="R69" s="264"/>
      <c r="S69" s="264"/>
      <c r="AL69" s="124"/>
    </row>
    <row r="70" spans="1:38" ht="24.95" customHeight="1">
      <c r="A70" s="488" t="s">
        <v>259</v>
      </c>
      <c r="B70" s="493"/>
      <c r="C70" s="494"/>
      <c r="D70" s="495"/>
      <c r="E70" s="494"/>
      <c r="F70" s="494">
        <v>0</v>
      </c>
      <c r="G70" s="475">
        <v>4</v>
      </c>
      <c r="H70" s="494">
        <v>1</v>
      </c>
      <c r="I70" s="494">
        <v>4</v>
      </c>
      <c r="J70" s="489">
        <v>2</v>
      </c>
      <c r="K70" s="496">
        <v>2</v>
      </c>
      <c r="L70" s="489">
        <v>1</v>
      </c>
      <c r="M70" s="497">
        <v>3</v>
      </c>
      <c r="N70" s="498">
        <f t="shared" si="9"/>
        <v>17</v>
      </c>
      <c r="O70" s="499">
        <f t="shared" si="10"/>
        <v>2.125</v>
      </c>
      <c r="P70" s="500">
        <f t="shared" si="11"/>
        <v>0.30758096616609371</v>
      </c>
      <c r="Q70" s="2"/>
      <c r="R70" s="264"/>
      <c r="S70" s="264"/>
      <c r="AL70" s="124"/>
    </row>
    <row r="71" spans="1:38" ht="24.95" customHeight="1">
      <c r="A71" s="488" t="s">
        <v>412</v>
      </c>
      <c r="B71" s="493"/>
      <c r="C71" s="494"/>
      <c r="D71" s="495"/>
      <c r="E71" s="494"/>
      <c r="F71" s="494">
        <v>2</v>
      </c>
      <c r="G71" s="475">
        <v>3</v>
      </c>
      <c r="H71" s="494">
        <v>2</v>
      </c>
      <c r="I71" s="494">
        <v>1</v>
      </c>
      <c r="J71" s="489">
        <v>2</v>
      </c>
      <c r="K71" s="496">
        <v>4</v>
      </c>
      <c r="L71" s="489">
        <v>0</v>
      </c>
      <c r="M71" s="497">
        <v>3</v>
      </c>
      <c r="N71" s="498">
        <f t="shared" si="9"/>
        <v>17</v>
      </c>
      <c r="O71" s="499">
        <f t="shared" si="10"/>
        <v>2.125</v>
      </c>
      <c r="P71" s="500">
        <f t="shared" si="11"/>
        <v>0.30758096616609371</v>
      </c>
      <c r="Q71" s="2"/>
      <c r="R71" s="264"/>
      <c r="S71" s="264"/>
      <c r="AL71" s="124"/>
    </row>
    <row r="72" spans="1:38" ht="24.95" customHeight="1">
      <c r="A72" s="488" t="s">
        <v>261</v>
      </c>
      <c r="B72" s="493"/>
      <c r="C72" s="494"/>
      <c r="D72" s="495"/>
      <c r="E72" s="494"/>
      <c r="F72" s="494">
        <v>2</v>
      </c>
      <c r="G72" s="475">
        <v>5</v>
      </c>
      <c r="H72" s="494">
        <v>2</v>
      </c>
      <c r="I72" s="494">
        <v>6</v>
      </c>
      <c r="J72" s="489">
        <v>3</v>
      </c>
      <c r="K72" s="496">
        <v>1</v>
      </c>
      <c r="L72" s="489">
        <v>1</v>
      </c>
      <c r="M72" s="497">
        <v>4</v>
      </c>
      <c r="N72" s="498">
        <f t="shared" si="9"/>
        <v>24</v>
      </c>
      <c r="O72" s="499">
        <f t="shared" si="10"/>
        <v>3</v>
      </c>
      <c r="P72" s="500">
        <f t="shared" si="11"/>
        <v>0.43423195223448519</v>
      </c>
      <c r="Q72" s="2"/>
      <c r="R72" s="264"/>
      <c r="S72" s="264"/>
    </row>
    <row r="73" spans="1:38" ht="24.95" customHeight="1">
      <c r="A73" s="488" t="s">
        <v>262</v>
      </c>
      <c r="B73" s="493"/>
      <c r="C73" s="494"/>
      <c r="D73" s="495"/>
      <c r="E73" s="494"/>
      <c r="F73" s="494">
        <v>2</v>
      </c>
      <c r="G73" s="475">
        <v>2</v>
      </c>
      <c r="H73" s="494">
        <v>1</v>
      </c>
      <c r="I73" s="494">
        <v>1</v>
      </c>
      <c r="J73" s="489">
        <v>1</v>
      </c>
      <c r="K73" s="496">
        <v>3</v>
      </c>
      <c r="L73" s="489">
        <v>0</v>
      </c>
      <c r="M73" s="497">
        <v>3</v>
      </c>
      <c r="N73" s="498">
        <f t="shared" si="9"/>
        <v>13</v>
      </c>
      <c r="O73" s="499">
        <f t="shared" si="10"/>
        <v>1.625</v>
      </c>
      <c r="P73" s="500">
        <f t="shared" si="11"/>
        <v>0.23520897412701286</v>
      </c>
      <c r="Q73" s="2"/>
      <c r="R73" s="264"/>
      <c r="S73" s="264"/>
    </row>
    <row r="74" spans="1:38" ht="24.95" customHeight="1">
      <c r="A74" s="488" t="s">
        <v>263</v>
      </c>
      <c r="B74" s="493"/>
      <c r="C74" s="494"/>
      <c r="D74" s="495"/>
      <c r="E74" s="494"/>
      <c r="F74" s="494">
        <v>1</v>
      </c>
      <c r="G74" s="475">
        <v>2</v>
      </c>
      <c r="H74" s="494">
        <v>1</v>
      </c>
      <c r="I74" s="494">
        <v>1</v>
      </c>
      <c r="J74" s="489">
        <v>2</v>
      </c>
      <c r="K74" s="496">
        <v>1</v>
      </c>
      <c r="L74" s="489">
        <v>0</v>
      </c>
      <c r="M74" s="497">
        <v>4</v>
      </c>
      <c r="N74" s="498">
        <f t="shared" si="9"/>
        <v>12</v>
      </c>
      <c r="O74" s="499">
        <f t="shared" si="10"/>
        <v>1.5</v>
      </c>
      <c r="P74" s="500">
        <f t="shared" si="11"/>
        <v>0.21711597611724259</v>
      </c>
      <c r="Q74" s="2"/>
      <c r="R74" s="264"/>
      <c r="S74" s="264"/>
    </row>
    <row r="75" spans="1:38" ht="24.95" customHeight="1">
      <c r="A75" s="488" t="s">
        <v>413</v>
      </c>
      <c r="B75" s="493"/>
      <c r="C75" s="494"/>
      <c r="D75" s="495"/>
      <c r="E75" s="494"/>
      <c r="F75" s="494">
        <v>0</v>
      </c>
      <c r="G75" s="475">
        <v>3</v>
      </c>
      <c r="H75" s="494">
        <v>2</v>
      </c>
      <c r="I75" s="494">
        <v>4</v>
      </c>
      <c r="J75" s="489">
        <v>1</v>
      </c>
      <c r="K75" s="496">
        <v>1</v>
      </c>
      <c r="L75" s="489">
        <v>0</v>
      </c>
      <c r="M75" s="497">
        <v>3</v>
      </c>
      <c r="N75" s="498">
        <f t="shared" si="9"/>
        <v>14</v>
      </c>
      <c r="O75" s="499">
        <f t="shared" si="10"/>
        <v>1.75</v>
      </c>
      <c r="P75" s="500">
        <f t="shared" si="11"/>
        <v>0.25330197213678307</v>
      </c>
      <c r="Q75" s="2"/>
      <c r="R75" s="264"/>
      <c r="S75" s="264"/>
    </row>
    <row r="76" spans="1:38" ht="24.95" customHeight="1">
      <c r="A76" s="488" t="s">
        <v>265</v>
      </c>
      <c r="B76" s="493"/>
      <c r="C76" s="494"/>
      <c r="D76" s="495"/>
      <c r="E76" s="494"/>
      <c r="F76" s="494">
        <v>0</v>
      </c>
      <c r="G76" s="475">
        <v>3</v>
      </c>
      <c r="H76" s="494">
        <v>1</v>
      </c>
      <c r="I76" s="494">
        <v>1</v>
      </c>
      <c r="J76" s="489">
        <v>1</v>
      </c>
      <c r="K76" s="496">
        <v>2</v>
      </c>
      <c r="L76" s="489">
        <v>0</v>
      </c>
      <c r="M76" s="497">
        <v>3</v>
      </c>
      <c r="N76" s="498">
        <f t="shared" si="9"/>
        <v>11</v>
      </c>
      <c r="O76" s="499">
        <f t="shared" si="10"/>
        <v>1.375</v>
      </c>
      <c r="P76" s="500">
        <f t="shared" si="11"/>
        <v>0.19902297810747241</v>
      </c>
      <c r="Q76" s="2"/>
      <c r="R76" s="264"/>
      <c r="S76" s="264"/>
    </row>
    <row r="77" spans="1:38" ht="24.95" customHeight="1">
      <c r="A77" s="488" t="s">
        <v>266</v>
      </c>
      <c r="B77" s="493"/>
      <c r="C77" s="494"/>
      <c r="D77" s="495"/>
      <c r="E77" s="494"/>
      <c r="F77" s="494">
        <v>1</v>
      </c>
      <c r="G77" s="475">
        <v>2</v>
      </c>
      <c r="H77" s="494">
        <v>2</v>
      </c>
      <c r="I77" s="494">
        <v>2</v>
      </c>
      <c r="J77" s="489">
        <v>3</v>
      </c>
      <c r="K77" s="496">
        <v>7</v>
      </c>
      <c r="L77" s="489">
        <v>3</v>
      </c>
      <c r="M77" s="497">
        <v>4</v>
      </c>
      <c r="N77" s="498">
        <f t="shared" si="9"/>
        <v>24</v>
      </c>
      <c r="O77" s="499">
        <f t="shared" si="10"/>
        <v>3</v>
      </c>
      <c r="P77" s="500">
        <f t="shared" si="11"/>
        <v>0.43423195223448519</v>
      </c>
      <c r="Q77" s="2"/>
      <c r="R77" s="264"/>
      <c r="S77" s="264"/>
    </row>
    <row r="78" spans="1:38" ht="24.95" customHeight="1">
      <c r="A78" s="488" t="s">
        <v>267</v>
      </c>
      <c r="B78" s="493"/>
      <c r="C78" s="494"/>
      <c r="D78" s="495"/>
      <c r="E78" s="494"/>
      <c r="F78" s="494">
        <v>0</v>
      </c>
      <c r="G78" s="475">
        <v>2</v>
      </c>
      <c r="H78" s="494">
        <v>4</v>
      </c>
      <c r="I78" s="494">
        <v>2</v>
      </c>
      <c r="J78" s="489">
        <v>2</v>
      </c>
      <c r="K78" s="496">
        <v>0</v>
      </c>
      <c r="L78" s="489">
        <v>3</v>
      </c>
      <c r="M78" s="497">
        <v>4</v>
      </c>
      <c r="N78" s="498">
        <f t="shared" si="9"/>
        <v>17</v>
      </c>
      <c r="O78" s="499">
        <f t="shared" si="10"/>
        <v>2.125</v>
      </c>
      <c r="P78" s="500">
        <f t="shared" si="11"/>
        <v>0.30758096616609371</v>
      </c>
      <c r="Q78" s="2"/>
      <c r="R78" s="264"/>
      <c r="S78" s="264"/>
    </row>
    <row r="79" spans="1:38" ht="24.95" customHeight="1">
      <c r="A79" s="488" t="s">
        <v>268</v>
      </c>
      <c r="B79" s="493"/>
      <c r="C79" s="494"/>
      <c r="D79" s="495"/>
      <c r="E79" s="494"/>
      <c r="F79" s="494">
        <v>2</v>
      </c>
      <c r="G79" s="475">
        <v>4</v>
      </c>
      <c r="H79" s="494">
        <v>3</v>
      </c>
      <c r="I79" s="494">
        <v>1</v>
      </c>
      <c r="J79" s="489">
        <v>3</v>
      </c>
      <c r="K79" s="496">
        <v>2</v>
      </c>
      <c r="L79" s="489">
        <v>2</v>
      </c>
      <c r="M79" s="497">
        <v>7</v>
      </c>
      <c r="N79" s="498">
        <f t="shared" si="9"/>
        <v>24</v>
      </c>
      <c r="O79" s="499">
        <f t="shared" si="10"/>
        <v>3</v>
      </c>
      <c r="P79" s="500">
        <f t="shared" si="11"/>
        <v>0.43423195223448519</v>
      </c>
      <c r="Q79" s="2"/>
      <c r="R79" s="264"/>
      <c r="S79" s="264"/>
    </row>
    <row r="80" spans="1:38" ht="24.95" customHeight="1">
      <c r="A80" s="488" t="s">
        <v>269</v>
      </c>
      <c r="B80" s="493"/>
      <c r="C80" s="494"/>
      <c r="D80" s="495"/>
      <c r="E80" s="494"/>
      <c r="F80" s="494">
        <v>0</v>
      </c>
      <c r="G80" s="475">
        <v>3</v>
      </c>
      <c r="H80" s="494">
        <v>2</v>
      </c>
      <c r="I80" s="494">
        <v>1</v>
      </c>
      <c r="J80" s="489">
        <v>1</v>
      </c>
      <c r="K80" s="496">
        <v>1</v>
      </c>
      <c r="L80" s="489">
        <v>2</v>
      </c>
      <c r="M80" s="497">
        <v>4</v>
      </c>
      <c r="N80" s="498">
        <f t="shared" si="9"/>
        <v>14</v>
      </c>
      <c r="O80" s="499">
        <f t="shared" si="10"/>
        <v>1.75</v>
      </c>
      <c r="P80" s="500">
        <f t="shared" si="11"/>
        <v>0.25330197213678307</v>
      </c>
      <c r="Q80" s="2"/>
      <c r="R80" s="264"/>
      <c r="S80" s="264"/>
    </row>
    <row r="81" spans="1:19" ht="24.95" customHeight="1">
      <c r="A81" s="488" t="s">
        <v>270</v>
      </c>
      <c r="B81" s="493"/>
      <c r="C81" s="494"/>
      <c r="D81" s="495"/>
      <c r="E81" s="494"/>
      <c r="F81" s="494">
        <v>2</v>
      </c>
      <c r="G81" s="475">
        <v>3</v>
      </c>
      <c r="H81" s="494">
        <v>2</v>
      </c>
      <c r="I81" s="494">
        <v>4</v>
      </c>
      <c r="J81" s="489">
        <v>3</v>
      </c>
      <c r="K81" s="496">
        <v>4</v>
      </c>
      <c r="L81" s="489">
        <v>1</v>
      </c>
      <c r="M81" s="497">
        <v>3</v>
      </c>
      <c r="N81" s="498">
        <f t="shared" si="9"/>
        <v>22</v>
      </c>
      <c r="O81" s="499">
        <f t="shared" si="10"/>
        <v>2.75</v>
      </c>
      <c r="P81" s="500">
        <f t="shared" si="11"/>
        <v>0.39804595621494482</v>
      </c>
      <c r="Q81" s="2"/>
      <c r="R81" s="264"/>
      <c r="S81" s="264"/>
    </row>
    <row r="82" spans="1:19" ht="24.95" customHeight="1">
      <c r="A82" s="488" t="s">
        <v>271</v>
      </c>
      <c r="B82" s="493"/>
      <c r="C82" s="494"/>
      <c r="D82" s="495"/>
      <c r="E82" s="494"/>
      <c r="F82" s="494">
        <v>3</v>
      </c>
      <c r="G82" s="475">
        <v>3</v>
      </c>
      <c r="H82" s="494">
        <v>2</v>
      </c>
      <c r="I82" s="494">
        <v>1</v>
      </c>
      <c r="J82" s="489">
        <v>1</v>
      </c>
      <c r="K82" s="496">
        <v>6</v>
      </c>
      <c r="L82" s="489">
        <v>4</v>
      </c>
      <c r="M82" s="497">
        <v>4</v>
      </c>
      <c r="N82" s="498">
        <f t="shared" si="9"/>
        <v>24</v>
      </c>
      <c r="O82" s="499">
        <f t="shared" si="10"/>
        <v>3</v>
      </c>
      <c r="P82" s="500">
        <f t="shared" si="11"/>
        <v>0.43423195223448519</v>
      </c>
      <c r="Q82" s="2"/>
      <c r="R82" s="264"/>
      <c r="S82" s="264"/>
    </row>
    <row r="83" spans="1:19" ht="24.95" customHeight="1">
      <c r="A83" s="619" t="s">
        <v>414</v>
      </c>
      <c r="B83" s="493"/>
      <c r="C83" s="494"/>
      <c r="D83" s="495"/>
      <c r="E83" s="494"/>
      <c r="F83" s="494">
        <v>2</v>
      </c>
      <c r="G83" s="475">
        <v>3</v>
      </c>
      <c r="H83" s="494">
        <v>1</v>
      </c>
      <c r="I83" s="494">
        <v>3</v>
      </c>
      <c r="J83" s="489">
        <v>2</v>
      </c>
      <c r="K83" s="496">
        <v>1</v>
      </c>
      <c r="L83" s="489">
        <v>4</v>
      </c>
      <c r="M83" s="497">
        <v>3</v>
      </c>
      <c r="N83" s="498">
        <f t="shared" si="9"/>
        <v>19</v>
      </c>
      <c r="O83" s="499">
        <f t="shared" si="10"/>
        <v>2.375</v>
      </c>
      <c r="P83" s="500">
        <f t="shared" si="11"/>
        <v>0.34376696218563418</v>
      </c>
      <c r="Q83" s="2"/>
      <c r="R83" s="264"/>
      <c r="S83" s="264"/>
    </row>
    <row r="84" spans="1:19" ht="24.95" customHeight="1">
      <c r="A84" s="488" t="s">
        <v>273</v>
      </c>
      <c r="B84" s="493"/>
      <c r="C84" s="494"/>
      <c r="D84" s="495"/>
      <c r="E84" s="494"/>
      <c r="F84" s="494">
        <v>4</v>
      </c>
      <c r="G84" s="475">
        <v>3</v>
      </c>
      <c r="H84" s="494">
        <v>1</v>
      </c>
      <c r="I84" s="494">
        <v>3</v>
      </c>
      <c r="J84" s="489">
        <v>3</v>
      </c>
      <c r="K84" s="496">
        <v>5</v>
      </c>
      <c r="L84" s="489">
        <v>4</v>
      </c>
      <c r="M84" s="497">
        <v>3</v>
      </c>
      <c r="N84" s="498">
        <f t="shared" si="9"/>
        <v>26</v>
      </c>
      <c r="O84" s="499">
        <f t="shared" si="10"/>
        <v>3.25</v>
      </c>
      <c r="P84" s="500">
        <f t="shared" si="11"/>
        <v>0.47041794825402572</v>
      </c>
      <c r="Q84" s="2"/>
      <c r="R84" s="264"/>
      <c r="S84" s="264"/>
    </row>
    <row r="85" spans="1:19" ht="24.95" customHeight="1">
      <c r="A85" s="488" t="s">
        <v>274</v>
      </c>
      <c r="B85" s="493"/>
      <c r="C85" s="494"/>
      <c r="D85" s="495"/>
      <c r="E85" s="494"/>
      <c r="F85" s="494">
        <v>2</v>
      </c>
      <c r="G85" s="475">
        <v>2</v>
      </c>
      <c r="H85" s="494">
        <v>3</v>
      </c>
      <c r="I85" s="494">
        <v>1</v>
      </c>
      <c r="J85" s="489">
        <v>2</v>
      </c>
      <c r="K85" s="496">
        <v>2</v>
      </c>
      <c r="L85" s="489">
        <v>0</v>
      </c>
      <c r="M85" s="497">
        <v>3</v>
      </c>
      <c r="N85" s="498">
        <f t="shared" si="9"/>
        <v>15</v>
      </c>
      <c r="O85" s="499">
        <f t="shared" si="10"/>
        <v>1.875</v>
      </c>
      <c r="P85" s="500">
        <f t="shared" si="11"/>
        <v>0.27139497014655328</v>
      </c>
      <c r="Q85" s="2"/>
      <c r="R85" s="264"/>
      <c r="S85" s="264"/>
    </row>
    <row r="86" spans="1:19" ht="24.95" customHeight="1">
      <c r="A86" s="488" t="s">
        <v>275</v>
      </c>
      <c r="B86" s="493"/>
      <c r="C86" s="494"/>
      <c r="D86" s="495"/>
      <c r="E86" s="494"/>
      <c r="F86" s="494">
        <v>3</v>
      </c>
      <c r="G86" s="475">
        <v>4</v>
      </c>
      <c r="H86" s="494">
        <v>4</v>
      </c>
      <c r="I86" s="494">
        <v>3</v>
      </c>
      <c r="J86" s="489">
        <v>2</v>
      </c>
      <c r="K86" s="496">
        <v>3</v>
      </c>
      <c r="L86" s="489">
        <v>0</v>
      </c>
      <c r="M86" s="497">
        <v>4</v>
      </c>
      <c r="N86" s="498">
        <f t="shared" ref="N86:N99" si="12">SUM(B86:M86)</f>
        <v>23</v>
      </c>
      <c r="O86" s="499">
        <f t="shared" ref="O86:O100" si="13">AVERAGE(B86:M86)</f>
        <v>2.875</v>
      </c>
      <c r="P86" s="500">
        <f t="shared" si="11"/>
        <v>0.41613895422471503</v>
      </c>
      <c r="Q86" s="2"/>
      <c r="R86" s="264"/>
      <c r="S86" s="264"/>
    </row>
    <row r="87" spans="1:19" ht="24.95" customHeight="1">
      <c r="A87" s="488" t="s">
        <v>276</v>
      </c>
      <c r="B87" s="493"/>
      <c r="C87" s="494"/>
      <c r="D87" s="495"/>
      <c r="E87" s="494"/>
      <c r="F87" s="494">
        <v>0</v>
      </c>
      <c r="G87" s="475">
        <v>2</v>
      </c>
      <c r="H87" s="494">
        <v>1</v>
      </c>
      <c r="I87" s="494">
        <v>1</v>
      </c>
      <c r="J87" s="489">
        <v>2</v>
      </c>
      <c r="K87" s="496">
        <v>3</v>
      </c>
      <c r="L87" s="489">
        <v>0</v>
      </c>
      <c r="M87" s="497">
        <v>5</v>
      </c>
      <c r="N87" s="498">
        <f t="shared" si="12"/>
        <v>14</v>
      </c>
      <c r="O87" s="499">
        <f t="shared" si="13"/>
        <v>1.75</v>
      </c>
      <c r="P87" s="500">
        <f t="shared" si="11"/>
        <v>0.25330197213678307</v>
      </c>
      <c r="Q87" s="2"/>
      <c r="R87" s="264"/>
      <c r="S87" s="264"/>
    </row>
    <row r="88" spans="1:19" ht="24.95" customHeight="1">
      <c r="A88" s="488" t="s">
        <v>277</v>
      </c>
      <c r="B88" s="493"/>
      <c r="C88" s="494"/>
      <c r="D88" s="495"/>
      <c r="E88" s="494"/>
      <c r="F88" s="494">
        <v>3</v>
      </c>
      <c r="G88" s="475">
        <v>8</v>
      </c>
      <c r="H88" s="494">
        <v>1</v>
      </c>
      <c r="I88" s="494">
        <v>3</v>
      </c>
      <c r="J88" s="489">
        <v>6</v>
      </c>
      <c r="K88" s="496">
        <v>5</v>
      </c>
      <c r="L88" s="489">
        <v>7</v>
      </c>
      <c r="M88" s="497">
        <v>5</v>
      </c>
      <c r="N88" s="498">
        <f t="shared" si="12"/>
        <v>38</v>
      </c>
      <c r="O88" s="499">
        <f t="shared" si="13"/>
        <v>4.75</v>
      </c>
      <c r="P88" s="500">
        <f t="shared" ref="P88:P99" si="14">(N88/$N$100)*100</f>
        <v>0.68753392437126837</v>
      </c>
      <c r="Q88" s="2"/>
      <c r="R88" s="264"/>
      <c r="S88" s="264"/>
    </row>
    <row r="89" spans="1:19" ht="24.95" customHeight="1">
      <c r="A89" s="488" t="s">
        <v>278</v>
      </c>
      <c r="B89" s="493"/>
      <c r="C89" s="494"/>
      <c r="D89" s="495"/>
      <c r="E89" s="494"/>
      <c r="F89" s="494">
        <v>3</v>
      </c>
      <c r="G89" s="475">
        <v>2</v>
      </c>
      <c r="H89" s="494">
        <v>3</v>
      </c>
      <c r="I89" s="494">
        <v>1</v>
      </c>
      <c r="J89" s="489">
        <v>6</v>
      </c>
      <c r="K89" s="496">
        <v>4</v>
      </c>
      <c r="L89" s="489">
        <v>2</v>
      </c>
      <c r="M89" s="497">
        <v>4</v>
      </c>
      <c r="N89" s="498">
        <f t="shared" si="12"/>
        <v>25</v>
      </c>
      <c r="O89" s="499">
        <f t="shared" si="13"/>
        <v>3.125</v>
      </c>
      <c r="P89" s="500">
        <f t="shared" si="14"/>
        <v>0.45232495024425545</v>
      </c>
      <c r="Q89" s="2"/>
      <c r="R89" s="264"/>
      <c r="S89" s="264"/>
    </row>
    <row r="90" spans="1:19" ht="24.95" customHeight="1">
      <c r="A90" s="488" t="s">
        <v>279</v>
      </c>
      <c r="B90" s="493"/>
      <c r="C90" s="494"/>
      <c r="D90" s="495"/>
      <c r="E90" s="494"/>
      <c r="F90" s="494">
        <v>3</v>
      </c>
      <c r="G90" s="475">
        <v>5</v>
      </c>
      <c r="H90" s="494">
        <v>4</v>
      </c>
      <c r="I90" s="494">
        <v>3</v>
      </c>
      <c r="J90" s="489">
        <v>2</v>
      </c>
      <c r="K90" s="496">
        <v>4</v>
      </c>
      <c r="L90" s="489">
        <v>1</v>
      </c>
      <c r="M90" s="497">
        <v>4</v>
      </c>
      <c r="N90" s="498">
        <f t="shared" si="12"/>
        <v>26</v>
      </c>
      <c r="O90" s="499">
        <f t="shared" si="13"/>
        <v>3.25</v>
      </c>
      <c r="P90" s="500">
        <f t="shared" si="14"/>
        <v>0.47041794825402572</v>
      </c>
      <c r="Q90" s="2"/>
      <c r="R90" s="264"/>
      <c r="S90" s="264"/>
    </row>
    <row r="91" spans="1:19" ht="24.95" customHeight="1">
      <c r="A91" s="488" t="s">
        <v>280</v>
      </c>
      <c r="B91" s="493"/>
      <c r="C91" s="494"/>
      <c r="D91" s="495"/>
      <c r="E91" s="494"/>
      <c r="F91" s="494">
        <v>4</v>
      </c>
      <c r="G91" s="475">
        <v>4</v>
      </c>
      <c r="H91" s="494">
        <v>4</v>
      </c>
      <c r="I91" s="494">
        <v>6</v>
      </c>
      <c r="J91" s="489">
        <v>2</v>
      </c>
      <c r="K91" s="496">
        <v>2</v>
      </c>
      <c r="L91" s="489">
        <v>1</v>
      </c>
      <c r="M91" s="497">
        <v>4</v>
      </c>
      <c r="N91" s="498">
        <f t="shared" si="12"/>
        <v>27</v>
      </c>
      <c r="O91" s="499">
        <f t="shared" si="13"/>
        <v>3.375</v>
      </c>
      <c r="P91" s="500">
        <f t="shared" si="14"/>
        <v>0.48851094626379593</v>
      </c>
      <c r="Q91" s="2"/>
      <c r="R91" s="264"/>
      <c r="S91" s="264"/>
    </row>
    <row r="92" spans="1:19" ht="24.95" customHeight="1">
      <c r="A92" s="488" t="s">
        <v>281</v>
      </c>
      <c r="B92" s="493"/>
      <c r="C92" s="494"/>
      <c r="D92" s="495"/>
      <c r="E92" s="494"/>
      <c r="F92" s="494">
        <v>1</v>
      </c>
      <c r="G92" s="475">
        <v>3</v>
      </c>
      <c r="H92" s="494">
        <v>6</v>
      </c>
      <c r="I92" s="494">
        <v>3</v>
      </c>
      <c r="J92" s="489">
        <v>13</v>
      </c>
      <c r="K92" s="496">
        <v>6</v>
      </c>
      <c r="L92" s="489">
        <v>3</v>
      </c>
      <c r="M92" s="497">
        <v>6</v>
      </c>
      <c r="N92" s="498">
        <f t="shared" si="12"/>
        <v>41</v>
      </c>
      <c r="O92" s="499">
        <f t="shared" si="13"/>
        <v>5.125</v>
      </c>
      <c r="P92" s="500">
        <f t="shared" si="14"/>
        <v>0.74181291840057895</v>
      </c>
      <c r="Q92" s="2"/>
      <c r="R92" s="264"/>
      <c r="S92" s="264"/>
    </row>
    <row r="93" spans="1:19" ht="24.95" customHeight="1">
      <c r="A93" s="488" t="s">
        <v>282</v>
      </c>
      <c r="B93" s="493"/>
      <c r="C93" s="494"/>
      <c r="D93" s="495"/>
      <c r="E93" s="494"/>
      <c r="F93" s="494">
        <v>1</v>
      </c>
      <c r="G93" s="475">
        <v>4</v>
      </c>
      <c r="H93" s="494">
        <v>1</v>
      </c>
      <c r="I93" s="494">
        <v>1</v>
      </c>
      <c r="J93" s="489">
        <v>3</v>
      </c>
      <c r="K93" s="496">
        <v>2</v>
      </c>
      <c r="L93" s="489">
        <v>2</v>
      </c>
      <c r="M93" s="497">
        <v>5</v>
      </c>
      <c r="N93" s="498">
        <f t="shared" si="12"/>
        <v>19</v>
      </c>
      <c r="O93" s="499">
        <f t="shared" si="13"/>
        <v>2.375</v>
      </c>
      <c r="P93" s="500">
        <f t="shared" si="14"/>
        <v>0.34376696218563418</v>
      </c>
      <c r="Q93" s="2"/>
      <c r="R93" s="264"/>
      <c r="S93" s="264"/>
    </row>
    <row r="94" spans="1:19" ht="24.95" customHeight="1">
      <c r="A94" s="488" t="s">
        <v>283</v>
      </c>
      <c r="B94" s="493"/>
      <c r="C94" s="494"/>
      <c r="D94" s="495"/>
      <c r="E94" s="494"/>
      <c r="F94" s="494">
        <v>1</v>
      </c>
      <c r="G94" s="475">
        <v>3</v>
      </c>
      <c r="H94" s="494">
        <v>1</v>
      </c>
      <c r="I94" s="494">
        <v>2</v>
      </c>
      <c r="J94" s="489">
        <v>2</v>
      </c>
      <c r="K94" s="496">
        <v>1</v>
      </c>
      <c r="L94" s="489">
        <v>0</v>
      </c>
      <c r="M94" s="497">
        <v>3</v>
      </c>
      <c r="N94" s="498">
        <f t="shared" si="12"/>
        <v>13</v>
      </c>
      <c r="O94" s="499">
        <f t="shared" si="13"/>
        <v>1.625</v>
      </c>
      <c r="P94" s="500">
        <f t="shared" si="14"/>
        <v>0.23520897412701286</v>
      </c>
      <c r="Q94" s="2"/>
      <c r="R94" s="264"/>
      <c r="S94" s="264"/>
    </row>
    <row r="95" spans="1:19" ht="24.95" customHeight="1">
      <c r="A95" s="488" t="s">
        <v>284</v>
      </c>
      <c r="B95" s="493"/>
      <c r="C95" s="494"/>
      <c r="D95" s="495"/>
      <c r="E95" s="494"/>
      <c r="F95" s="494">
        <v>6</v>
      </c>
      <c r="G95" s="475">
        <v>6</v>
      </c>
      <c r="H95" s="494">
        <v>3</v>
      </c>
      <c r="I95" s="494">
        <v>11</v>
      </c>
      <c r="J95" s="489">
        <v>7</v>
      </c>
      <c r="K95" s="496">
        <v>5</v>
      </c>
      <c r="L95" s="489">
        <v>2</v>
      </c>
      <c r="M95" s="497">
        <v>8</v>
      </c>
      <c r="N95" s="498">
        <f t="shared" si="12"/>
        <v>48</v>
      </c>
      <c r="O95" s="499">
        <f t="shared" si="13"/>
        <v>6</v>
      </c>
      <c r="P95" s="500">
        <f t="shared" si="14"/>
        <v>0.86846390446897037</v>
      </c>
      <c r="Q95" s="2"/>
      <c r="R95" s="264"/>
      <c r="S95" s="264"/>
    </row>
    <row r="96" spans="1:19" ht="24.95" customHeight="1">
      <c r="A96" s="488" t="s">
        <v>285</v>
      </c>
      <c r="B96" s="493"/>
      <c r="C96" s="494"/>
      <c r="D96" s="495"/>
      <c r="E96" s="494"/>
      <c r="F96" s="494">
        <v>2</v>
      </c>
      <c r="G96" s="475">
        <v>2</v>
      </c>
      <c r="H96" s="494">
        <v>3</v>
      </c>
      <c r="I96" s="494">
        <v>3</v>
      </c>
      <c r="J96" s="489">
        <v>4</v>
      </c>
      <c r="K96" s="496">
        <v>3</v>
      </c>
      <c r="L96" s="489">
        <v>1</v>
      </c>
      <c r="M96" s="497">
        <v>4</v>
      </c>
      <c r="N96" s="498">
        <f t="shared" si="12"/>
        <v>22</v>
      </c>
      <c r="O96" s="499">
        <f t="shared" si="13"/>
        <v>2.75</v>
      </c>
      <c r="P96" s="500">
        <f t="shared" si="14"/>
        <v>0.39804595621494482</v>
      </c>
      <c r="Q96" s="2"/>
      <c r="R96" s="264"/>
      <c r="S96" s="264"/>
    </row>
    <row r="97" spans="1:34" ht="24.95" customHeight="1">
      <c r="A97" s="488" t="s">
        <v>286</v>
      </c>
      <c r="B97" s="493"/>
      <c r="C97" s="494"/>
      <c r="D97" s="495"/>
      <c r="E97" s="494"/>
      <c r="F97" s="494">
        <v>13</v>
      </c>
      <c r="G97" s="475">
        <v>4</v>
      </c>
      <c r="H97" s="494">
        <v>6</v>
      </c>
      <c r="I97" s="494">
        <v>4</v>
      </c>
      <c r="J97" s="489">
        <v>4</v>
      </c>
      <c r="K97" s="496">
        <v>6</v>
      </c>
      <c r="L97" s="489">
        <v>0</v>
      </c>
      <c r="M97" s="497">
        <v>5</v>
      </c>
      <c r="N97" s="498">
        <f t="shared" si="12"/>
        <v>42</v>
      </c>
      <c r="O97" s="499">
        <f t="shared" si="13"/>
        <v>5.25</v>
      </c>
      <c r="P97" s="500">
        <f t="shared" si="14"/>
        <v>0.75990591641034921</v>
      </c>
      <c r="Q97" s="2"/>
      <c r="R97" s="264"/>
      <c r="S97" s="264"/>
    </row>
    <row r="98" spans="1:34" ht="24.95" customHeight="1">
      <c r="A98" s="619" t="s">
        <v>287</v>
      </c>
      <c r="B98" s="620"/>
      <c r="C98" s="494"/>
      <c r="D98" s="621"/>
      <c r="E98" s="622"/>
      <c r="F98" s="623">
        <v>3</v>
      </c>
      <c r="G98" s="475">
        <v>3</v>
      </c>
      <c r="H98" s="623">
        <v>2</v>
      </c>
      <c r="I98" s="623">
        <v>1</v>
      </c>
      <c r="J98" s="489">
        <v>1</v>
      </c>
      <c r="K98" s="496">
        <v>2</v>
      </c>
      <c r="L98" s="489">
        <v>0</v>
      </c>
      <c r="M98" s="497">
        <v>4</v>
      </c>
      <c r="N98" s="498">
        <f t="shared" si="12"/>
        <v>16</v>
      </c>
      <c r="O98" s="624">
        <f t="shared" si="13"/>
        <v>2</v>
      </c>
      <c r="P98" s="625">
        <f t="shared" si="14"/>
        <v>0.28948796815632349</v>
      </c>
      <c r="Q98" s="482"/>
      <c r="R98" s="264"/>
      <c r="S98" s="264"/>
      <c r="T98" s="2"/>
    </row>
    <row r="99" spans="1:34" ht="24.95" customHeight="1" thickBot="1">
      <c r="A99" s="626" t="s">
        <v>415</v>
      </c>
      <c r="B99" s="879"/>
      <c r="C99" s="627"/>
      <c r="D99" s="880"/>
      <c r="E99" s="628"/>
      <c r="F99" s="628">
        <v>7</v>
      </c>
      <c r="G99" s="794">
        <v>18</v>
      </c>
      <c r="H99" s="628">
        <v>22</v>
      </c>
      <c r="I99" s="628">
        <v>17</v>
      </c>
      <c r="J99" s="629">
        <v>14</v>
      </c>
      <c r="K99" s="630">
        <v>26</v>
      </c>
      <c r="L99" s="629">
        <v>11</v>
      </c>
      <c r="M99" s="631">
        <v>9</v>
      </c>
      <c r="N99" s="632">
        <f t="shared" si="12"/>
        <v>124</v>
      </c>
      <c r="O99" s="633">
        <f t="shared" si="13"/>
        <v>15.5</v>
      </c>
      <c r="P99" s="634">
        <f t="shared" si="14"/>
        <v>2.2435317532115069</v>
      </c>
      <c r="Q99" s="635"/>
      <c r="R99" s="264"/>
      <c r="S99" s="636"/>
      <c r="T99" s="296"/>
      <c r="U99" s="186"/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</row>
    <row r="100" spans="1:34" ht="24.95" customHeight="1" thickBot="1">
      <c r="A100" s="637" t="s">
        <v>329</v>
      </c>
      <c r="B100" s="638"/>
      <c r="C100" s="639"/>
      <c r="D100" s="638"/>
      <c r="E100" s="638"/>
      <c r="F100" s="792">
        <f>SUM(F22:F99)</f>
        <v>636</v>
      </c>
      <c r="G100" s="795">
        <v>706</v>
      </c>
      <c r="H100" s="793">
        <f t="shared" ref="H100:N100" si="15">SUM(H22:H99)</f>
        <v>662</v>
      </c>
      <c r="I100" s="639">
        <f t="shared" si="15"/>
        <v>736</v>
      </c>
      <c r="J100" s="639">
        <f t="shared" si="15"/>
        <v>799</v>
      </c>
      <c r="K100" s="639">
        <f t="shared" si="15"/>
        <v>728</v>
      </c>
      <c r="L100" s="639">
        <f t="shared" si="15"/>
        <v>532</v>
      </c>
      <c r="M100" s="639">
        <f t="shared" si="15"/>
        <v>728</v>
      </c>
      <c r="N100" s="638">
        <f t="shared" si="15"/>
        <v>5527</v>
      </c>
      <c r="O100" s="640">
        <f t="shared" si="13"/>
        <v>690.875</v>
      </c>
      <c r="P100" s="641">
        <f>SUM(P22:P99)</f>
        <v>100.00000000000007</v>
      </c>
      <c r="Q100" s="642"/>
      <c r="R100" s="193"/>
      <c r="S100" s="264"/>
      <c r="T100" s="643"/>
      <c r="U100" s="95"/>
      <c r="V100" s="95"/>
      <c r="W100" s="95"/>
      <c r="X100" s="95"/>
      <c r="Y100" s="95"/>
      <c r="Z100" s="95"/>
      <c r="AA100" s="95"/>
      <c r="AB100" s="95"/>
      <c r="AC100" s="95"/>
      <c r="AD100" s="194"/>
      <c r="AE100" s="194"/>
      <c r="AF100" s="95"/>
      <c r="AG100" s="95"/>
      <c r="AH100" s="182"/>
    </row>
    <row r="101" spans="1:34" s="193" customFormat="1" ht="24.95" customHeight="1">
      <c r="A101" s="799"/>
      <c r="B101" s="799"/>
      <c r="C101" s="807"/>
      <c r="D101" s="807"/>
      <c r="E101" s="799"/>
      <c r="F101" s="808"/>
      <c r="G101" s="808"/>
      <c r="H101" s="808"/>
      <c r="I101" s="809"/>
      <c r="J101" s="808"/>
      <c r="K101" s="808"/>
      <c r="L101" s="808"/>
      <c r="M101" s="810"/>
      <c r="N101" s="811"/>
      <c r="O101" s="807"/>
      <c r="P101" s="807"/>
      <c r="Q101" s="702"/>
      <c r="T101" s="643"/>
      <c r="U101" s="95"/>
      <c r="V101" s="95"/>
      <c r="W101" s="95"/>
      <c r="X101" s="95"/>
      <c r="Y101" s="644"/>
      <c r="Z101" s="644"/>
      <c r="AA101" s="644"/>
      <c r="AB101" s="644"/>
      <c r="AC101" s="644"/>
      <c r="AD101" s="644"/>
      <c r="AE101" s="644"/>
      <c r="AF101" s="644"/>
      <c r="AG101" s="644"/>
      <c r="AH101" s="645"/>
    </row>
    <row r="102" spans="1:34" customFormat="1">
      <c r="A102" s="812"/>
      <c r="B102" s="813"/>
      <c r="C102" s="813"/>
      <c r="D102" s="813"/>
      <c r="E102" s="813"/>
      <c r="F102" s="813"/>
      <c r="G102" s="813"/>
      <c r="H102" s="813"/>
      <c r="I102" s="813"/>
      <c r="J102" s="813"/>
      <c r="K102" s="813"/>
      <c r="L102" s="813"/>
      <c r="M102" s="813"/>
      <c r="N102" s="813"/>
      <c r="O102" s="814"/>
      <c r="P102" s="815"/>
      <c r="Q102" s="642"/>
      <c r="R102" s="703"/>
      <c r="S102" s="644"/>
      <c r="T102" s="182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182"/>
    </row>
    <row r="103" spans="1:34" s="764" customFormat="1">
      <c r="B103" s="765"/>
      <c r="C103" s="765"/>
      <c r="D103" s="765"/>
      <c r="E103" s="766"/>
      <c r="F103" s="766"/>
      <c r="G103" s="766"/>
      <c r="H103" s="766"/>
      <c r="I103" s="766"/>
      <c r="J103" s="766"/>
      <c r="K103" s="766"/>
      <c r="L103" s="766"/>
      <c r="M103" s="766"/>
      <c r="N103" s="767"/>
      <c r="O103" s="768"/>
      <c r="P103" s="769"/>
      <c r="Q103" s="767"/>
      <c r="T103" s="770"/>
      <c r="U103" s="768"/>
      <c r="V103" s="768"/>
      <c r="W103" s="768"/>
      <c r="X103" s="768"/>
      <c r="Y103" s="768"/>
      <c r="Z103" s="768"/>
      <c r="AA103" s="768"/>
      <c r="AB103" s="768"/>
      <c r="AC103" s="768"/>
      <c r="AD103" s="768"/>
      <c r="AE103" s="768"/>
      <c r="AF103" s="768"/>
      <c r="AG103" s="768"/>
      <c r="AH103" s="771"/>
    </row>
    <row r="104" spans="1:34" s="764" customFormat="1">
      <c r="A104" s="772" t="s">
        <v>350</v>
      </c>
      <c r="B104" s="773">
        <v>45261</v>
      </c>
      <c r="C104" s="773">
        <v>45231</v>
      </c>
      <c r="D104" s="774">
        <v>45200</v>
      </c>
      <c r="E104" s="774">
        <v>45170</v>
      </c>
      <c r="F104" s="774">
        <v>45139</v>
      </c>
      <c r="G104" s="774">
        <v>45108</v>
      </c>
      <c r="H104" s="774">
        <v>45078</v>
      </c>
      <c r="I104" s="774">
        <v>45047</v>
      </c>
      <c r="J104" s="774">
        <v>45017</v>
      </c>
      <c r="K104" s="774">
        <v>44986</v>
      </c>
      <c r="L104" s="775">
        <v>44958</v>
      </c>
      <c r="M104" s="774">
        <v>44927</v>
      </c>
      <c r="N104" s="774" t="s">
        <v>5</v>
      </c>
      <c r="O104" s="776"/>
      <c r="P104" s="777"/>
      <c r="Q104" s="767"/>
      <c r="T104" s="770"/>
      <c r="U104" s="768"/>
      <c r="V104" s="768"/>
      <c r="W104" s="768"/>
      <c r="X104" s="768"/>
      <c r="Y104" s="768"/>
      <c r="Z104" s="768"/>
      <c r="AA104" s="768"/>
      <c r="AB104" s="768"/>
      <c r="AC104" s="768"/>
      <c r="AD104" s="768"/>
      <c r="AE104" s="768"/>
      <c r="AF104" s="768"/>
      <c r="AG104" s="768"/>
      <c r="AH104" s="771"/>
    </row>
    <row r="105" spans="1:34" s="764" customFormat="1">
      <c r="A105" s="828" t="s">
        <v>416</v>
      </c>
      <c r="B105" s="829"/>
      <c r="C105" s="829"/>
      <c r="D105" s="830"/>
      <c r="E105" s="829"/>
      <c r="F105" s="829">
        <v>91</v>
      </c>
      <c r="G105" s="829">
        <v>124</v>
      </c>
      <c r="H105" s="829">
        <v>86</v>
      </c>
      <c r="I105" s="829">
        <v>105</v>
      </c>
      <c r="J105" s="779">
        <v>121</v>
      </c>
      <c r="K105" s="779">
        <v>89</v>
      </c>
      <c r="L105" s="779">
        <v>65</v>
      </c>
      <c r="M105" s="779">
        <v>154</v>
      </c>
      <c r="N105" s="778">
        <f t="shared" ref="N105:N114" si="16">SUM(B105:M105)</f>
        <v>835</v>
      </c>
      <c r="O105" s="780">
        <f>N105/$N$115*100</f>
        <v>25.097685602645026</v>
      </c>
      <c r="P105" s="777"/>
      <c r="Q105" s="767"/>
      <c r="T105" s="770"/>
      <c r="U105" s="768"/>
      <c r="V105" s="768"/>
      <c r="W105" s="768"/>
      <c r="X105" s="768"/>
      <c r="Y105" s="768"/>
      <c r="Z105" s="768"/>
      <c r="AA105" s="768"/>
      <c r="AB105" s="768"/>
      <c r="AC105" s="768"/>
      <c r="AD105" s="768"/>
      <c r="AE105" s="768"/>
      <c r="AF105" s="768"/>
      <c r="AG105" s="768"/>
      <c r="AH105" s="771"/>
    </row>
    <row r="106" spans="1:34" s="764" customFormat="1">
      <c r="A106" s="828" t="s">
        <v>417</v>
      </c>
      <c r="B106" s="829"/>
      <c r="C106" s="829"/>
      <c r="D106" s="830"/>
      <c r="E106" s="829"/>
      <c r="F106" s="829">
        <v>66</v>
      </c>
      <c r="G106" s="829">
        <v>54</v>
      </c>
      <c r="H106" s="829">
        <v>54</v>
      </c>
      <c r="I106" s="829">
        <v>71</v>
      </c>
      <c r="J106" s="779">
        <v>74</v>
      </c>
      <c r="K106" s="779">
        <v>53</v>
      </c>
      <c r="L106" s="779">
        <v>45</v>
      </c>
      <c r="M106" s="779">
        <v>55</v>
      </c>
      <c r="N106" s="778">
        <f t="shared" si="16"/>
        <v>472</v>
      </c>
      <c r="O106" s="780">
        <f t="shared" ref="O106:O114" si="17">N106/$N$115*100</f>
        <v>14.186955214908325</v>
      </c>
      <c r="P106" s="777"/>
      <c r="Q106" s="767"/>
      <c r="T106" s="770"/>
      <c r="U106" s="768"/>
      <c r="V106" s="768"/>
      <c r="W106" s="768"/>
      <c r="X106" s="768"/>
      <c r="Y106" s="768"/>
      <c r="Z106" s="768"/>
      <c r="AA106" s="768"/>
      <c r="AB106" s="768"/>
      <c r="AC106" s="768"/>
      <c r="AD106" s="768"/>
      <c r="AE106" s="768"/>
      <c r="AF106" s="768"/>
      <c r="AG106" s="768"/>
      <c r="AH106" s="771"/>
    </row>
    <row r="107" spans="1:34" s="764" customFormat="1">
      <c r="A107" s="828" t="s">
        <v>418</v>
      </c>
      <c r="B107" s="829"/>
      <c r="C107" s="829"/>
      <c r="D107" s="830"/>
      <c r="E107" s="829"/>
      <c r="F107" s="829">
        <v>45</v>
      </c>
      <c r="G107" s="829">
        <v>60</v>
      </c>
      <c r="H107" s="829">
        <v>38</v>
      </c>
      <c r="I107" s="829">
        <v>47</v>
      </c>
      <c r="J107" s="779">
        <v>43</v>
      </c>
      <c r="K107" s="779">
        <v>79</v>
      </c>
      <c r="L107" s="779">
        <v>56</v>
      </c>
      <c r="M107" s="779">
        <v>38</v>
      </c>
      <c r="N107" s="778">
        <f t="shared" si="16"/>
        <v>406</v>
      </c>
      <c r="O107" s="780">
        <f t="shared" si="17"/>
        <v>12.203186053501653</v>
      </c>
      <c r="P107" s="777"/>
      <c r="Q107" s="767"/>
      <c r="T107" s="770"/>
      <c r="U107" s="768"/>
      <c r="V107" s="768"/>
      <c r="W107" s="768"/>
      <c r="X107" s="768"/>
      <c r="Y107" s="768"/>
      <c r="Z107" s="768"/>
      <c r="AA107" s="768"/>
      <c r="AB107" s="768"/>
      <c r="AC107" s="768"/>
      <c r="AD107" s="768"/>
      <c r="AE107" s="768"/>
      <c r="AF107" s="768"/>
      <c r="AG107" s="768"/>
      <c r="AH107" s="771"/>
    </row>
    <row r="108" spans="1:34" s="764" customFormat="1">
      <c r="A108" s="828" t="s">
        <v>419</v>
      </c>
      <c r="B108" s="829"/>
      <c r="C108" s="829"/>
      <c r="D108" s="830"/>
      <c r="E108" s="829"/>
      <c r="F108" s="829">
        <v>38</v>
      </c>
      <c r="G108" s="829">
        <v>54</v>
      </c>
      <c r="H108" s="829">
        <v>54</v>
      </c>
      <c r="I108" s="829">
        <v>55</v>
      </c>
      <c r="J108" s="779">
        <v>50</v>
      </c>
      <c r="K108" s="779">
        <v>34</v>
      </c>
      <c r="L108" s="779">
        <v>52</v>
      </c>
      <c r="M108" s="779">
        <v>52</v>
      </c>
      <c r="N108" s="778">
        <f t="shared" si="16"/>
        <v>389</v>
      </c>
      <c r="O108" s="780">
        <f t="shared" si="17"/>
        <v>11.692215208896904</v>
      </c>
      <c r="P108" s="777"/>
      <c r="Q108" s="767"/>
      <c r="T108" s="781"/>
    </row>
    <row r="109" spans="1:34" s="764" customFormat="1">
      <c r="A109" s="828" t="s">
        <v>420</v>
      </c>
      <c r="B109" s="829"/>
      <c r="C109" s="829"/>
      <c r="D109" s="830"/>
      <c r="E109" s="829"/>
      <c r="F109" s="829">
        <v>43</v>
      </c>
      <c r="G109" s="829">
        <v>32</v>
      </c>
      <c r="H109" s="829">
        <v>45</v>
      </c>
      <c r="I109" s="829">
        <v>42</v>
      </c>
      <c r="J109" s="779">
        <v>37</v>
      </c>
      <c r="K109" s="779">
        <v>66</v>
      </c>
      <c r="L109" s="779">
        <v>40</v>
      </c>
      <c r="M109" s="779">
        <v>46</v>
      </c>
      <c r="N109" s="778">
        <f t="shared" si="16"/>
        <v>351</v>
      </c>
      <c r="O109" s="780">
        <f t="shared" si="17"/>
        <v>10.550045085662759</v>
      </c>
      <c r="P109" s="777"/>
      <c r="Q109" s="767"/>
      <c r="T109" s="781"/>
    </row>
    <row r="110" spans="1:34" s="764" customFormat="1">
      <c r="A110" s="828" t="s">
        <v>421</v>
      </c>
      <c r="B110" s="829"/>
      <c r="C110" s="829"/>
      <c r="D110" s="830"/>
      <c r="E110" s="829"/>
      <c r="F110" s="829">
        <v>39</v>
      </c>
      <c r="G110" s="829">
        <v>33</v>
      </c>
      <c r="H110" s="829">
        <v>31</v>
      </c>
      <c r="I110" s="829">
        <v>34</v>
      </c>
      <c r="J110" s="779">
        <v>37</v>
      </c>
      <c r="K110" s="779">
        <v>32</v>
      </c>
      <c r="L110" s="779">
        <v>24</v>
      </c>
      <c r="M110" s="779">
        <v>30</v>
      </c>
      <c r="N110" s="778">
        <f t="shared" si="16"/>
        <v>260</v>
      </c>
      <c r="O110" s="780">
        <f t="shared" si="17"/>
        <v>7.8148482116020439</v>
      </c>
      <c r="P110" s="777"/>
      <c r="Q110" s="767"/>
      <c r="T110" s="781"/>
    </row>
    <row r="111" spans="1:34" s="764" customFormat="1">
      <c r="A111" s="828" t="s">
        <v>422</v>
      </c>
      <c r="B111" s="829"/>
      <c r="C111" s="829"/>
      <c r="D111" s="830"/>
      <c r="E111" s="829"/>
      <c r="F111" s="829">
        <v>18</v>
      </c>
      <c r="G111" s="829">
        <v>19</v>
      </c>
      <c r="H111" s="829">
        <v>18</v>
      </c>
      <c r="I111" s="829">
        <v>32</v>
      </c>
      <c r="J111" s="779">
        <v>26</v>
      </c>
      <c r="K111" s="779">
        <v>22</v>
      </c>
      <c r="L111" s="779">
        <v>17</v>
      </c>
      <c r="M111" s="779">
        <v>20</v>
      </c>
      <c r="N111" s="778">
        <f t="shared" si="16"/>
        <v>172</v>
      </c>
      <c r="O111" s="780">
        <f t="shared" si="17"/>
        <v>5.1698226630598132</v>
      </c>
      <c r="P111" s="777"/>
      <c r="Q111" s="767"/>
      <c r="T111" s="781"/>
    </row>
    <row r="112" spans="1:34" s="764" customFormat="1">
      <c r="A112" s="828" t="s">
        <v>449</v>
      </c>
      <c r="B112" s="829"/>
      <c r="C112" s="829"/>
      <c r="D112" s="830"/>
      <c r="E112" s="829"/>
      <c r="F112" s="829">
        <v>25</v>
      </c>
      <c r="G112" s="829">
        <v>38</v>
      </c>
      <c r="H112" s="829">
        <v>18</v>
      </c>
      <c r="I112" s="829">
        <v>20</v>
      </c>
      <c r="J112" s="779">
        <v>14</v>
      </c>
      <c r="K112" s="779">
        <v>14</v>
      </c>
      <c r="L112" s="779">
        <v>15</v>
      </c>
      <c r="M112" s="779">
        <v>15</v>
      </c>
      <c r="N112" s="778">
        <f t="shared" si="16"/>
        <v>159</v>
      </c>
      <c r="O112" s="780">
        <f t="shared" si="17"/>
        <v>4.7790802524797114</v>
      </c>
      <c r="P112" s="777"/>
      <c r="Q112" s="767"/>
      <c r="T112" s="781"/>
    </row>
    <row r="113" spans="1:20" s="764" customFormat="1">
      <c r="A113" s="832" t="s">
        <v>423</v>
      </c>
      <c r="B113" s="829"/>
      <c r="C113" s="829"/>
      <c r="D113" s="830"/>
      <c r="E113" s="829"/>
      <c r="F113" s="829">
        <v>20</v>
      </c>
      <c r="G113" s="778">
        <v>13</v>
      </c>
      <c r="H113" s="778">
        <v>12</v>
      </c>
      <c r="I113" s="778">
        <v>19</v>
      </c>
      <c r="J113" s="779">
        <v>45</v>
      </c>
      <c r="K113" s="779">
        <v>14</v>
      </c>
      <c r="L113" s="779">
        <v>10</v>
      </c>
      <c r="M113" s="779">
        <v>9</v>
      </c>
      <c r="N113" s="778">
        <f t="shared" si="16"/>
        <v>142</v>
      </c>
      <c r="O113" s="780">
        <f t="shared" si="17"/>
        <v>4.2681094078749631</v>
      </c>
      <c r="P113" s="777"/>
      <c r="Q113" s="767"/>
      <c r="T113" s="781"/>
    </row>
    <row r="114" spans="1:20" s="764" customFormat="1">
      <c r="A114" s="828" t="s">
        <v>424</v>
      </c>
      <c r="B114" s="829"/>
      <c r="C114" s="829"/>
      <c r="D114" s="830"/>
      <c r="E114" s="829"/>
      <c r="F114" s="829">
        <v>15</v>
      </c>
      <c r="G114" s="778">
        <v>14</v>
      </c>
      <c r="H114" s="778">
        <v>20</v>
      </c>
      <c r="I114" s="778">
        <v>19</v>
      </c>
      <c r="J114" s="779">
        <v>21</v>
      </c>
      <c r="K114" s="779">
        <v>23</v>
      </c>
      <c r="L114" s="779">
        <v>17</v>
      </c>
      <c r="M114" s="779">
        <v>12</v>
      </c>
      <c r="N114" s="778">
        <f t="shared" si="16"/>
        <v>141</v>
      </c>
      <c r="O114" s="780">
        <f t="shared" si="17"/>
        <v>4.2380522993688015</v>
      </c>
      <c r="P114" s="777"/>
      <c r="Q114" s="769"/>
      <c r="T114" s="781"/>
    </row>
    <row r="115" spans="1:20" s="764" customFormat="1">
      <c r="A115" s="772"/>
      <c r="B115" s="782"/>
      <c r="C115" s="783"/>
      <c r="D115" s="784"/>
      <c r="E115" s="782"/>
      <c r="F115" s="785"/>
      <c r="G115" s="785"/>
      <c r="H115" s="785"/>
      <c r="I115" s="786"/>
      <c r="J115" s="785"/>
      <c r="K115" s="785"/>
      <c r="L115" s="787"/>
      <c r="M115" s="787"/>
      <c r="N115" s="785">
        <f>SUM(N105:N114)</f>
        <v>3327</v>
      </c>
      <c r="O115" s="776"/>
      <c r="P115" s="777"/>
      <c r="Q115" s="769"/>
    </row>
    <row r="116" spans="1:20" s="764" customFormat="1">
      <c r="A116" s="787"/>
      <c r="B116" s="782"/>
      <c r="C116" s="783"/>
      <c r="D116" s="784"/>
      <c r="E116" s="782"/>
      <c r="F116" s="785"/>
      <c r="G116" s="785"/>
      <c r="H116" s="785"/>
      <c r="I116" s="786"/>
      <c r="J116" s="785"/>
      <c r="K116" s="785"/>
      <c r="L116" s="787"/>
      <c r="M116" s="787"/>
      <c r="N116" s="785"/>
      <c r="O116" s="776"/>
      <c r="P116" s="777"/>
      <c r="Q116" s="769"/>
    </row>
    <row r="117" spans="1:20" s="764" customFormat="1" ht="23.25">
      <c r="A117" s="828" t="s">
        <v>397</v>
      </c>
      <c r="B117" s="829"/>
      <c r="C117" s="829"/>
      <c r="D117" s="830"/>
      <c r="E117" s="829"/>
      <c r="F117" s="829">
        <v>91</v>
      </c>
      <c r="G117" s="778">
        <v>124</v>
      </c>
      <c r="H117" s="778">
        <v>86</v>
      </c>
      <c r="I117" s="778">
        <v>105</v>
      </c>
      <c r="J117" s="779">
        <v>121</v>
      </c>
      <c r="K117" s="779">
        <v>89</v>
      </c>
      <c r="L117" s="779">
        <v>65</v>
      </c>
      <c r="M117" s="779">
        <v>154</v>
      </c>
      <c r="N117" s="829">
        <f t="shared" ref="N117:N148" si="18">SUM(B117:M117)</f>
        <v>835</v>
      </c>
      <c r="O117" s="776"/>
      <c r="P117" s="777"/>
      <c r="Q117" s="769"/>
    </row>
    <row r="118" spans="1:20" s="764" customFormat="1" ht="23.25">
      <c r="A118" s="828" t="s">
        <v>355</v>
      </c>
      <c r="B118" s="829"/>
      <c r="C118" s="829"/>
      <c r="D118" s="830"/>
      <c r="E118" s="829"/>
      <c r="F118" s="829">
        <v>66</v>
      </c>
      <c r="G118" s="778">
        <v>54</v>
      </c>
      <c r="H118" s="778">
        <v>54</v>
      </c>
      <c r="I118" s="778">
        <v>71</v>
      </c>
      <c r="J118" s="779">
        <v>74</v>
      </c>
      <c r="K118" s="779">
        <v>53</v>
      </c>
      <c r="L118" s="779">
        <v>45</v>
      </c>
      <c r="M118" s="779">
        <v>55</v>
      </c>
      <c r="N118" s="829">
        <f t="shared" si="18"/>
        <v>472</v>
      </c>
      <c r="O118" s="784"/>
      <c r="P118" s="788"/>
      <c r="Q118" s="769"/>
    </row>
    <row r="119" spans="1:20" s="764" customFormat="1" ht="23.25">
      <c r="A119" s="828" t="s">
        <v>392</v>
      </c>
      <c r="B119" s="829"/>
      <c r="C119" s="829"/>
      <c r="D119" s="830"/>
      <c r="E119" s="829"/>
      <c r="F119" s="829">
        <v>45</v>
      </c>
      <c r="G119" s="778">
        <v>60</v>
      </c>
      <c r="H119" s="778">
        <v>38</v>
      </c>
      <c r="I119" s="778">
        <v>47</v>
      </c>
      <c r="J119" s="779">
        <v>43</v>
      </c>
      <c r="K119" s="779">
        <v>79</v>
      </c>
      <c r="L119" s="779">
        <v>56</v>
      </c>
      <c r="M119" s="779">
        <v>38</v>
      </c>
      <c r="N119" s="829">
        <f t="shared" si="18"/>
        <v>406</v>
      </c>
      <c r="O119" s="769"/>
      <c r="P119" s="769"/>
      <c r="Q119" s="769"/>
    </row>
    <row r="120" spans="1:20" s="764" customFormat="1" ht="23.25">
      <c r="A120" s="828" t="s">
        <v>371</v>
      </c>
      <c r="B120" s="829"/>
      <c r="C120" s="829"/>
      <c r="D120" s="830"/>
      <c r="E120" s="829"/>
      <c r="F120" s="829">
        <v>38</v>
      </c>
      <c r="G120" s="778">
        <v>54</v>
      </c>
      <c r="H120" s="778">
        <v>54</v>
      </c>
      <c r="I120" s="778">
        <v>55</v>
      </c>
      <c r="J120" s="779">
        <v>50</v>
      </c>
      <c r="K120" s="779">
        <v>34</v>
      </c>
      <c r="L120" s="779">
        <v>52</v>
      </c>
      <c r="M120" s="779">
        <v>52</v>
      </c>
      <c r="N120" s="829">
        <f t="shared" si="18"/>
        <v>389</v>
      </c>
      <c r="O120" s="769"/>
      <c r="P120" s="769"/>
      <c r="Q120" s="769"/>
    </row>
    <row r="121" spans="1:20" s="764" customFormat="1" ht="23.25">
      <c r="A121" s="828" t="s">
        <v>380</v>
      </c>
      <c r="B121" s="829"/>
      <c r="C121" s="829"/>
      <c r="D121" s="830"/>
      <c r="E121" s="829"/>
      <c r="F121" s="829">
        <v>43</v>
      </c>
      <c r="G121" s="778">
        <v>32</v>
      </c>
      <c r="H121" s="778">
        <v>45</v>
      </c>
      <c r="I121" s="778">
        <v>42</v>
      </c>
      <c r="J121" s="779">
        <v>37</v>
      </c>
      <c r="K121" s="779">
        <v>66</v>
      </c>
      <c r="L121" s="779">
        <v>40</v>
      </c>
      <c r="M121" s="779">
        <v>46</v>
      </c>
      <c r="N121" s="829">
        <f t="shared" si="18"/>
        <v>351</v>
      </c>
      <c r="O121" s="769"/>
      <c r="P121" s="769"/>
      <c r="Q121" s="769"/>
    </row>
    <row r="122" spans="1:20" s="764" customFormat="1" ht="23.25">
      <c r="A122" s="828" t="s">
        <v>399</v>
      </c>
      <c r="B122" s="829"/>
      <c r="C122" s="829"/>
      <c r="D122" s="830"/>
      <c r="E122" s="829"/>
      <c r="F122" s="829">
        <v>39</v>
      </c>
      <c r="G122" s="778">
        <v>33</v>
      </c>
      <c r="H122" s="778">
        <v>31</v>
      </c>
      <c r="I122" s="778">
        <v>34</v>
      </c>
      <c r="J122" s="779">
        <v>37</v>
      </c>
      <c r="K122" s="779">
        <v>32</v>
      </c>
      <c r="L122" s="779">
        <v>24</v>
      </c>
      <c r="M122" s="779">
        <v>30</v>
      </c>
      <c r="N122" s="829">
        <f t="shared" si="18"/>
        <v>260</v>
      </c>
      <c r="O122" s="769"/>
      <c r="P122" s="769"/>
      <c r="Q122" s="769"/>
    </row>
    <row r="123" spans="1:20" s="764" customFormat="1" ht="23.25">
      <c r="A123" s="828" t="s">
        <v>400</v>
      </c>
      <c r="B123" s="829"/>
      <c r="C123" s="829"/>
      <c r="D123" s="830"/>
      <c r="E123" s="829"/>
      <c r="F123" s="829">
        <v>18</v>
      </c>
      <c r="G123" s="778">
        <v>19</v>
      </c>
      <c r="H123" s="778">
        <v>18</v>
      </c>
      <c r="I123" s="778">
        <v>32</v>
      </c>
      <c r="J123" s="779">
        <v>26</v>
      </c>
      <c r="K123" s="779">
        <v>22</v>
      </c>
      <c r="L123" s="779">
        <v>17</v>
      </c>
      <c r="M123" s="779">
        <v>20</v>
      </c>
      <c r="N123" s="829">
        <f t="shared" si="18"/>
        <v>172</v>
      </c>
      <c r="O123" s="769"/>
      <c r="P123" s="769"/>
      <c r="Q123" s="769"/>
    </row>
    <row r="124" spans="1:20" s="764" customFormat="1" ht="23.25">
      <c r="A124" s="828" t="s">
        <v>387</v>
      </c>
      <c r="B124" s="829"/>
      <c r="C124" s="829"/>
      <c r="D124" s="830"/>
      <c r="E124" s="829"/>
      <c r="F124" s="829">
        <v>25</v>
      </c>
      <c r="G124" s="778">
        <v>38</v>
      </c>
      <c r="H124" s="778">
        <v>18</v>
      </c>
      <c r="I124" s="778">
        <v>20</v>
      </c>
      <c r="J124" s="779">
        <v>14</v>
      </c>
      <c r="K124" s="779">
        <v>14</v>
      </c>
      <c r="L124" s="779">
        <v>15</v>
      </c>
      <c r="M124" s="779">
        <v>15</v>
      </c>
      <c r="N124" s="829">
        <f t="shared" si="18"/>
        <v>159</v>
      </c>
      <c r="O124" s="769"/>
      <c r="P124" s="769"/>
      <c r="Q124" s="769"/>
    </row>
    <row r="125" spans="1:20" s="764" customFormat="1" ht="33.75">
      <c r="A125" s="832" t="s">
        <v>386</v>
      </c>
      <c r="B125" s="829"/>
      <c r="C125" s="829"/>
      <c r="D125" s="830"/>
      <c r="E125" s="829"/>
      <c r="F125" s="829">
        <v>20</v>
      </c>
      <c r="G125" s="778">
        <v>13</v>
      </c>
      <c r="H125" s="778">
        <v>12</v>
      </c>
      <c r="I125" s="778">
        <v>19</v>
      </c>
      <c r="J125" s="779">
        <v>45</v>
      </c>
      <c r="K125" s="779">
        <v>14</v>
      </c>
      <c r="L125" s="779">
        <v>10</v>
      </c>
      <c r="M125" s="779">
        <v>9</v>
      </c>
      <c r="N125" s="829">
        <f t="shared" si="18"/>
        <v>142</v>
      </c>
      <c r="O125" s="769"/>
      <c r="P125" s="769"/>
      <c r="Q125" s="769"/>
    </row>
    <row r="126" spans="1:20" s="764" customFormat="1" ht="23.25">
      <c r="A126" s="828" t="s">
        <v>374</v>
      </c>
      <c r="B126" s="829"/>
      <c r="C126" s="829"/>
      <c r="D126" s="830"/>
      <c r="E126" s="829"/>
      <c r="F126" s="829">
        <v>15</v>
      </c>
      <c r="G126" s="778">
        <v>14</v>
      </c>
      <c r="H126" s="778">
        <v>20</v>
      </c>
      <c r="I126" s="778">
        <v>19</v>
      </c>
      <c r="J126" s="779">
        <v>21</v>
      </c>
      <c r="K126" s="779">
        <v>23</v>
      </c>
      <c r="L126" s="779">
        <v>17</v>
      </c>
      <c r="M126" s="779">
        <v>12</v>
      </c>
      <c r="N126" s="829">
        <f t="shared" si="18"/>
        <v>141</v>
      </c>
      <c r="O126" s="769"/>
      <c r="P126" s="769"/>
      <c r="Q126" s="769"/>
    </row>
    <row r="127" spans="1:20" s="764" customFormat="1" ht="23.25">
      <c r="A127" s="828" t="s">
        <v>402</v>
      </c>
      <c r="B127" s="829"/>
      <c r="C127" s="829"/>
      <c r="D127" s="830"/>
      <c r="E127" s="829"/>
      <c r="F127" s="829">
        <v>18</v>
      </c>
      <c r="G127" s="778">
        <v>9</v>
      </c>
      <c r="H127" s="778">
        <v>24</v>
      </c>
      <c r="I127" s="778">
        <v>10</v>
      </c>
      <c r="J127" s="779">
        <v>20</v>
      </c>
      <c r="K127" s="779">
        <v>23</v>
      </c>
      <c r="L127" s="779">
        <v>14</v>
      </c>
      <c r="M127" s="779">
        <v>20</v>
      </c>
      <c r="N127" s="829">
        <f t="shared" si="18"/>
        <v>138</v>
      </c>
      <c r="O127" s="769"/>
      <c r="P127" s="769"/>
      <c r="Q127" s="769"/>
    </row>
    <row r="128" spans="1:20" s="764" customFormat="1" ht="22.5">
      <c r="A128" s="831" t="s">
        <v>415</v>
      </c>
      <c r="B128" s="833"/>
      <c r="C128" s="829"/>
      <c r="D128" s="834"/>
      <c r="E128" s="833"/>
      <c r="F128" s="833">
        <v>7</v>
      </c>
      <c r="G128" s="778">
        <v>18</v>
      </c>
      <c r="H128" s="778">
        <v>22</v>
      </c>
      <c r="I128" s="778">
        <v>17</v>
      </c>
      <c r="J128" s="779">
        <v>14</v>
      </c>
      <c r="K128" s="779">
        <v>26</v>
      </c>
      <c r="L128" s="779">
        <v>11</v>
      </c>
      <c r="M128" s="779">
        <v>9</v>
      </c>
      <c r="N128" s="829">
        <f t="shared" si="18"/>
        <v>124</v>
      </c>
      <c r="O128" s="769"/>
      <c r="P128" s="769"/>
      <c r="Q128" s="769"/>
    </row>
    <row r="129" spans="1:17" s="764" customFormat="1" ht="23.25">
      <c r="A129" s="828" t="s">
        <v>375</v>
      </c>
      <c r="B129" s="829"/>
      <c r="C129" s="829"/>
      <c r="D129" s="830"/>
      <c r="E129" s="829"/>
      <c r="F129" s="829">
        <v>24</v>
      </c>
      <c r="G129" s="778">
        <v>12</v>
      </c>
      <c r="H129" s="778">
        <v>9</v>
      </c>
      <c r="I129" s="778">
        <v>8</v>
      </c>
      <c r="J129" s="779">
        <v>22</v>
      </c>
      <c r="K129" s="779">
        <v>17</v>
      </c>
      <c r="L129" s="779">
        <v>8</v>
      </c>
      <c r="M129" s="779">
        <v>14</v>
      </c>
      <c r="N129" s="829">
        <f t="shared" si="18"/>
        <v>114</v>
      </c>
      <c r="O129" s="769"/>
      <c r="P129" s="769"/>
      <c r="Q129" s="769"/>
    </row>
    <row r="130" spans="1:17" s="764" customFormat="1" ht="23.25">
      <c r="A130" s="828" t="s">
        <v>358</v>
      </c>
      <c r="B130" s="829"/>
      <c r="C130" s="829"/>
      <c r="D130" s="830"/>
      <c r="E130" s="829"/>
      <c r="F130" s="829">
        <v>10</v>
      </c>
      <c r="G130" s="778">
        <v>14</v>
      </c>
      <c r="H130" s="778">
        <v>20</v>
      </c>
      <c r="I130" s="778">
        <v>14</v>
      </c>
      <c r="J130" s="779">
        <v>12</v>
      </c>
      <c r="K130" s="779">
        <v>18</v>
      </c>
      <c r="L130" s="779">
        <v>13</v>
      </c>
      <c r="M130" s="779">
        <v>12</v>
      </c>
      <c r="N130" s="829">
        <f t="shared" si="18"/>
        <v>113</v>
      </c>
      <c r="O130" s="769"/>
      <c r="P130" s="769"/>
      <c r="Q130" s="769"/>
    </row>
    <row r="131" spans="1:17" s="764" customFormat="1" ht="34.5">
      <c r="A131" s="835" t="s">
        <v>406</v>
      </c>
      <c r="B131" s="829"/>
      <c r="C131" s="829"/>
      <c r="D131" s="830"/>
      <c r="E131" s="829"/>
      <c r="F131" s="829">
        <v>9</v>
      </c>
      <c r="G131" s="778">
        <v>14</v>
      </c>
      <c r="H131" s="778">
        <v>20</v>
      </c>
      <c r="I131" s="778">
        <v>16</v>
      </c>
      <c r="J131" s="779">
        <v>12</v>
      </c>
      <c r="K131" s="779">
        <v>9</v>
      </c>
      <c r="L131" s="779">
        <v>9</v>
      </c>
      <c r="M131" s="779">
        <v>3</v>
      </c>
      <c r="N131" s="829">
        <f t="shared" si="18"/>
        <v>92</v>
      </c>
      <c r="O131" s="769"/>
      <c r="P131" s="769"/>
      <c r="Q131" s="769"/>
    </row>
    <row r="132" spans="1:17" s="764" customFormat="1" ht="23.25">
      <c r="A132" s="828" t="s">
        <v>384</v>
      </c>
      <c r="B132" s="829"/>
      <c r="C132" s="829"/>
      <c r="D132" s="830"/>
      <c r="E132" s="829"/>
      <c r="F132" s="829">
        <v>9</v>
      </c>
      <c r="G132" s="778">
        <v>4</v>
      </c>
      <c r="H132" s="778">
        <v>11</v>
      </c>
      <c r="I132" s="778">
        <v>16</v>
      </c>
      <c r="J132" s="779">
        <v>17</v>
      </c>
      <c r="K132" s="779">
        <v>17</v>
      </c>
      <c r="L132" s="779">
        <v>9</v>
      </c>
      <c r="M132" s="779">
        <v>8</v>
      </c>
      <c r="N132" s="829">
        <f t="shared" si="18"/>
        <v>91</v>
      </c>
      <c r="O132" s="769"/>
      <c r="P132" s="769"/>
      <c r="Q132" s="769"/>
    </row>
    <row r="133" spans="1:17" s="764" customFormat="1" ht="23.25">
      <c r="A133" s="828" t="s">
        <v>398</v>
      </c>
      <c r="B133" s="829"/>
      <c r="C133" s="829"/>
      <c r="D133" s="830"/>
      <c r="E133" s="829"/>
      <c r="F133" s="829">
        <v>7</v>
      </c>
      <c r="G133" s="778">
        <v>19</v>
      </c>
      <c r="H133" s="778">
        <v>8</v>
      </c>
      <c r="I133" s="778">
        <v>7</v>
      </c>
      <c r="J133" s="779">
        <v>17</v>
      </c>
      <c r="K133" s="779">
        <v>15</v>
      </c>
      <c r="L133" s="779">
        <v>7</v>
      </c>
      <c r="M133" s="779">
        <v>7</v>
      </c>
      <c r="N133" s="829">
        <f t="shared" si="18"/>
        <v>87</v>
      </c>
      <c r="O133" s="769"/>
      <c r="P133" s="769"/>
      <c r="Q133" s="769"/>
    </row>
    <row r="134" spans="1:17" s="764" customFormat="1" ht="23.25">
      <c r="A134" s="828" t="s">
        <v>367</v>
      </c>
      <c r="B134" s="829"/>
      <c r="C134" s="829"/>
      <c r="D134" s="830"/>
      <c r="E134" s="829"/>
      <c r="F134" s="829">
        <v>11</v>
      </c>
      <c r="G134" s="778">
        <v>10</v>
      </c>
      <c r="H134" s="778">
        <v>6</v>
      </c>
      <c r="I134" s="778">
        <v>12</v>
      </c>
      <c r="J134" s="779">
        <v>8</v>
      </c>
      <c r="K134" s="779">
        <v>9</v>
      </c>
      <c r="L134" s="779">
        <v>12</v>
      </c>
      <c r="M134" s="779">
        <v>7</v>
      </c>
      <c r="N134" s="829">
        <f t="shared" si="18"/>
        <v>75</v>
      </c>
      <c r="O134" s="769"/>
      <c r="P134" s="769"/>
      <c r="Q134" s="769"/>
    </row>
    <row r="135" spans="1:17" s="764" customFormat="1" ht="23.25">
      <c r="A135" s="828" t="s">
        <v>382</v>
      </c>
      <c r="B135" s="829"/>
      <c r="C135" s="829"/>
      <c r="D135" s="830"/>
      <c r="E135" s="829"/>
      <c r="F135" s="829">
        <v>9</v>
      </c>
      <c r="G135" s="778">
        <v>7</v>
      </c>
      <c r="H135" s="778">
        <v>10</v>
      </c>
      <c r="I135" s="778">
        <v>15</v>
      </c>
      <c r="J135" s="779">
        <v>18</v>
      </c>
      <c r="K135" s="779">
        <v>4</v>
      </c>
      <c r="L135" s="779">
        <v>3</v>
      </c>
      <c r="M135" s="779">
        <v>9</v>
      </c>
      <c r="N135" s="829">
        <f t="shared" si="18"/>
        <v>75</v>
      </c>
      <c r="O135" s="769"/>
      <c r="P135" s="769"/>
      <c r="Q135" s="769"/>
    </row>
    <row r="136" spans="1:17" s="764" customFormat="1">
      <c r="A136" s="828" t="s">
        <v>404</v>
      </c>
      <c r="B136" s="829"/>
      <c r="C136" s="829"/>
      <c r="D136" s="830"/>
      <c r="E136" s="829"/>
      <c r="F136" s="829">
        <v>5</v>
      </c>
      <c r="G136" s="778">
        <v>10</v>
      </c>
      <c r="H136" s="778">
        <v>12</v>
      </c>
      <c r="I136" s="778">
        <v>10</v>
      </c>
      <c r="J136" s="779">
        <v>14</v>
      </c>
      <c r="K136" s="779">
        <v>10</v>
      </c>
      <c r="L136" s="779">
        <v>5</v>
      </c>
      <c r="M136" s="779">
        <v>6</v>
      </c>
      <c r="N136" s="829">
        <f t="shared" si="18"/>
        <v>72</v>
      </c>
      <c r="O136" s="769"/>
      <c r="P136" s="769"/>
      <c r="Q136" s="769"/>
    </row>
    <row r="137" spans="1:17" s="764" customFormat="1" ht="23.25">
      <c r="A137" s="828" t="s">
        <v>356</v>
      </c>
      <c r="B137" s="829"/>
      <c r="C137" s="829"/>
      <c r="D137" s="830"/>
      <c r="E137" s="829"/>
      <c r="F137" s="829">
        <v>6</v>
      </c>
      <c r="G137" s="778">
        <v>2</v>
      </c>
      <c r="H137" s="778">
        <v>4</v>
      </c>
      <c r="I137" s="778">
        <v>13</v>
      </c>
      <c r="J137" s="779">
        <v>11</v>
      </c>
      <c r="K137" s="779">
        <v>7</v>
      </c>
      <c r="L137" s="779">
        <v>5</v>
      </c>
      <c r="M137" s="779">
        <v>10</v>
      </c>
      <c r="N137" s="829">
        <f t="shared" si="18"/>
        <v>58</v>
      </c>
      <c r="O137" s="769"/>
      <c r="P137" s="769"/>
      <c r="Q137" s="769"/>
    </row>
    <row r="138" spans="1:17" s="764" customFormat="1">
      <c r="A138" s="828" t="s">
        <v>257</v>
      </c>
      <c r="B138" s="829"/>
      <c r="C138" s="829"/>
      <c r="D138" s="830"/>
      <c r="E138" s="829"/>
      <c r="F138" s="829">
        <v>10</v>
      </c>
      <c r="G138" s="778">
        <v>6</v>
      </c>
      <c r="H138" s="778">
        <v>4</v>
      </c>
      <c r="I138" s="778">
        <v>8</v>
      </c>
      <c r="J138" s="779">
        <v>4</v>
      </c>
      <c r="K138" s="779">
        <v>8</v>
      </c>
      <c r="L138" s="779">
        <v>6</v>
      </c>
      <c r="M138" s="779">
        <v>5</v>
      </c>
      <c r="N138" s="829">
        <f t="shared" si="18"/>
        <v>51</v>
      </c>
      <c r="O138" s="769"/>
      <c r="P138" s="769"/>
      <c r="Q138" s="769"/>
    </row>
    <row r="139" spans="1:17" s="764" customFormat="1">
      <c r="A139" s="828" t="s">
        <v>284</v>
      </c>
      <c r="B139" s="829"/>
      <c r="C139" s="829"/>
      <c r="D139" s="830"/>
      <c r="E139" s="829"/>
      <c r="F139" s="829">
        <v>6</v>
      </c>
      <c r="G139" s="778">
        <v>6</v>
      </c>
      <c r="H139" s="778">
        <v>3</v>
      </c>
      <c r="I139" s="778">
        <v>11</v>
      </c>
      <c r="J139" s="779">
        <v>7</v>
      </c>
      <c r="K139" s="779">
        <v>5</v>
      </c>
      <c r="L139" s="779">
        <v>2</v>
      </c>
      <c r="M139" s="779">
        <v>8</v>
      </c>
      <c r="N139" s="829">
        <f t="shared" si="18"/>
        <v>48</v>
      </c>
      <c r="O139" s="769"/>
      <c r="P139" s="769"/>
      <c r="Q139" s="769"/>
    </row>
    <row r="140" spans="1:17" s="764" customFormat="1" ht="23.25">
      <c r="A140" s="828" t="s">
        <v>393</v>
      </c>
      <c r="B140" s="829"/>
      <c r="C140" s="829"/>
      <c r="D140" s="830"/>
      <c r="E140" s="829"/>
      <c r="F140" s="829">
        <v>5</v>
      </c>
      <c r="G140" s="778">
        <v>5</v>
      </c>
      <c r="H140" s="778">
        <v>3</v>
      </c>
      <c r="I140" s="778">
        <v>9</v>
      </c>
      <c r="J140" s="779">
        <v>5</v>
      </c>
      <c r="K140" s="779">
        <v>7</v>
      </c>
      <c r="L140" s="779">
        <v>5</v>
      </c>
      <c r="M140" s="779">
        <v>7</v>
      </c>
      <c r="N140" s="829">
        <f t="shared" si="18"/>
        <v>46</v>
      </c>
      <c r="O140" s="769"/>
      <c r="P140" s="769"/>
      <c r="Q140" s="769"/>
    </row>
    <row r="141" spans="1:17" s="764" customFormat="1">
      <c r="A141" s="828" t="s">
        <v>286</v>
      </c>
      <c r="B141" s="829"/>
      <c r="C141" s="829"/>
      <c r="D141" s="830"/>
      <c r="E141" s="829"/>
      <c r="F141" s="829">
        <v>13</v>
      </c>
      <c r="G141" s="778">
        <v>4</v>
      </c>
      <c r="H141" s="778">
        <v>6</v>
      </c>
      <c r="I141" s="778">
        <v>4</v>
      </c>
      <c r="J141" s="779">
        <v>4</v>
      </c>
      <c r="K141" s="779">
        <v>6</v>
      </c>
      <c r="L141" s="779">
        <v>0</v>
      </c>
      <c r="M141" s="779">
        <v>5</v>
      </c>
      <c r="N141" s="829">
        <f t="shared" si="18"/>
        <v>42</v>
      </c>
      <c r="O141" s="769"/>
      <c r="P141" s="769"/>
      <c r="Q141" s="769"/>
    </row>
    <row r="142" spans="1:17" s="764" customFormat="1">
      <c r="A142" s="828" t="s">
        <v>281</v>
      </c>
      <c r="B142" s="829"/>
      <c r="C142" s="829"/>
      <c r="D142" s="830"/>
      <c r="E142" s="829"/>
      <c r="F142" s="829">
        <v>1</v>
      </c>
      <c r="G142" s="778">
        <v>3</v>
      </c>
      <c r="H142" s="778">
        <v>6</v>
      </c>
      <c r="I142" s="778">
        <v>3</v>
      </c>
      <c r="J142" s="779">
        <v>13</v>
      </c>
      <c r="K142" s="779">
        <v>6</v>
      </c>
      <c r="L142" s="779">
        <v>3</v>
      </c>
      <c r="M142" s="779">
        <v>6</v>
      </c>
      <c r="N142" s="829">
        <f t="shared" si="18"/>
        <v>41</v>
      </c>
      <c r="O142" s="769"/>
      <c r="P142" s="769"/>
      <c r="Q142" s="769"/>
    </row>
    <row r="143" spans="1:17" s="764" customFormat="1" ht="34.5">
      <c r="A143" s="828" t="s">
        <v>390</v>
      </c>
      <c r="B143" s="829"/>
      <c r="C143" s="829"/>
      <c r="D143" s="830"/>
      <c r="E143" s="829"/>
      <c r="F143" s="829">
        <v>3</v>
      </c>
      <c r="G143" s="778">
        <v>2</v>
      </c>
      <c r="H143" s="778">
        <v>2</v>
      </c>
      <c r="I143" s="778">
        <v>7</v>
      </c>
      <c r="J143" s="779">
        <v>12</v>
      </c>
      <c r="K143" s="779">
        <v>6</v>
      </c>
      <c r="L143" s="779">
        <v>5</v>
      </c>
      <c r="M143" s="779">
        <v>2</v>
      </c>
      <c r="N143" s="829">
        <f t="shared" si="18"/>
        <v>39</v>
      </c>
      <c r="O143" s="769"/>
      <c r="P143" s="769"/>
      <c r="Q143" s="769"/>
    </row>
    <row r="144" spans="1:17" s="764" customFormat="1">
      <c r="A144" s="828" t="s">
        <v>277</v>
      </c>
      <c r="B144" s="829"/>
      <c r="C144" s="829"/>
      <c r="D144" s="830"/>
      <c r="E144" s="829"/>
      <c r="F144" s="829">
        <v>3</v>
      </c>
      <c r="G144" s="778">
        <v>8</v>
      </c>
      <c r="H144" s="778">
        <v>1</v>
      </c>
      <c r="I144" s="778">
        <v>3</v>
      </c>
      <c r="J144" s="779">
        <v>6</v>
      </c>
      <c r="K144" s="779">
        <v>5</v>
      </c>
      <c r="L144" s="779">
        <v>7</v>
      </c>
      <c r="M144" s="779">
        <v>5</v>
      </c>
      <c r="N144" s="829">
        <f t="shared" si="18"/>
        <v>38</v>
      </c>
      <c r="O144" s="769"/>
      <c r="P144" s="769"/>
      <c r="Q144" s="769"/>
    </row>
    <row r="145" spans="1:17" s="764" customFormat="1">
      <c r="A145" s="828" t="s">
        <v>223</v>
      </c>
      <c r="B145" s="829"/>
      <c r="C145" s="829"/>
      <c r="D145" s="830"/>
      <c r="E145" s="829"/>
      <c r="F145" s="829">
        <v>4</v>
      </c>
      <c r="G145" s="778">
        <v>1</v>
      </c>
      <c r="H145" s="778">
        <v>7</v>
      </c>
      <c r="I145" s="778">
        <v>4</v>
      </c>
      <c r="J145" s="779">
        <v>6</v>
      </c>
      <c r="K145" s="779">
        <v>3</v>
      </c>
      <c r="L145" s="779">
        <v>4</v>
      </c>
      <c r="M145" s="779">
        <v>6</v>
      </c>
      <c r="N145" s="829">
        <f t="shared" si="18"/>
        <v>35</v>
      </c>
      <c r="O145" s="769"/>
      <c r="P145" s="769"/>
      <c r="Q145" s="769"/>
    </row>
    <row r="146" spans="1:17" s="764" customFormat="1" ht="23.25">
      <c r="A146" s="828" t="s">
        <v>377</v>
      </c>
      <c r="B146" s="829"/>
      <c r="C146" s="829"/>
      <c r="D146" s="830"/>
      <c r="E146" s="829"/>
      <c r="F146" s="829">
        <v>4</v>
      </c>
      <c r="G146" s="778">
        <v>7</v>
      </c>
      <c r="H146" s="778">
        <v>5</v>
      </c>
      <c r="I146" s="778">
        <v>3</v>
      </c>
      <c r="J146" s="779">
        <v>4</v>
      </c>
      <c r="K146" s="779">
        <v>5</v>
      </c>
      <c r="L146" s="779">
        <v>2</v>
      </c>
      <c r="M146" s="779">
        <v>4</v>
      </c>
      <c r="N146" s="829">
        <f t="shared" si="18"/>
        <v>34</v>
      </c>
      <c r="O146" s="769"/>
      <c r="P146" s="769"/>
      <c r="Q146" s="769"/>
    </row>
    <row r="147" spans="1:17" s="764" customFormat="1" ht="23.25">
      <c r="A147" s="828" t="s">
        <v>365</v>
      </c>
      <c r="B147" s="829"/>
      <c r="C147" s="829"/>
      <c r="D147" s="830"/>
      <c r="E147" s="829"/>
      <c r="F147" s="829">
        <v>2</v>
      </c>
      <c r="G147" s="778">
        <v>1</v>
      </c>
      <c r="H147" s="778">
        <v>4</v>
      </c>
      <c r="I147" s="778">
        <v>4</v>
      </c>
      <c r="J147" s="779">
        <v>5</v>
      </c>
      <c r="K147" s="779">
        <v>4</v>
      </c>
      <c r="L147" s="779">
        <v>3</v>
      </c>
      <c r="M147" s="779">
        <v>5</v>
      </c>
      <c r="N147" s="829">
        <f t="shared" si="18"/>
        <v>28</v>
      </c>
      <c r="O147" s="769"/>
      <c r="P147" s="769"/>
      <c r="Q147" s="769"/>
    </row>
    <row r="148" spans="1:17" s="764" customFormat="1" ht="33.75">
      <c r="A148" s="832" t="s">
        <v>369</v>
      </c>
      <c r="B148" s="829"/>
      <c r="C148" s="829"/>
      <c r="D148" s="830"/>
      <c r="E148" s="829"/>
      <c r="F148" s="829">
        <v>1</v>
      </c>
      <c r="G148" s="778">
        <v>2</v>
      </c>
      <c r="H148" s="778">
        <v>4</v>
      </c>
      <c r="I148" s="778">
        <v>3</v>
      </c>
      <c r="J148" s="779">
        <v>2</v>
      </c>
      <c r="K148" s="779">
        <v>6</v>
      </c>
      <c r="L148" s="779">
        <v>1</v>
      </c>
      <c r="M148" s="779">
        <v>8</v>
      </c>
      <c r="N148" s="829">
        <f t="shared" si="18"/>
        <v>27</v>
      </c>
      <c r="O148" s="769"/>
      <c r="P148" s="769"/>
      <c r="Q148" s="769"/>
    </row>
    <row r="149" spans="1:17" s="764" customFormat="1">
      <c r="A149" s="828" t="s">
        <v>280</v>
      </c>
      <c r="B149" s="829"/>
      <c r="C149" s="829"/>
      <c r="D149" s="830"/>
      <c r="E149" s="829"/>
      <c r="F149" s="829">
        <v>4</v>
      </c>
      <c r="G149" s="778">
        <v>4</v>
      </c>
      <c r="H149" s="778">
        <v>4</v>
      </c>
      <c r="I149" s="778">
        <v>6</v>
      </c>
      <c r="J149" s="779">
        <v>2</v>
      </c>
      <c r="K149" s="779">
        <v>2</v>
      </c>
      <c r="L149" s="779">
        <v>1</v>
      </c>
      <c r="M149" s="779">
        <v>4</v>
      </c>
      <c r="N149" s="829">
        <f t="shared" ref="N149:N180" si="19">SUM(B149:M149)</f>
        <v>27</v>
      </c>
      <c r="O149" s="769"/>
      <c r="P149" s="769"/>
      <c r="Q149" s="769"/>
    </row>
    <row r="150" spans="1:17" s="764" customFormat="1">
      <c r="A150" s="828" t="s">
        <v>273</v>
      </c>
      <c r="B150" s="829"/>
      <c r="C150" s="829"/>
      <c r="D150" s="830"/>
      <c r="E150" s="829"/>
      <c r="F150" s="829">
        <v>4</v>
      </c>
      <c r="G150" s="778">
        <v>3</v>
      </c>
      <c r="H150" s="778">
        <v>1</v>
      </c>
      <c r="I150" s="778">
        <v>3</v>
      </c>
      <c r="J150" s="779">
        <v>3</v>
      </c>
      <c r="K150" s="779">
        <v>5</v>
      </c>
      <c r="L150" s="779">
        <v>4</v>
      </c>
      <c r="M150" s="779">
        <v>3</v>
      </c>
      <c r="N150" s="829">
        <f t="shared" si="19"/>
        <v>26</v>
      </c>
      <c r="O150" s="769"/>
      <c r="P150" s="769"/>
      <c r="Q150" s="769"/>
    </row>
    <row r="151" spans="1:17" s="764" customFormat="1" ht="23.25">
      <c r="A151" s="828" t="s">
        <v>279</v>
      </c>
      <c r="B151" s="829"/>
      <c r="C151" s="829"/>
      <c r="D151" s="830"/>
      <c r="E151" s="829"/>
      <c r="F151" s="829">
        <v>3</v>
      </c>
      <c r="G151" s="778">
        <v>5</v>
      </c>
      <c r="H151" s="778">
        <v>4</v>
      </c>
      <c r="I151" s="778">
        <v>3</v>
      </c>
      <c r="J151" s="779">
        <v>2</v>
      </c>
      <c r="K151" s="779">
        <v>4</v>
      </c>
      <c r="L151" s="779">
        <v>1</v>
      </c>
      <c r="M151" s="779">
        <v>4</v>
      </c>
      <c r="N151" s="829">
        <f t="shared" si="19"/>
        <v>26</v>
      </c>
      <c r="O151" s="769"/>
      <c r="P151" s="769"/>
      <c r="Q151" s="769"/>
    </row>
    <row r="152" spans="1:17" s="764" customFormat="1">
      <c r="A152" s="828" t="s">
        <v>278</v>
      </c>
      <c r="B152" s="829"/>
      <c r="C152" s="829"/>
      <c r="D152" s="830"/>
      <c r="E152" s="829"/>
      <c r="F152" s="829">
        <v>3</v>
      </c>
      <c r="G152" s="778">
        <v>2</v>
      </c>
      <c r="H152" s="778">
        <v>3</v>
      </c>
      <c r="I152" s="778">
        <v>1</v>
      </c>
      <c r="J152" s="779">
        <v>6</v>
      </c>
      <c r="K152" s="779">
        <v>4</v>
      </c>
      <c r="L152" s="779">
        <v>2</v>
      </c>
      <c r="M152" s="779">
        <v>4</v>
      </c>
      <c r="N152" s="829">
        <f t="shared" si="19"/>
        <v>25</v>
      </c>
      <c r="O152" s="769"/>
      <c r="P152" s="769"/>
      <c r="Q152" s="769"/>
    </row>
    <row r="153" spans="1:17" s="764" customFormat="1">
      <c r="A153" s="828" t="s">
        <v>381</v>
      </c>
      <c r="B153" s="829"/>
      <c r="C153" s="829"/>
      <c r="D153" s="830"/>
      <c r="E153" s="829"/>
      <c r="F153" s="829">
        <v>5</v>
      </c>
      <c r="G153" s="778">
        <v>4</v>
      </c>
      <c r="H153" s="778">
        <v>3</v>
      </c>
      <c r="I153" s="778">
        <v>3</v>
      </c>
      <c r="J153" s="779">
        <v>1</v>
      </c>
      <c r="K153" s="779">
        <v>3</v>
      </c>
      <c r="L153" s="779">
        <v>3</v>
      </c>
      <c r="M153" s="779">
        <v>2</v>
      </c>
      <c r="N153" s="829">
        <f t="shared" si="19"/>
        <v>24</v>
      </c>
      <c r="O153" s="769"/>
      <c r="P153" s="769"/>
      <c r="Q153" s="769"/>
    </row>
    <row r="154" spans="1:17" s="764" customFormat="1">
      <c r="A154" s="828" t="s">
        <v>261</v>
      </c>
      <c r="B154" s="829"/>
      <c r="C154" s="829"/>
      <c r="D154" s="830"/>
      <c r="E154" s="829"/>
      <c r="F154" s="829">
        <v>2</v>
      </c>
      <c r="G154" s="778">
        <v>5</v>
      </c>
      <c r="H154" s="778">
        <v>2</v>
      </c>
      <c r="I154" s="778">
        <v>6</v>
      </c>
      <c r="J154" s="779">
        <v>3</v>
      </c>
      <c r="K154" s="779">
        <v>1</v>
      </c>
      <c r="L154" s="779">
        <v>1</v>
      </c>
      <c r="M154" s="779">
        <v>4</v>
      </c>
      <c r="N154" s="829">
        <f t="shared" si="19"/>
        <v>24</v>
      </c>
      <c r="O154" s="769"/>
      <c r="P154" s="769"/>
      <c r="Q154" s="769"/>
    </row>
    <row r="155" spans="1:17" s="764" customFormat="1">
      <c r="A155" s="828" t="s">
        <v>266</v>
      </c>
      <c r="B155" s="829"/>
      <c r="C155" s="829"/>
      <c r="D155" s="830"/>
      <c r="E155" s="829"/>
      <c r="F155" s="829">
        <v>1</v>
      </c>
      <c r="G155" s="778">
        <v>2</v>
      </c>
      <c r="H155" s="778">
        <v>2</v>
      </c>
      <c r="I155" s="778">
        <v>2</v>
      </c>
      <c r="J155" s="779">
        <v>3</v>
      </c>
      <c r="K155" s="779">
        <v>7</v>
      </c>
      <c r="L155" s="779">
        <v>3</v>
      </c>
      <c r="M155" s="779">
        <v>4</v>
      </c>
      <c r="N155" s="829">
        <f t="shared" si="19"/>
        <v>24</v>
      </c>
      <c r="O155" s="769"/>
      <c r="P155" s="769"/>
      <c r="Q155" s="769"/>
    </row>
    <row r="156" spans="1:17" s="764" customFormat="1">
      <c r="A156" s="828" t="s">
        <v>268</v>
      </c>
      <c r="B156" s="829"/>
      <c r="C156" s="829"/>
      <c r="D156" s="830"/>
      <c r="E156" s="829"/>
      <c r="F156" s="829">
        <v>2</v>
      </c>
      <c r="G156" s="778">
        <v>4</v>
      </c>
      <c r="H156" s="778">
        <v>3</v>
      </c>
      <c r="I156" s="778">
        <v>1</v>
      </c>
      <c r="J156" s="779">
        <v>3</v>
      </c>
      <c r="K156" s="779">
        <v>2</v>
      </c>
      <c r="L156" s="779">
        <v>2</v>
      </c>
      <c r="M156" s="779">
        <v>7</v>
      </c>
      <c r="N156" s="829">
        <f t="shared" si="19"/>
        <v>24</v>
      </c>
      <c r="O156" s="769"/>
      <c r="P156" s="769"/>
      <c r="Q156" s="769"/>
    </row>
    <row r="157" spans="1:17" s="764" customFormat="1">
      <c r="A157" s="828" t="s">
        <v>271</v>
      </c>
      <c r="B157" s="829"/>
      <c r="C157" s="829"/>
      <c r="D157" s="830"/>
      <c r="E157" s="829"/>
      <c r="F157" s="829">
        <v>3</v>
      </c>
      <c r="G157" s="778">
        <v>3</v>
      </c>
      <c r="H157" s="778">
        <v>2</v>
      </c>
      <c r="I157" s="778">
        <v>1</v>
      </c>
      <c r="J157" s="779">
        <v>1</v>
      </c>
      <c r="K157" s="779">
        <v>6</v>
      </c>
      <c r="L157" s="779">
        <v>4</v>
      </c>
      <c r="M157" s="779">
        <v>4</v>
      </c>
      <c r="N157" s="829">
        <f t="shared" si="19"/>
        <v>24</v>
      </c>
      <c r="O157" s="769"/>
      <c r="P157" s="769"/>
      <c r="Q157" s="769"/>
    </row>
    <row r="158" spans="1:17" s="764" customFormat="1" ht="34.5">
      <c r="A158" s="828" t="s">
        <v>389</v>
      </c>
      <c r="B158" s="829"/>
      <c r="C158" s="829"/>
      <c r="D158" s="830"/>
      <c r="E158" s="829"/>
      <c r="F158" s="829">
        <v>0</v>
      </c>
      <c r="G158" s="778">
        <v>4</v>
      </c>
      <c r="H158" s="778">
        <v>4</v>
      </c>
      <c r="I158" s="778">
        <v>3</v>
      </c>
      <c r="J158" s="779">
        <v>2</v>
      </c>
      <c r="K158" s="779">
        <v>1</v>
      </c>
      <c r="L158" s="779">
        <v>5</v>
      </c>
      <c r="M158" s="779">
        <v>4</v>
      </c>
      <c r="N158" s="829">
        <f t="shared" si="19"/>
        <v>23</v>
      </c>
      <c r="O158" s="769"/>
      <c r="P158" s="769"/>
      <c r="Q158" s="769"/>
    </row>
    <row r="159" spans="1:17" s="764" customFormat="1">
      <c r="A159" s="828" t="s">
        <v>275</v>
      </c>
      <c r="B159" s="829"/>
      <c r="C159" s="829"/>
      <c r="D159" s="830"/>
      <c r="E159" s="829"/>
      <c r="F159" s="829">
        <v>3</v>
      </c>
      <c r="G159" s="778">
        <v>4</v>
      </c>
      <c r="H159" s="778">
        <v>4</v>
      </c>
      <c r="I159" s="778">
        <v>3</v>
      </c>
      <c r="J159" s="779">
        <v>2</v>
      </c>
      <c r="K159" s="779">
        <v>3</v>
      </c>
      <c r="L159" s="779">
        <v>0</v>
      </c>
      <c r="M159" s="779">
        <v>4</v>
      </c>
      <c r="N159" s="829">
        <f t="shared" si="19"/>
        <v>23</v>
      </c>
      <c r="O159" s="769"/>
      <c r="P159" s="769"/>
      <c r="Q159" s="769"/>
    </row>
    <row r="160" spans="1:17" s="764" customFormat="1" ht="22.5">
      <c r="A160" s="831" t="s">
        <v>364</v>
      </c>
      <c r="B160" s="833"/>
      <c r="C160" s="829"/>
      <c r="D160" s="830"/>
      <c r="E160" s="829"/>
      <c r="F160" s="829">
        <v>1</v>
      </c>
      <c r="G160" s="778">
        <v>0</v>
      </c>
      <c r="H160" s="778">
        <v>6</v>
      </c>
      <c r="I160" s="778">
        <v>4</v>
      </c>
      <c r="J160" s="779">
        <v>5</v>
      </c>
      <c r="K160" s="779">
        <v>3</v>
      </c>
      <c r="L160" s="779">
        <v>2</v>
      </c>
      <c r="M160" s="779">
        <v>1</v>
      </c>
      <c r="N160" s="829">
        <f t="shared" si="19"/>
        <v>22</v>
      </c>
      <c r="O160" s="769"/>
      <c r="P160" s="769"/>
      <c r="Q160" s="769"/>
    </row>
    <row r="161" spans="1:17" s="764" customFormat="1" ht="23.25">
      <c r="A161" s="828" t="s">
        <v>373</v>
      </c>
      <c r="B161" s="829"/>
      <c r="C161" s="829"/>
      <c r="D161" s="830"/>
      <c r="E161" s="829"/>
      <c r="F161" s="829">
        <v>3</v>
      </c>
      <c r="G161" s="778">
        <v>4</v>
      </c>
      <c r="H161" s="778">
        <v>5</v>
      </c>
      <c r="I161" s="778">
        <v>1</v>
      </c>
      <c r="J161" s="779">
        <v>1</v>
      </c>
      <c r="K161" s="779">
        <v>1</v>
      </c>
      <c r="L161" s="779">
        <v>2</v>
      </c>
      <c r="M161" s="779">
        <v>5</v>
      </c>
      <c r="N161" s="829">
        <f t="shared" si="19"/>
        <v>22</v>
      </c>
      <c r="O161" s="769"/>
      <c r="P161" s="769"/>
      <c r="Q161" s="769"/>
    </row>
    <row r="162" spans="1:17" s="764" customFormat="1" ht="23.25">
      <c r="A162" s="828" t="s">
        <v>270</v>
      </c>
      <c r="B162" s="829"/>
      <c r="C162" s="829"/>
      <c r="D162" s="830"/>
      <c r="E162" s="829"/>
      <c r="F162" s="829">
        <v>2</v>
      </c>
      <c r="G162" s="778">
        <v>3</v>
      </c>
      <c r="H162" s="778">
        <v>2</v>
      </c>
      <c r="I162" s="778">
        <v>4</v>
      </c>
      <c r="J162" s="779">
        <v>3</v>
      </c>
      <c r="K162" s="779">
        <v>4</v>
      </c>
      <c r="L162" s="779">
        <v>1</v>
      </c>
      <c r="M162" s="779">
        <v>3</v>
      </c>
      <c r="N162" s="829">
        <f t="shared" si="19"/>
        <v>22</v>
      </c>
      <c r="O162" s="769"/>
      <c r="P162" s="769"/>
      <c r="Q162" s="769"/>
    </row>
    <row r="163" spans="1:17" s="764" customFormat="1" ht="23.25">
      <c r="A163" s="828" t="s">
        <v>285</v>
      </c>
      <c r="B163" s="829"/>
      <c r="C163" s="829"/>
      <c r="D163" s="830"/>
      <c r="E163" s="829"/>
      <c r="F163" s="829">
        <v>2</v>
      </c>
      <c r="G163" s="778">
        <v>2</v>
      </c>
      <c r="H163" s="778">
        <v>3</v>
      </c>
      <c r="I163" s="778">
        <v>3</v>
      </c>
      <c r="J163" s="779">
        <v>4</v>
      </c>
      <c r="K163" s="779">
        <v>3</v>
      </c>
      <c r="L163" s="779">
        <v>1</v>
      </c>
      <c r="M163" s="779">
        <v>4</v>
      </c>
      <c r="N163" s="829">
        <f t="shared" si="19"/>
        <v>22</v>
      </c>
      <c r="O163" s="769"/>
      <c r="P163" s="769"/>
      <c r="Q163" s="769"/>
    </row>
    <row r="164" spans="1:17" s="764" customFormat="1" ht="23.25">
      <c r="A164" s="828" t="s">
        <v>411</v>
      </c>
      <c r="B164" s="829"/>
      <c r="C164" s="829"/>
      <c r="D164" s="830"/>
      <c r="E164" s="829"/>
      <c r="F164" s="829">
        <v>0</v>
      </c>
      <c r="G164" s="778">
        <v>6</v>
      </c>
      <c r="H164" s="778">
        <v>3</v>
      </c>
      <c r="I164" s="778">
        <v>3</v>
      </c>
      <c r="J164" s="779">
        <v>4</v>
      </c>
      <c r="K164" s="779">
        <v>1</v>
      </c>
      <c r="L164" s="779">
        <v>1</v>
      </c>
      <c r="M164" s="779">
        <v>3</v>
      </c>
      <c r="N164" s="829">
        <f t="shared" si="19"/>
        <v>21</v>
      </c>
      <c r="O164" s="769"/>
      <c r="P164" s="769"/>
      <c r="Q164" s="769"/>
    </row>
    <row r="165" spans="1:17" s="764" customFormat="1" ht="23.25">
      <c r="A165" s="835" t="s">
        <v>407</v>
      </c>
      <c r="B165" s="829"/>
      <c r="C165" s="829"/>
      <c r="D165" s="830"/>
      <c r="E165" s="829"/>
      <c r="F165" s="829">
        <v>1</v>
      </c>
      <c r="G165" s="778">
        <v>1</v>
      </c>
      <c r="H165" s="778">
        <v>3</v>
      </c>
      <c r="I165" s="778">
        <v>7</v>
      </c>
      <c r="J165" s="779">
        <v>3</v>
      </c>
      <c r="K165" s="779">
        <v>1</v>
      </c>
      <c r="L165" s="779">
        <v>0</v>
      </c>
      <c r="M165" s="779">
        <v>3</v>
      </c>
      <c r="N165" s="829">
        <f t="shared" si="19"/>
        <v>19</v>
      </c>
      <c r="O165" s="769"/>
      <c r="P165" s="769"/>
      <c r="Q165" s="769"/>
    </row>
    <row r="166" spans="1:17" s="764" customFormat="1">
      <c r="A166" s="836" t="s">
        <v>414</v>
      </c>
      <c r="B166" s="829"/>
      <c r="C166" s="829"/>
      <c r="D166" s="830"/>
      <c r="E166" s="829"/>
      <c r="F166" s="829">
        <v>2</v>
      </c>
      <c r="G166" s="778">
        <v>3</v>
      </c>
      <c r="H166" s="778">
        <v>1</v>
      </c>
      <c r="I166" s="778">
        <v>3</v>
      </c>
      <c r="J166" s="779">
        <v>2</v>
      </c>
      <c r="K166" s="779">
        <v>1</v>
      </c>
      <c r="L166" s="779">
        <v>4</v>
      </c>
      <c r="M166" s="779">
        <v>3</v>
      </c>
      <c r="N166" s="829">
        <f t="shared" si="19"/>
        <v>19</v>
      </c>
      <c r="O166" s="769"/>
      <c r="P166" s="769"/>
      <c r="Q166" s="769"/>
    </row>
    <row r="167" spans="1:17" s="764" customFormat="1" ht="23.25">
      <c r="A167" s="828" t="s">
        <v>282</v>
      </c>
      <c r="B167" s="829"/>
      <c r="C167" s="829"/>
      <c r="D167" s="830"/>
      <c r="E167" s="829"/>
      <c r="F167" s="829">
        <v>1</v>
      </c>
      <c r="G167" s="778">
        <v>4</v>
      </c>
      <c r="H167" s="778">
        <v>1</v>
      </c>
      <c r="I167" s="778">
        <v>1</v>
      </c>
      <c r="J167" s="779">
        <v>3</v>
      </c>
      <c r="K167" s="779">
        <v>2</v>
      </c>
      <c r="L167" s="779">
        <v>2</v>
      </c>
      <c r="M167" s="779">
        <v>5</v>
      </c>
      <c r="N167" s="829">
        <f t="shared" si="19"/>
        <v>19</v>
      </c>
      <c r="O167" s="769"/>
      <c r="P167" s="769"/>
      <c r="Q167" s="769"/>
    </row>
    <row r="168" spans="1:17" s="764" customFormat="1" ht="23.25">
      <c r="A168" s="828" t="s">
        <v>395</v>
      </c>
      <c r="B168" s="829"/>
      <c r="C168" s="829"/>
      <c r="D168" s="830"/>
      <c r="E168" s="829"/>
      <c r="F168" s="829">
        <v>2</v>
      </c>
      <c r="G168" s="778">
        <v>1</v>
      </c>
      <c r="H168" s="778">
        <v>3</v>
      </c>
      <c r="I168" s="778">
        <v>1</v>
      </c>
      <c r="J168" s="779">
        <v>3</v>
      </c>
      <c r="K168" s="779">
        <v>3</v>
      </c>
      <c r="L168" s="779">
        <v>0</v>
      </c>
      <c r="M168" s="779">
        <v>4</v>
      </c>
      <c r="N168" s="829">
        <f t="shared" si="19"/>
        <v>17</v>
      </c>
      <c r="O168" s="769"/>
      <c r="P168" s="769"/>
      <c r="Q168" s="769"/>
    </row>
    <row r="169" spans="1:17" s="764" customFormat="1" ht="23.25">
      <c r="A169" s="828" t="s">
        <v>259</v>
      </c>
      <c r="B169" s="829"/>
      <c r="C169" s="829"/>
      <c r="D169" s="830"/>
      <c r="E169" s="829"/>
      <c r="F169" s="829">
        <v>0</v>
      </c>
      <c r="G169" s="778">
        <v>4</v>
      </c>
      <c r="H169" s="778">
        <v>1</v>
      </c>
      <c r="I169" s="778">
        <v>4</v>
      </c>
      <c r="J169" s="779">
        <v>2</v>
      </c>
      <c r="K169" s="779">
        <v>2</v>
      </c>
      <c r="L169" s="779">
        <v>1</v>
      </c>
      <c r="M169" s="779">
        <v>3</v>
      </c>
      <c r="N169" s="829">
        <f t="shared" si="19"/>
        <v>17</v>
      </c>
      <c r="O169" s="769"/>
      <c r="P169" s="769"/>
      <c r="Q169" s="769"/>
    </row>
    <row r="170" spans="1:17" s="764" customFormat="1" ht="23.25">
      <c r="A170" s="828" t="s">
        <v>412</v>
      </c>
      <c r="B170" s="829"/>
      <c r="C170" s="829"/>
      <c r="D170" s="830"/>
      <c r="E170" s="829"/>
      <c r="F170" s="829">
        <v>2</v>
      </c>
      <c r="G170" s="778">
        <v>3</v>
      </c>
      <c r="H170" s="778">
        <v>2</v>
      </c>
      <c r="I170" s="778">
        <v>1</v>
      </c>
      <c r="J170" s="779">
        <v>2</v>
      </c>
      <c r="K170" s="779">
        <v>4</v>
      </c>
      <c r="L170" s="779">
        <v>0</v>
      </c>
      <c r="M170" s="779">
        <v>3</v>
      </c>
      <c r="N170" s="829">
        <f t="shared" si="19"/>
        <v>17</v>
      </c>
      <c r="O170" s="769"/>
      <c r="P170" s="769"/>
      <c r="Q170" s="769"/>
    </row>
    <row r="171" spans="1:17" s="764" customFormat="1">
      <c r="A171" s="828" t="s">
        <v>267</v>
      </c>
      <c r="B171" s="829"/>
      <c r="C171" s="829"/>
      <c r="D171" s="830"/>
      <c r="E171" s="829"/>
      <c r="F171" s="829">
        <v>0</v>
      </c>
      <c r="G171" s="778">
        <v>2</v>
      </c>
      <c r="H171" s="778">
        <v>4</v>
      </c>
      <c r="I171" s="778">
        <v>2</v>
      </c>
      <c r="J171" s="779">
        <v>2</v>
      </c>
      <c r="K171" s="779">
        <v>0</v>
      </c>
      <c r="L171" s="779">
        <v>3</v>
      </c>
      <c r="M171" s="779">
        <v>4</v>
      </c>
      <c r="N171" s="829">
        <f t="shared" si="19"/>
        <v>17</v>
      </c>
      <c r="O171" s="769"/>
      <c r="P171" s="769"/>
      <c r="Q171" s="769"/>
    </row>
    <row r="172" spans="1:17" s="764" customFormat="1">
      <c r="A172" s="836" t="s">
        <v>287</v>
      </c>
      <c r="B172" s="837"/>
      <c r="C172" s="829"/>
      <c r="D172" s="838"/>
      <c r="E172" s="837"/>
      <c r="F172" s="836">
        <v>3</v>
      </c>
      <c r="G172" s="778">
        <v>3</v>
      </c>
      <c r="H172" s="790">
        <v>2</v>
      </c>
      <c r="I172" s="790">
        <v>1</v>
      </c>
      <c r="J172" s="779">
        <v>1</v>
      </c>
      <c r="K172" s="779">
        <v>2</v>
      </c>
      <c r="L172" s="779">
        <v>0</v>
      </c>
      <c r="M172" s="779">
        <v>4</v>
      </c>
      <c r="N172" s="829">
        <f t="shared" si="19"/>
        <v>16</v>
      </c>
      <c r="O172" s="769"/>
      <c r="P172" s="769"/>
      <c r="Q172" s="769"/>
    </row>
    <row r="173" spans="1:17" s="764" customFormat="1">
      <c r="A173" s="828" t="s">
        <v>258</v>
      </c>
      <c r="B173" s="829"/>
      <c r="C173" s="829"/>
      <c r="D173" s="830"/>
      <c r="E173" s="829"/>
      <c r="F173" s="829">
        <v>2</v>
      </c>
      <c r="G173" s="778">
        <v>2</v>
      </c>
      <c r="H173" s="778">
        <v>2</v>
      </c>
      <c r="I173" s="778">
        <v>2</v>
      </c>
      <c r="J173" s="779">
        <v>2</v>
      </c>
      <c r="K173" s="779">
        <v>1</v>
      </c>
      <c r="L173" s="779">
        <v>0</v>
      </c>
      <c r="M173" s="779">
        <v>4</v>
      </c>
      <c r="N173" s="829">
        <f t="shared" si="19"/>
        <v>15</v>
      </c>
      <c r="O173" s="769"/>
      <c r="P173" s="769"/>
      <c r="Q173" s="769"/>
    </row>
    <row r="174" spans="1:17" s="764" customFormat="1">
      <c r="A174" s="828" t="s">
        <v>274</v>
      </c>
      <c r="B174" s="829"/>
      <c r="C174" s="829"/>
      <c r="D174" s="830"/>
      <c r="E174" s="829"/>
      <c r="F174" s="829">
        <v>2</v>
      </c>
      <c r="G174" s="778">
        <v>2</v>
      </c>
      <c r="H174" s="778">
        <v>3</v>
      </c>
      <c r="I174" s="778">
        <v>1</v>
      </c>
      <c r="J174" s="779">
        <v>2</v>
      </c>
      <c r="K174" s="779">
        <v>2</v>
      </c>
      <c r="L174" s="779">
        <v>0</v>
      </c>
      <c r="M174" s="779">
        <v>3</v>
      </c>
      <c r="N174" s="829">
        <f t="shared" si="19"/>
        <v>15</v>
      </c>
      <c r="O174" s="769"/>
      <c r="P174" s="769"/>
      <c r="Q174" s="769"/>
    </row>
    <row r="175" spans="1:17" s="764" customFormat="1">
      <c r="A175" s="828" t="s">
        <v>410</v>
      </c>
      <c r="B175" s="829"/>
      <c r="C175" s="829"/>
      <c r="D175" s="830"/>
      <c r="E175" s="829"/>
      <c r="F175" s="829">
        <v>1</v>
      </c>
      <c r="G175" s="778">
        <v>1</v>
      </c>
      <c r="H175" s="778">
        <v>2</v>
      </c>
      <c r="I175" s="778">
        <v>2</v>
      </c>
      <c r="J175" s="779">
        <v>3</v>
      </c>
      <c r="K175" s="779">
        <v>2</v>
      </c>
      <c r="L175" s="779">
        <v>1</v>
      </c>
      <c r="M175" s="779">
        <v>2</v>
      </c>
      <c r="N175" s="829">
        <f t="shared" si="19"/>
        <v>14</v>
      </c>
      <c r="O175" s="769"/>
      <c r="P175" s="769"/>
      <c r="Q175" s="769"/>
    </row>
    <row r="176" spans="1:17" s="764" customFormat="1" ht="23.25">
      <c r="A176" s="828" t="s">
        <v>413</v>
      </c>
      <c r="B176" s="829"/>
      <c r="C176" s="829"/>
      <c r="D176" s="830"/>
      <c r="E176" s="829"/>
      <c r="F176" s="829">
        <v>0</v>
      </c>
      <c r="G176" s="778">
        <v>3</v>
      </c>
      <c r="H176" s="778">
        <v>2</v>
      </c>
      <c r="I176" s="778">
        <v>4</v>
      </c>
      <c r="J176" s="779">
        <v>1</v>
      </c>
      <c r="K176" s="779">
        <v>1</v>
      </c>
      <c r="L176" s="779">
        <v>0</v>
      </c>
      <c r="M176" s="779">
        <v>3</v>
      </c>
      <c r="N176" s="829">
        <f t="shared" si="19"/>
        <v>14</v>
      </c>
      <c r="O176" s="769"/>
      <c r="P176" s="769"/>
      <c r="Q176" s="769"/>
    </row>
    <row r="177" spans="1:17" s="764" customFormat="1">
      <c r="A177" s="828" t="s">
        <v>269</v>
      </c>
      <c r="B177" s="829"/>
      <c r="C177" s="829"/>
      <c r="D177" s="830"/>
      <c r="E177" s="829"/>
      <c r="F177" s="829">
        <v>0</v>
      </c>
      <c r="G177" s="778">
        <v>3</v>
      </c>
      <c r="H177" s="778">
        <v>2</v>
      </c>
      <c r="I177" s="778">
        <v>1</v>
      </c>
      <c r="J177" s="779">
        <v>1</v>
      </c>
      <c r="K177" s="779">
        <v>1</v>
      </c>
      <c r="L177" s="779">
        <v>2</v>
      </c>
      <c r="M177" s="779">
        <v>4</v>
      </c>
      <c r="N177" s="829">
        <f t="shared" si="19"/>
        <v>14</v>
      </c>
      <c r="O177" s="769"/>
      <c r="P177" s="769"/>
      <c r="Q177" s="769"/>
    </row>
    <row r="178" spans="1:17" s="764" customFormat="1">
      <c r="A178" s="828" t="s">
        <v>276</v>
      </c>
      <c r="B178" s="829"/>
      <c r="C178" s="829"/>
      <c r="D178" s="830"/>
      <c r="E178" s="829"/>
      <c r="F178" s="829">
        <v>0</v>
      </c>
      <c r="G178" s="778">
        <v>2</v>
      </c>
      <c r="H178" s="778">
        <v>1</v>
      </c>
      <c r="I178" s="778">
        <v>1</v>
      </c>
      <c r="J178" s="779">
        <v>2</v>
      </c>
      <c r="K178" s="779">
        <v>3</v>
      </c>
      <c r="L178" s="779">
        <v>0</v>
      </c>
      <c r="M178" s="779">
        <v>5</v>
      </c>
      <c r="N178" s="829">
        <f t="shared" si="19"/>
        <v>14</v>
      </c>
      <c r="O178" s="769"/>
      <c r="P178" s="769"/>
      <c r="Q178" s="769"/>
    </row>
    <row r="179" spans="1:17" s="764" customFormat="1" ht="23.25">
      <c r="A179" s="828" t="s">
        <v>262</v>
      </c>
      <c r="B179" s="829"/>
      <c r="C179" s="829"/>
      <c r="D179" s="830"/>
      <c r="E179" s="829"/>
      <c r="F179" s="829">
        <v>2</v>
      </c>
      <c r="G179" s="778">
        <v>2</v>
      </c>
      <c r="H179" s="778">
        <v>1</v>
      </c>
      <c r="I179" s="778">
        <v>1</v>
      </c>
      <c r="J179" s="779">
        <v>1</v>
      </c>
      <c r="K179" s="779">
        <v>3</v>
      </c>
      <c r="L179" s="779">
        <v>0</v>
      </c>
      <c r="M179" s="779">
        <v>3</v>
      </c>
      <c r="N179" s="829">
        <f t="shared" si="19"/>
        <v>13</v>
      </c>
      <c r="O179" s="769"/>
      <c r="P179" s="769"/>
      <c r="Q179" s="769"/>
    </row>
    <row r="180" spans="1:17" s="764" customFormat="1">
      <c r="A180" s="828" t="s">
        <v>283</v>
      </c>
      <c r="B180" s="829"/>
      <c r="C180" s="829"/>
      <c r="D180" s="830"/>
      <c r="E180" s="829"/>
      <c r="F180" s="829">
        <v>1</v>
      </c>
      <c r="G180" s="778">
        <v>3</v>
      </c>
      <c r="H180" s="778">
        <v>1</v>
      </c>
      <c r="I180" s="778">
        <v>2</v>
      </c>
      <c r="J180" s="779">
        <v>2</v>
      </c>
      <c r="K180" s="779">
        <v>1</v>
      </c>
      <c r="L180" s="779">
        <v>0</v>
      </c>
      <c r="M180" s="779">
        <v>3</v>
      </c>
      <c r="N180" s="829">
        <f t="shared" si="19"/>
        <v>13</v>
      </c>
      <c r="O180" s="769"/>
      <c r="P180" s="769"/>
      <c r="Q180" s="769"/>
    </row>
    <row r="181" spans="1:17" s="764" customFormat="1" ht="23.25">
      <c r="A181" s="828" t="s">
        <v>263</v>
      </c>
      <c r="B181" s="829"/>
      <c r="C181" s="829"/>
      <c r="D181" s="830"/>
      <c r="E181" s="829"/>
      <c r="F181" s="829">
        <v>1</v>
      </c>
      <c r="G181" s="778">
        <v>2</v>
      </c>
      <c r="H181" s="778">
        <v>1</v>
      </c>
      <c r="I181" s="778">
        <v>1</v>
      </c>
      <c r="J181" s="779">
        <v>2</v>
      </c>
      <c r="K181" s="779">
        <v>1</v>
      </c>
      <c r="L181" s="779">
        <v>0</v>
      </c>
      <c r="M181" s="779">
        <v>4</v>
      </c>
      <c r="N181" s="829">
        <f t="shared" ref="N181:N194" si="20">SUM(B181:M181)</f>
        <v>12</v>
      </c>
      <c r="O181" s="769"/>
      <c r="P181" s="769"/>
      <c r="Q181" s="769"/>
    </row>
    <row r="182" spans="1:17" s="764" customFormat="1" ht="23.25">
      <c r="A182" s="835" t="s">
        <v>401</v>
      </c>
      <c r="B182" s="829"/>
      <c r="C182" s="829"/>
      <c r="D182" s="830"/>
      <c r="E182" s="829"/>
      <c r="F182" s="829">
        <v>3</v>
      </c>
      <c r="G182" s="778">
        <v>0</v>
      </c>
      <c r="H182" s="778">
        <v>1</v>
      </c>
      <c r="I182" s="778">
        <v>2</v>
      </c>
      <c r="J182" s="779">
        <v>3</v>
      </c>
      <c r="K182" s="779">
        <v>1</v>
      </c>
      <c r="L182" s="779">
        <v>0</v>
      </c>
      <c r="M182" s="779">
        <v>1</v>
      </c>
      <c r="N182" s="829">
        <f t="shared" si="20"/>
        <v>11</v>
      </c>
      <c r="O182" s="769"/>
      <c r="P182" s="769"/>
      <c r="Q182" s="769"/>
    </row>
    <row r="183" spans="1:17" s="764" customFormat="1">
      <c r="A183" s="828" t="s">
        <v>265</v>
      </c>
      <c r="B183" s="829"/>
      <c r="C183" s="829"/>
      <c r="D183" s="830"/>
      <c r="E183" s="829"/>
      <c r="F183" s="829">
        <v>0</v>
      </c>
      <c r="G183" s="778">
        <v>3</v>
      </c>
      <c r="H183" s="778">
        <v>1</v>
      </c>
      <c r="I183" s="778">
        <v>1</v>
      </c>
      <c r="J183" s="779">
        <v>1</v>
      </c>
      <c r="K183" s="779">
        <v>2</v>
      </c>
      <c r="L183" s="779">
        <v>0</v>
      </c>
      <c r="M183" s="779">
        <v>3</v>
      </c>
      <c r="N183" s="829">
        <f t="shared" si="20"/>
        <v>11</v>
      </c>
      <c r="O183" s="769"/>
      <c r="P183" s="769"/>
      <c r="Q183" s="769"/>
    </row>
    <row r="184" spans="1:17" s="764" customFormat="1">
      <c r="A184" s="839" t="s">
        <v>405</v>
      </c>
      <c r="B184" s="829"/>
      <c r="C184" s="829"/>
      <c r="D184" s="830"/>
      <c r="E184" s="829"/>
      <c r="F184" s="829">
        <v>1</v>
      </c>
      <c r="G184" s="778">
        <v>0</v>
      </c>
      <c r="H184" s="778">
        <v>0</v>
      </c>
      <c r="I184" s="778">
        <v>5</v>
      </c>
      <c r="J184" s="779">
        <v>3</v>
      </c>
      <c r="K184" s="779">
        <v>0</v>
      </c>
      <c r="L184" s="779">
        <v>0</v>
      </c>
      <c r="M184" s="779">
        <v>1</v>
      </c>
      <c r="N184" s="829">
        <f t="shared" si="20"/>
        <v>10</v>
      </c>
      <c r="O184" s="769"/>
      <c r="P184" s="769"/>
      <c r="Q184" s="769"/>
    </row>
    <row r="185" spans="1:17" s="764" customFormat="1" ht="23.25">
      <c r="A185" s="828" t="s">
        <v>353</v>
      </c>
      <c r="B185" s="829"/>
      <c r="C185" s="829"/>
      <c r="D185" s="829"/>
      <c r="E185" s="829"/>
      <c r="F185" s="829">
        <v>0</v>
      </c>
      <c r="G185" s="778">
        <v>0</v>
      </c>
      <c r="H185" s="778">
        <v>0</v>
      </c>
      <c r="I185" s="778">
        <v>2</v>
      </c>
      <c r="J185" s="779">
        <v>1</v>
      </c>
      <c r="K185" s="778">
        <v>0</v>
      </c>
      <c r="L185" s="779">
        <v>5</v>
      </c>
      <c r="M185" s="778">
        <v>0</v>
      </c>
      <c r="N185" s="829">
        <f t="shared" si="20"/>
        <v>8</v>
      </c>
      <c r="O185" s="769"/>
      <c r="P185" s="769"/>
      <c r="Q185" s="769"/>
    </row>
    <row r="186" spans="1:17" s="764" customFormat="1" ht="23.25">
      <c r="A186" s="828" t="s">
        <v>403</v>
      </c>
      <c r="B186" s="829"/>
      <c r="C186" s="829"/>
      <c r="D186" s="830"/>
      <c r="E186" s="829"/>
      <c r="F186" s="829">
        <v>2</v>
      </c>
      <c r="G186" s="778">
        <v>1</v>
      </c>
      <c r="H186" s="778">
        <v>1</v>
      </c>
      <c r="I186" s="778">
        <v>0</v>
      </c>
      <c r="J186" s="779">
        <v>4</v>
      </c>
      <c r="K186" s="779">
        <v>0</v>
      </c>
      <c r="L186" s="779">
        <v>0</v>
      </c>
      <c r="M186" s="779">
        <v>0</v>
      </c>
      <c r="N186" s="829">
        <f t="shared" si="20"/>
        <v>8</v>
      </c>
      <c r="O186" s="769"/>
      <c r="P186" s="769"/>
      <c r="Q186" s="769"/>
    </row>
    <row r="187" spans="1:17" s="764" customFormat="1" ht="23.25">
      <c r="A187" s="828" t="s">
        <v>362</v>
      </c>
      <c r="B187" s="829"/>
      <c r="C187" s="829"/>
      <c r="D187" s="830"/>
      <c r="E187" s="829"/>
      <c r="F187" s="829">
        <v>1</v>
      </c>
      <c r="G187" s="778">
        <v>0</v>
      </c>
      <c r="H187" s="778">
        <v>3</v>
      </c>
      <c r="I187" s="778">
        <v>1</v>
      </c>
      <c r="J187" s="779">
        <v>0</v>
      </c>
      <c r="K187" s="779">
        <v>0</v>
      </c>
      <c r="L187" s="779">
        <v>1</v>
      </c>
      <c r="M187" s="779">
        <v>1</v>
      </c>
      <c r="N187" s="829">
        <f t="shared" si="20"/>
        <v>7</v>
      </c>
      <c r="O187" s="769"/>
      <c r="P187" s="769"/>
      <c r="Q187" s="769"/>
    </row>
    <row r="188" spans="1:17" s="764" customFormat="1" ht="23.25">
      <c r="A188" s="828" t="s">
        <v>378</v>
      </c>
      <c r="B188" s="829"/>
      <c r="C188" s="829"/>
      <c r="D188" s="830"/>
      <c r="E188" s="829"/>
      <c r="F188" s="829">
        <v>0</v>
      </c>
      <c r="G188" s="778">
        <v>0</v>
      </c>
      <c r="H188" s="778">
        <v>3</v>
      </c>
      <c r="I188" s="778">
        <v>0</v>
      </c>
      <c r="J188" s="779">
        <v>2</v>
      </c>
      <c r="K188" s="779">
        <v>0</v>
      </c>
      <c r="L188" s="779">
        <v>0</v>
      </c>
      <c r="M188" s="779">
        <v>2</v>
      </c>
      <c r="N188" s="829">
        <f t="shared" si="20"/>
        <v>7</v>
      </c>
      <c r="O188" s="769"/>
      <c r="P188" s="769"/>
      <c r="Q188" s="769"/>
    </row>
    <row r="189" spans="1:17" s="764" customFormat="1" ht="23.25">
      <c r="A189" s="835" t="s">
        <v>352</v>
      </c>
      <c r="B189" s="829"/>
      <c r="C189" s="829"/>
      <c r="D189" s="829"/>
      <c r="E189" s="829"/>
      <c r="F189" s="829">
        <v>1</v>
      </c>
      <c r="G189" s="778">
        <v>0</v>
      </c>
      <c r="H189" s="778">
        <v>0</v>
      </c>
      <c r="I189" s="778">
        <v>0</v>
      </c>
      <c r="J189" s="779">
        <v>3</v>
      </c>
      <c r="K189" s="778">
        <v>0</v>
      </c>
      <c r="L189" s="779">
        <v>2</v>
      </c>
      <c r="M189" s="778">
        <v>0</v>
      </c>
      <c r="N189" s="829">
        <f t="shared" si="20"/>
        <v>6</v>
      </c>
      <c r="O189" s="769"/>
      <c r="P189" s="769"/>
      <c r="Q189" s="769"/>
    </row>
    <row r="190" spans="1:17" s="764" customFormat="1" ht="22.5">
      <c r="A190" s="831" t="s">
        <v>396</v>
      </c>
      <c r="B190" s="833"/>
      <c r="C190" s="829"/>
      <c r="D190" s="834"/>
      <c r="E190" s="833"/>
      <c r="F190" s="833">
        <v>2</v>
      </c>
      <c r="G190" s="778">
        <v>1</v>
      </c>
      <c r="H190" s="789">
        <v>0</v>
      </c>
      <c r="I190" s="778">
        <v>0</v>
      </c>
      <c r="J190" s="779">
        <v>1</v>
      </c>
      <c r="K190" s="779">
        <v>1</v>
      </c>
      <c r="L190" s="779">
        <v>0</v>
      </c>
      <c r="M190" s="779">
        <v>1</v>
      </c>
      <c r="N190" s="829">
        <f t="shared" si="20"/>
        <v>6</v>
      </c>
      <c r="O190" s="769"/>
      <c r="P190" s="769"/>
      <c r="Q190" s="769"/>
    </row>
    <row r="191" spans="1:17" s="764" customFormat="1" ht="34.5">
      <c r="A191" s="835" t="s">
        <v>408</v>
      </c>
      <c r="B191" s="829"/>
      <c r="C191" s="829"/>
      <c r="D191" s="830"/>
      <c r="E191" s="829"/>
      <c r="F191" s="829">
        <v>1</v>
      </c>
      <c r="G191" s="778">
        <v>0</v>
      </c>
      <c r="H191" s="778">
        <v>1</v>
      </c>
      <c r="I191" s="778">
        <v>1</v>
      </c>
      <c r="J191" s="779">
        <v>1</v>
      </c>
      <c r="K191" s="779">
        <v>1</v>
      </c>
      <c r="L191" s="779">
        <v>1</v>
      </c>
      <c r="M191" s="779">
        <v>0</v>
      </c>
      <c r="N191" s="829">
        <f t="shared" si="20"/>
        <v>6</v>
      </c>
      <c r="O191" s="769"/>
      <c r="P191" s="769"/>
      <c r="Q191" s="769"/>
    </row>
    <row r="192" spans="1:17" s="764" customFormat="1" ht="23.25">
      <c r="A192" s="828" t="s">
        <v>394</v>
      </c>
      <c r="B192" s="829"/>
      <c r="C192" s="829"/>
      <c r="D192" s="830"/>
      <c r="E192" s="829"/>
      <c r="F192" s="829">
        <v>0</v>
      </c>
      <c r="G192" s="778">
        <v>0</v>
      </c>
      <c r="H192" s="778">
        <v>2</v>
      </c>
      <c r="I192" s="778">
        <v>1</v>
      </c>
      <c r="J192" s="779">
        <v>0</v>
      </c>
      <c r="K192" s="779">
        <v>0</v>
      </c>
      <c r="L192" s="779">
        <v>1</v>
      </c>
      <c r="M192" s="779">
        <v>1</v>
      </c>
      <c r="N192" s="829">
        <f t="shared" si="20"/>
        <v>5</v>
      </c>
      <c r="O192" s="769"/>
      <c r="P192" s="769"/>
      <c r="Q192" s="769"/>
    </row>
    <row r="193" spans="1:18" s="764" customFormat="1" ht="23.25">
      <c r="A193" s="828" t="s">
        <v>360</v>
      </c>
      <c r="B193" s="829"/>
      <c r="C193" s="829"/>
      <c r="D193" s="830"/>
      <c r="E193" s="829"/>
      <c r="F193" s="829">
        <v>0</v>
      </c>
      <c r="G193" s="778">
        <v>0</v>
      </c>
      <c r="H193" s="778">
        <v>0</v>
      </c>
      <c r="I193" s="778">
        <v>0</v>
      </c>
      <c r="J193" s="779">
        <v>0</v>
      </c>
      <c r="K193" s="779">
        <v>1</v>
      </c>
      <c r="L193" s="779">
        <v>1</v>
      </c>
      <c r="M193" s="779">
        <v>1</v>
      </c>
      <c r="N193" s="829">
        <f t="shared" si="20"/>
        <v>3</v>
      </c>
      <c r="O193" s="769"/>
      <c r="P193" s="769"/>
      <c r="Q193" s="769"/>
    </row>
    <row r="194" spans="1:18" s="764" customFormat="1" ht="22.5">
      <c r="A194" s="831" t="s">
        <v>409</v>
      </c>
      <c r="B194" s="833"/>
      <c r="C194" s="829"/>
      <c r="D194" s="834"/>
      <c r="E194" s="833"/>
      <c r="F194" s="833">
        <v>0</v>
      </c>
      <c r="G194" s="778">
        <v>0</v>
      </c>
      <c r="H194" s="778">
        <v>0</v>
      </c>
      <c r="I194" s="778">
        <v>0</v>
      </c>
      <c r="J194" s="779">
        <v>0</v>
      </c>
      <c r="K194" s="778">
        <v>0</v>
      </c>
      <c r="L194" s="779">
        <v>0</v>
      </c>
      <c r="M194" s="779">
        <v>0</v>
      </c>
      <c r="N194" s="829">
        <f t="shared" si="20"/>
        <v>0</v>
      </c>
      <c r="O194" s="769"/>
      <c r="P194" s="769"/>
      <c r="Q194" s="769"/>
    </row>
    <row r="195" spans="1:18" s="764" customFormat="1">
      <c r="C195" s="769"/>
      <c r="D195" s="769"/>
      <c r="F195" s="768"/>
      <c r="G195" s="768"/>
      <c r="H195" s="768"/>
      <c r="I195" s="791"/>
      <c r="J195" s="768"/>
      <c r="K195" s="768"/>
      <c r="L195" s="768"/>
      <c r="M195" s="771"/>
      <c r="N195" s="767">
        <f>SUM(N117:N194)</f>
        <v>5527</v>
      </c>
      <c r="O195" s="769"/>
      <c r="P195" s="769"/>
      <c r="Q195" s="819"/>
      <c r="R195" s="816"/>
    </row>
    <row r="196" spans="1:18" s="764" customFormat="1">
      <c r="C196" s="769"/>
      <c r="D196" s="769"/>
      <c r="F196" s="768"/>
      <c r="G196" s="768"/>
      <c r="H196" s="768"/>
      <c r="I196" s="791"/>
      <c r="J196" s="768"/>
      <c r="K196" s="768"/>
      <c r="L196" s="768"/>
      <c r="M196" s="771"/>
      <c r="N196" s="767"/>
      <c r="O196" s="769"/>
      <c r="P196" s="769"/>
      <c r="Q196" s="819"/>
      <c r="R196" s="816"/>
    </row>
    <row r="197" spans="1:18" s="764" customFormat="1">
      <c r="A197" s="816"/>
      <c r="B197" s="816"/>
      <c r="C197" s="819"/>
      <c r="D197" s="819"/>
      <c r="E197" s="816"/>
      <c r="F197" s="818"/>
      <c r="G197" s="818"/>
      <c r="H197" s="818"/>
      <c r="I197" s="820"/>
      <c r="J197" s="818"/>
      <c r="K197" s="818"/>
      <c r="L197" s="818"/>
      <c r="M197" s="821"/>
      <c r="N197" s="817"/>
      <c r="O197" s="819"/>
      <c r="P197" s="819"/>
      <c r="Q197" s="819"/>
      <c r="R197" s="816"/>
    </row>
    <row r="198" spans="1:18" s="764" customFormat="1">
      <c r="A198" s="816"/>
      <c r="B198" s="816"/>
      <c r="C198" s="819"/>
      <c r="D198" s="819"/>
      <c r="E198" s="816"/>
      <c r="F198" s="818"/>
      <c r="G198" s="818"/>
      <c r="H198" s="818"/>
      <c r="I198" s="820"/>
      <c r="J198" s="818"/>
      <c r="K198" s="818"/>
      <c r="L198" s="818"/>
      <c r="M198" s="821"/>
      <c r="N198" s="817"/>
      <c r="O198" s="819"/>
      <c r="P198" s="819"/>
      <c r="Q198" s="819"/>
      <c r="R198" s="816"/>
    </row>
    <row r="199" spans="1:18" s="764" customFormat="1">
      <c r="A199" s="816"/>
      <c r="B199" s="816"/>
      <c r="C199" s="819"/>
      <c r="D199" s="819"/>
      <c r="E199" s="816"/>
      <c r="F199" s="818"/>
      <c r="G199" s="818"/>
      <c r="H199" s="818"/>
      <c r="I199" s="820"/>
      <c r="J199" s="818"/>
      <c r="K199" s="818"/>
      <c r="L199" s="818"/>
      <c r="M199" s="821"/>
      <c r="N199" s="817"/>
      <c r="O199" s="819"/>
      <c r="P199" s="819"/>
      <c r="Q199" s="819"/>
      <c r="R199" s="816"/>
    </row>
    <row r="200" spans="1:18" s="764" customFormat="1">
      <c r="A200" s="816"/>
      <c r="B200" s="816"/>
      <c r="C200" s="819"/>
      <c r="D200" s="819"/>
      <c r="E200" s="816"/>
      <c r="F200" s="818"/>
      <c r="G200" s="818"/>
      <c r="H200" s="818"/>
      <c r="I200" s="820"/>
      <c r="J200" s="818"/>
      <c r="K200" s="818"/>
      <c r="L200" s="818"/>
      <c r="M200" s="821"/>
      <c r="N200" s="817"/>
      <c r="O200" s="819"/>
      <c r="P200" s="819"/>
      <c r="Q200" s="819"/>
      <c r="R200" s="816"/>
    </row>
    <row r="201" spans="1:18" s="764" customFormat="1">
      <c r="A201" s="816"/>
      <c r="B201" s="816"/>
      <c r="C201" s="819"/>
      <c r="D201" s="819"/>
      <c r="E201" s="816"/>
      <c r="F201" s="818"/>
      <c r="G201" s="818"/>
      <c r="H201" s="818"/>
      <c r="I201" s="820"/>
      <c r="J201" s="818"/>
      <c r="K201" s="818"/>
      <c r="L201" s="818"/>
      <c r="M201" s="821"/>
      <c r="N201" s="817"/>
      <c r="O201" s="819"/>
      <c r="P201" s="819"/>
      <c r="Q201" s="819"/>
      <c r="R201" s="816"/>
    </row>
    <row r="202" spans="1:18" s="764" customFormat="1">
      <c r="A202" s="816"/>
      <c r="B202" s="816"/>
      <c r="C202" s="819"/>
      <c r="D202" s="819"/>
      <c r="E202" s="816"/>
      <c r="F202" s="818"/>
      <c r="G202" s="818"/>
      <c r="H202" s="818"/>
      <c r="I202" s="820"/>
      <c r="J202" s="818"/>
      <c r="K202" s="818"/>
      <c r="L202" s="818"/>
      <c r="M202" s="821"/>
      <c r="N202" s="817"/>
      <c r="O202" s="819"/>
      <c r="P202" s="819"/>
      <c r="Q202" s="819"/>
      <c r="R202" s="816"/>
    </row>
    <row r="203" spans="1:18" s="764" customFormat="1">
      <c r="A203" s="816"/>
      <c r="B203" s="816"/>
      <c r="C203" s="819"/>
      <c r="D203" s="819"/>
      <c r="E203" s="816"/>
      <c r="F203" s="818"/>
      <c r="G203" s="818"/>
      <c r="H203" s="818"/>
      <c r="I203" s="820"/>
      <c r="J203" s="818"/>
      <c r="K203" s="818"/>
      <c r="L203" s="818"/>
      <c r="M203" s="821"/>
      <c r="N203" s="817"/>
      <c r="O203" s="819"/>
      <c r="P203" s="819"/>
      <c r="Q203" s="819"/>
      <c r="R203" s="816"/>
    </row>
    <row r="204" spans="1:18" s="764" customFormat="1">
      <c r="A204" s="816"/>
      <c r="B204" s="816"/>
      <c r="C204" s="819"/>
      <c r="D204" s="819"/>
      <c r="E204" s="816"/>
      <c r="F204" s="818"/>
      <c r="G204" s="818"/>
      <c r="H204" s="818"/>
      <c r="I204" s="820"/>
      <c r="J204" s="818"/>
      <c r="K204" s="818"/>
      <c r="L204" s="818"/>
      <c r="M204" s="821"/>
      <c r="N204" s="817"/>
      <c r="O204" s="819"/>
      <c r="P204" s="819"/>
      <c r="Q204" s="819"/>
      <c r="R204" s="816"/>
    </row>
    <row r="205" spans="1:18" s="764" customFormat="1">
      <c r="A205" s="816"/>
      <c r="B205" s="816"/>
      <c r="C205" s="819"/>
      <c r="D205" s="819"/>
      <c r="E205" s="816"/>
      <c r="F205" s="818"/>
      <c r="G205" s="818"/>
      <c r="H205" s="818"/>
      <c r="I205" s="820"/>
      <c r="J205" s="818"/>
      <c r="K205" s="818"/>
      <c r="L205" s="818"/>
      <c r="M205" s="821"/>
      <c r="N205" s="817"/>
      <c r="O205" s="819"/>
      <c r="P205" s="819"/>
      <c r="Q205" s="819"/>
      <c r="R205" s="816"/>
    </row>
    <row r="206" spans="1:18" s="764" customFormat="1">
      <c r="A206" s="816"/>
      <c r="B206" s="816"/>
      <c r="C206" s="819"/>
      <c r="D206" s="819"/>
      <c r="E206" s="816"/>
      <c r="F206" s="818"/>
      <c r="G206" s="818"/>
      <c r="H206" s="818"/>
      <c r="I206" s="820"/>
      <c r="J206" s="818"/>
      <c r="K206" s="818"/>
      <c r="L206" s="818"/>
      <c r="M206" s="821"/>
      <c r="N206" s="817"/>
      <c r="O206" s="819"/>
      <c r="P206" s="819"/>
      <c r="Q206" s="819"/>
      <c r="R206" s="816"/>
    </row>
    <row r="207" spans="1:18" s="764" customFormat="1">
      <c r="A207" s="816"/>
      <c r="B207" s="816"/>
      <c r="C207" s="819"/>
      <c r="D207" s="819"/>
      <c r="E207" s="816"/>
      <c r="F207" s="818"/>
      <c r="G207" s="818"/>
      <c r="H207" s="818"/>
      <c r="I207" s="820"/>
      <c r="J207" s="818"/>
      <c r="K207" s="818"/>
      <c r="L207" s="818"/>
      <c r="M207" s="821"/>
      <c r="N207" s="817"/>
      <c r="O207" s="819"/>
      <c r="P207" s="819"/>
      <c r="Q207" s="819"/>
      <c r="R207" s="816"/>
    </row>
    <row r="208" spans="1:18" s="764" customFormat="1">
      <c r="A208" s="816"/>
      <c r="B208" s="816"/>
      <c r="C208" s="819"/>
      <c r="D208" s="819"/>
      <c r="E208" s="816"/>
      <c r="F208" s="818"/>
      <c r="G208" s="818"/>
      <c r="H208" s="818"/>
      <c r="I208" s="820"/>
      <c r="J208" s="818"/>
      <c r="K208" s="818"/>
      <c r="L208" s="818"/>
      <c r="M208" s="821"/>
      <c r="N208" s="817"/>
      <c r="O208" s="819"/>
      <c r="P208" s="819"/>
      <c r="Q208" s="819"/>
      <c r="R208" s="816"/>
    </row>
    <row r="209" spans="1:21" s="764" customFormat="1">
      <c r="A209" s="816"/>
      <c r="B209" s="816"/>
      <c r="C209" s="819"/>
      <c r="D209" s="819"/>
      <c r="E209" s="816"/>
      <c r="F209" s="818"/>
      <c r="G209" s="818"/>
      <c r="H209" s="818"/>
      <c r="I209" s="820"/>
      <c r="J209" s="818"/>
      <c r="K209" s="818"/>
      <c r="L209" s="818"/>
      <c r="M209" s="821"/>
      <c r="N209" s="817"/>
      <c r="O209" s="819"/>
      <c r="P209" s="819"/>
      <c r="Q209" s="819"/>
      <c r="R209" s="816"/>
    </row>
    <row r="210" spans="1:21" s="764" customFormat="1">
      <c r="A210" s="816"/>
      <c r="B210" s="816"/>
      <c r="C210" s="819"/>
      <c r="D210" s="819"/>
      <c r="E210" s="816"/>
      <c r="F210" s="818"/>
      <c r="G210" s="818"/>
      <c r="H210" s="818"/>
      <c r="I210" s="820"/>
      <c r="J210" s="818"/>
      <c r="K210" s="818"/>
      <c r="L210" s="818"/>
      <c r="M210" s="821"/>
      <c r="N210" s="817"/>
      <c r="O210" s="819"/>
      <c r="P210" s="819"/>
      <c r="Q210" s="819"/>
      <c r="R210" s="816"/>
    </row>
    <row r="211" spans="1:21">
      <c r="A211" s="822"/>
      <c r="B211" s="822"/>
      <c r="C211" s="823"/>
      <c r="D211" s="823"/>
      <c r="E211" s="822"/>
      <c r="F211" s="824"/>
      <c r="G211" s="824"/>
      <c r="H211" s="824"/>
      <c r="I211" s="825"/>
      <c r="J211" s="824"/>
      <c r="K211" s="824"/>
      <c r="L211" s="824"/>
      <c r="M211" s="826"/>
      <c r="N211" s="827"/>
      <c r="O211" s="823"/>
      <c r="P211" s="823"/>
      <c r="Q211" s="823"/>
      <c r="R211" s="822"/>
      <c r="S211" s="723"/>
      <c r="T211" s="723"/>
      <c r="U211" s="723"/>
    </row>
    <row r="212" spans="1:21">
      <c r="A212" s="822"/>
      <c r="B212" s="822"/>
      <c r="C212" s="823"/>
      <c r="D212" s="823"/>
      <c r="E212" s="822"/>
      <c r="F212" s="824"/>
      <c r="G212" s="824"/>
      <c r="H212" s="824"/>
      <c r="I212" s="825"/>
      <c r="J212" s="824"/>
      <c r="K212" s="824"/>
      <c r="L212" s="824"/>
      <c r="M212" s="826"/>
      <c r="N212" s="827"/>
      <c r="O212" s="823"/>
      <c r="P212" s="823"/>
      <c r="Q212" s="823"/>
      <c r="R212" s="822"/>
      <c r="S212" s="723"/>
      <c r="T212" s="723"/>
      <c r="U212" s="723"/>
    </row>
    <row r="213" spans="1:21">
      <c r="A213" s="822"/>
      <c r="B213" s="822"/>
      <c r="C213" s="823"/>
      <c r="D213" s="823"/>
      <c r="E213" s="822"/>
      <c r="F213" s="824"/>
      <c r="G213" s="824"/>
      <c r="H213" s="824"/>
      <c r="I213" s="825"/>
      <c r="J213" s="824"/>
      <c r="K213" s="824"/>
      <c r="L213" s="824"/>
      <c r="M213" s="826"/>
      <c r="N213" s="827"/>
      <c r="O213" s="823"/>
      <c r="P213" s="823"/>
      <c r="Q213" s="823"/>
      <c r="R213" s="822"/>
      <c r="S213" s="723"/>
      <c r="T213" s="723"/>
      <c r="U213" s="723"/>
    </row>
    <row r="214" spans="1:21">
      <c r="A214" s="822"/>
      <c r="B214" s="822"/>
      <c r="C214" s="823"/>
      <c r="D214" s="823"/>
      <c r="E214" s="822"/>
      <c r="F214" s="824"/>
      <c r="G214" s="824"/>
      <c r="H214" s="824"/>
      <c r="I214" s="825"/>
      <c r="J214" s="824"/>
      <c r="K214" s="824"/>
      <c r="L214" s="824"/>
      <c r="M214" s="826"/>
      <c r="N214" s="827"/>
      <c r="O214" s="823"/>
      <c r="P214" s="823"/>
      <c r="Q214" s="823"/>
      <c r="R214" s="822"/>
      <c r="S214" s="723"/>
      <c r="T214" s="723"/>
      <c r="U214" s="723"/>
    </row>
    <row r="215" spans="1:21">
      <c r="A215" s="822"/>
      <c r="B215" s="822"/>
      <c r="C215" s="823"/>
      <c r="D215" s="823"/>
      <c r="E215" s="822"/>
      <c r="F215" s="824"/>
      <c r="G215" s="824"/>
      <c r="H215" s="824"/>
      <c r="I215" s="825"/>
      <c r="J215" s="824"/>
      <c r="K215" s="824"/>
      <c r="L215" s="824"/>
      <c r="M215" s="826"/>
      <c r="N215" s="827"/>
      <c r="O215" s="823"/>
      <c r="P215" s="823"/>
      <c r="Q215" s="823"/>
      <c r="R215" s="822"/>
      <c r="S215" s="723"/>
      <c r="T215" s="723"/>
      <c r="U215" s="723"/>
    </row>
    <row r="216" spans="1:21">
      <c r="A216" s="822"/>
      <c r="B216" s="822"/>
      <c r="C216" s="823"/>
      <c r="D216" s="823"/>
      <c r="E216" s="822"/>
      <c r="F216" s="824"/>
      <c r="G216" s="824"/>
      <c r="H216" s="824"/>
      <c r="I216" s="825"/>
      <c r="J216" s="824"/>
      <c r="K216" s="824"/>
      <c r="L216" s="824"/>
      <c r="M216" s="826"/>
      <c r="N216" s="827"/>
      <c r="O216" s="823"/>
      <c r="P216" s="823"/>
      <c r="Q216" s="823"/>
      <c r="R216" s="822"/>
      <c r="S216" s="723"/>
      <c r="T216" s="723"/>
      <c r="U216" s="723"/>
    </row>
    <row r="217" spans="1:21">
      <c r="A217" s="822"/>
      <c r="B217" s="822"/>
      <c r="C217" s="823"/>
      <c r="D217" s="823"/>
      <c r="E217" s="822"/>
      <c r="F217" s="824"/>
      <c r="G217" s="824"/>
      <c r="H217" s="824"/>
      <c r="I217" s="825"/>
      <c r="J217" s="824"/>
      <c r="K217" s="824"/>
      <c r="L217" s="824"/>
      <c r="M217" s="826"/>
      <c r="N217" s="827"/>
      <c r="O217" s="823"/>
      <c r="P217" s="823"/>
      <c r="Q217" s="823"/>
      <c r="R217" s="822"/>
      <c r="S217" s="723"/>
      <c r="T217" s="723"/>
      <c r="U217" s="723"/>
    </row>
    <row r="218" spans="1:21">
      <c r="A218" s="822"/>
      <c r="B218" s="822"/>
      <c r="C218" s="823"/>
      <c r="D218" s="823"/>
      <c r="E218" s="822"/>
      <c r="F218" s="824"/>
      <c r="G218" s="824"/>
      <c r="H218" s="824"/>
      <c r="I218" s="825"/>
      <c r="J218" s="824"/>
      <c r="K218" s="824"/>
      <c r="L218" s="824"/>
      <c r="M218" s="826"/>
      <c r="N218" s="827"/>
      <c r="O218" s="823"/>
      <c r="P218" s="823"/>
      <c r="Q218" s="823"/>
      <c r="R218" s="822"/>
      <c r="S218" s="723"/>
      <c r="T218" s="723"/>
      <c r="U218" s="723"/>
    </row>
    <row r="219" spans="1:21">
      <c r="A219" s="822"/>
      <c r="B219" s="822"/>
      <c r="C219" s="823"/>
      <c r="D219" s="823"/>
      <c r="E219" s="822"/>
      <c r="F219" s="824"/>
      <c r="G219" s="824"/>
      <c r="H219" s="824"/>
      <c r="I219" s="825"/>
      <c r="J219" s="824"/>
      <c r="K219" s="824"/>
      <c r="L219" s="824"/>
      <c r="M219" s="826"/>
      <c r="N219" s="827"/>
      <c r="O219" s="823"/>
      <c r="P219" s="823"/>
      <c r="Q219" s="823"/>
      <c r="R219" s="822"/>
      <c r="S219" s="723"/>
      <c r="T219" s="723"/>
      <c r="U219" s="723"/>
    </row>
    <row r="220" spans="1:21">
      <c r="A220" s="822"/>
      <c r="B220" s="822"/>
      <c r="C220" s="823"/>
      <c r="D220" s="823"/>
      <c r="E220" s="822"/>
      <c r="F220" s="824"/>
      <c r="G220" s="824"/>
      <c r="H220" s="824"/>
      <c r="I220" s="825"/>
      <c r="J220" s="824"/>
      <c r="K220" s="824"/>
      <c r="L220" s="824"/>
      <c r="M220" s="826"/>
      <c r="N220" s="827"/>
      <c r="O220" s="823"/>
      <c r="P220" s="823"/>
      <c r="Q220" s="823"/>
      <c r="R220" s="822"/>
      <c r="S220" s="723"/>
      <c r="T220" s="723"/>
      <c r="U220" s="723"/>
    </row>
    <row r="221" spans="1:21">
      <c r="A221" s="799"/>
      <c r="B221" s="799"/>
      <c r="C221" s="807"/>
      <c r="D221" s="807"/>
      <c r="E221" s="799"/>
      <c r="F221" s="808"/>
      <c r="G221" s="808"/>
      <c r="H221" s="808"/>
      <c r="I221" s="809"/>
      <c r="J221" s="808"/>
      <c r="K221" s="808"/>
      <c r="L221" s="808"/>
      <c r="M221" s="810"/>
      <c r="N221" s="811"/>
      <c r="O221" s="807"/>
      <c r="P221" s="807"/>
      <c r="Q221" s="807"/>
      <c r="R221" s="799"/>
    </row>
    <row r="222" spans="1:21">
      <c r="A222" s="799"/>
      <c r="B222" s="799"/>
      <c r="C222" s="807"/>
      <c r="D222" s="807"/>
      <c r="E222" s="799"/>
      <c r="F222" s="808"/>
      <c r="G222" s="808"/>
      <c r="H222" s="808"/>
      <c r="I222" s="809"/>
      <c r="J222" s="808"/>
      <c r="K222" s="808"/>
      <c r="L222" s="808"/>
      <c r="M222" s="810"/>
      <c r="N222" s="811"/>
      <c r="O222" s="807"/>
      <c r="P222" s="807"/>
      <c r="Q222" s="807"/>
      <c r="R222" s="799"/>
    </row>
    <row r="223" spans="1:21">
      <c r="A223" s="799"/>
      <c r="B223" s="799"/>
      <c r="C223" s="807"/>
      <c r="D223" s="807"/>
      <c r="E223" s="799"/>
      <c r="F223" s="808"/>
      <c r="G223" s="808"/>
      <c r="H223" s="808"/>
      <c r="I223" s="809"/>
      <c r="J223" s="808"/>
      <c r="K223" s="808"/>
      <c r="L223" s="808"/>
      <c r="M223" s="810"/>
      <c r="N223" s="811"/>
      <c r="O223" s="807"/>
      <c r="P223" s="807"/>
      <c r="Q223" s="807"/>
      <c r="R223" s="799"/>
    </row>
    <row r="224" spans="1:21">
      <c r="A224" s="799"/>
      <c r="B224" s="799"/>
      <c r="C224" s="807"/>
      <c r="D224" s="807"/>
      <c r="E224" s="799"/>
      <c r="F224" s="808"/>
      <c r="G224" s="808"/>
      <c r="H224" s="808"/>
      <c r="I224" s="809"/>
      <c r="J224" s="808"/>
      <c r="K224" s="808"/>
      <c r="L224" s="808"/>
      <c r="M224" s="810"/>
      <c r="N224" s="811"/>
      <c r="O224" s="807"/>
      <c r="P224" s="807"/>
      <c r="Q224" s="807"/>
      <c r="R224" s="799"/>
    </row>
    <row r="225" spans="1:18">
      <c r="A225" s="799"/>
      <c r="B225" s="799"/>
      <c r="C225" s="807"/>
      <c r="D225" s="807"/>
      <c r="E225" s="799"/>
      <c r="F225" s="808"/>
      <c r="G225" s="808"/>
      <c r="H225" s="808"/>
      <c r="I225" s="809"/>
      <c r="J225" s="808"/>
      <c r="K225" s="808"/>
      <c r="L225" s="808"/>
      <c r="M225" s="810"/>
      <c r="N225" s="811"/>
      <c r="O225" s="807"/>
      <c r="P225" s="807"/>
      <c r="Q225" s="807"/>
      <c r="R225" s="799"/>
    </row>
    <row r="226" spans="1:18">
      <c r="A226" s="799"/>
      <c r="B226" s="799"/>
      <c r="C226" s="807"/>
      <c r="D226" s="807"/>
      <c r="E226" s="799"/>
      <c r="F226" s="808"/>
      <c r="G226" s="808"/>
      <c r="H226" s="808"/>
      <c r="I226" s="809"/>
      <c r="J226" s="808"/>
      <c r="K226" s="808"/>
      <c r="L226" s="808"/>
      <c r="M226" s="810"/>
      <c r="N226" s="811"/>
      <c r="O226" s="807"/>
      <c r="P226" s="807"/>
      <c r="Q226" s="807"/>
      <c r="R226" s="799"/>
    </row>
    <row r="227" spans="1:18">
      <c r="A227" s="799"/>
      <c r="B227" s="799"/>
      <c r="C227" s="807"/>
      <c r="D227" s="807"/>
      <c r="E227" s="799"/>
      <c r="F227" s="808"/>
      <c r="G227" s="808"/>
      <c r="H227" s="808"/>
      <c r="I227" s="809"/>
      <c r="J227" s="808"/>
      <c r="K227" s="808"/>
      <c r="L227" s="808"/>
      <c r="M227" s="810"/>
      <c r="N227" s="811"/>
      <c r="O227" s="807"/>
      <c r="P227" s="807"/>
      <c r="Q227" s="807"/>
      <c r="R227" s="799"/>
    </row>
    <row r="228" spans="1:18">
      <c r="A228" s="799"/>
      <c r="B228" s="799"/>
      <c r="C228" s="807"/>
      <c r="D228" s="807"/>
      <c r="E228" s="799"/>
      <c r="F228" s="808"/>
      <c r="G228" s="808"/>
      <c r="H228" s="808"/>
      <c r="I228" s="809"/>
      <c r="J228" s="808"/>
      <c r="K228" s="808"/>
      <c r="L228" s="808"/>
      <c r="M228" s="810"/>
      <c r="N228" s="811"/>
      <c r="O228" s="807"/>
      <c r="P228" s="807"/>
      <c r="Q228" s="807"/>
      <c r="R228" s="799"/>
    </row>
    <row r="229" spans="1:18">
      <c r="A229" s="799"/>
      <c r="B229" s="799"/>
      <c r="C229" s="807"/>
      <c r="D229" s="807"/>
      <c r="E229" s="799"/>
      <c r="F229" s="808"/>
      <c r="G229" s="808"/>
      <c r="H229" s="808"/>
      <c r="I229" s="809"/>
      <c r="J229" s="808"/>
      <c r="K229" s="808"/>
      <c r="L229" s="808"/>
      <c r="M229" s="810"/>
      <c r="N229" s="811"/>
      <c r="O229" s="807"/>
      <c r="P229" s="807"/>
    </row>
    <row r="230" spans="1:18">
      <c r="A230" s="799"/>
      <c r="B230" s="799"/>
      <c r="C230" s="807"/>
      <c r="D230" s="807"/>
      <c r="E230" s="799"/>
      <c r="F230" s="808"/>
      <c r="G230" s="808"/>
      <c r="H230" s="808"/>
      <c r="I230" s="809"/>
      <c r="J230" s="808"/>
      <c r="K230" s="808"/>
      <c r="L230" s="808"/>
      <c r="M230" s="810"/>
      <c r="N230" s="811"/>
      <c r="O230" s="807"/>
      <c r="P230" s="807"/>
    </row>
    <row r="231" spans="1:18">
      <c r="A231" s="193"/>
      <c r="B231" s="193"/>
      <c r="C231" s="642"/>
      <c r="D231" s="642"/>
      <c r="E231" s="193"/>
      <c r="F231" s="644"/>
      <c r="G231" s="644"/>
      <c r="H231" s="644"/>
      <c r="I231" s="700"/>
      <c r="J231" s="644"/>
      <c r="K231" s="644"/>
      <c r="L231" s="644"/>
      <c r="M231" s="645"/>
      <c r="N231" s="701"/>
    </row>
    <row r="232" spans="1:18">
      <c r="A232" s="193"/>
      <c r="B232" s="193"/>
      <c r="C232" s="642"/>
      <c r="D232" s="642"/>
      <c r="E232" s="193"/>
      <c r="F232" s="644"/>
      <c r="G232" s="644"/>
      <c r="H232" s="644"/>
      <c r="I232" s="700"/>
      <c r="J232" s="644"/>
      <c r="K232" s="644"/>
      <c r="L232" s="644"/>
      <c r="M232" s="645"/>
      <c r="N232" s="701"/>
    </row>
  </sheetData>
  <sortState ref="A117:N194">
    <sortCondition descending="1" ref="N194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6" priority="13" stopIfTrue="1">
      <formula>AND(COUNTIF($A$115:$A$116, A115)&gt;1,NOT(ISBLANK(A115)))</formula>
    </cfRule>
  </conditionalFormatting>
  <conditionalFormatting sqref="A23:A33 A35:A94">
    <cfRule type="expression" dxfId="5" priority="11" stopIfTrue="1">
      <formula>AND(COUNTIF($A$23:$A$33, A23)+COUNTIF($A$35:$A$94, A23)&gt;1,NOT(ISBLANK(A23)))</formula>
    </cfRule>
  </conditionalFormatting>
  <conditionalFormatting sqref="A23:A99">
    <cfRule type="expression" dxfId="4" priority="12" stopIfTrue="1">
      <formula>AND(COUNTIF($A$23:$A$99, A23)&gt;1,NOT(ISBLANK(A23)))</formula>
    </cfRule>
  </conditionalFormatting>
  <conditionalFormatting sqref="A118:A128 A130:A189">
    <cfRule type="expression" dxfId="3" priority="3" stopIfTrue="1">
      <formula>AND(COUNTIF($A$23:$A$33, A118)+COUNTIF($A$35:$A$94, A118)&gt;1,NOT(ISBLANK(A118)))</formula>
    </cfRule>
  </conditionalFormatting>
  <conditionalFormatting sqref="A118:A194">
    <cfRule type="expression" dxfId="2" priority="4" stopIfTrue="1">
      <formula>AND(COUNTIF($A$23:$A$99, A118)&gt;1,NOT(ISBLANK(A118)))</formula>
    </cfRule>
  </conditionalFormatting>
  <conditionalFormatting sqref="A106:A114">
    <cfRule type="expression" dxfId="1" priority="1" stopIfTrue="1">
      <formula>AND(COUNTIF($A$23:$A$33, A106)+COUNTIF($A$35:$A$94, A106)&gt;1,NOT(ISBLANK(A106)))</formula>
    </cfRule>
  </conditionalFormatting>
  <conditionalFormatting sqref="A106:A114">
    <cfRule type="expression" dxfId="0" priority="2" stopIfTrue="1">
      <formula>AND(COUNTIF($A$23:$A$99, A106)&gt;1,NOT(ISBLANK(A106)))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H100:M100 X39:Y39 F100" formulaRange="1"/>
    <ignoredError sqref="O100 AF47:AG47 AF39:AG39 AF33:AG33 AF27" formula="1"/>
    <ignoredError sqref="AD39:AE39" formula="1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K4" sqref="K4"/>
    </sheetView>
  </sheetViews>
  <sheetFormatPr defaultRowHeight="15"/>
  <cols>
    <col min="1" max="16384" width="9.140625" style="704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85725</xdr:rowOff>
              </from>
              <to>
                <xdr:col>10</xdr:col>
                <xdr:colOff>180975</xdr:colOff>
                <xdr:row>38</xdr:row>
                <xdr:rowOff>180975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A37" sqref="A37"/>
    </sheetView>
  </sheetViews>
  <sheetFormatPr defaultRowHeight="15"/>
  <cols>
    <col min="1" max="1" width="9.140625" customWidth="1"/>
    <col min="2" max="2" width="12.28515625" customWidth="1"/>
    <col min="3" max="3" width="10.7109375" customWidth="1"/>
  </cols>
  <sheetData>
    <row r="1" spans="1:7" ht="15.75" thickBot="1">
      <c r="A1" s="4" t="s">
        <v>2</v>
      </c>
      <c r="B1" s="4" t="s">
        <v>3</v>
      </c>
      <c r="C1" s="4" t="s">
        <v>4</v>
      </c>
    </row>
    <row r="2" spans="1:7" ht="15.75" thickBot="1">
      <c r="A2" s="722">
        <v>44927</v>
      </c>
      <c r="B2" s="718">
        <v>28</v>
      </c>
      <c r="C2" s="719">
        <v>0</v>
      </c>
    </row>
    <row r="3" spans="1:7" ht="15.75" thickBot="1">
      <c r="A3" s="722">
        <v>44958</v>
      </c>
      <c r="B3" s="718">
        <v>38</v>
      </c>
      <c r="C3" s="720">
        <v>0.35709999999999997</v>
      </c>
    </row>
    <row r="4" spans="1:7" ht="15.75" thickBot="1">
      <c r="A4" s="722">
        <v>44986</v>
      </c>
      <c r="B4" s="718">
        <v>17</v>
      </c>
      <c r="C4" s="719">
        <f t="shared" ref="C4:C9" si="0">((B4-B3)/B3)*100</f>
        <v>-55.26315789473685</v>
      </c>
    </row>
    <row r="5" spans="1:7" ht="15.75" thickBot="1">
      <c r="A5" s="722">
        <v>45017</v>
      </c>
      <c r="B5" s="718">
        <v>16</v>
      </c>
      <c r="C5" s="719">
        <f t="shared" si="0"/>
        <v>-5.8823529411764701</v>
      </c>
    </row>
    <row r="6" spans="1:7" ht="15.75" thickBot="1">
      <c r="A6" s="722">
        <v>45047</v>
      </c>
      <c r="B6" s="718">
        <v>17</v>
      </c>
      <c r="C6" s="719">
        <f t="shared" si="0"/>
        <v>6.25</v>
      </c>
    </row>
    <row r="7" spans="1:7" ht="15.75" thickBot="1">
      <c r="A7" s="722">
        <v>45078</v>
      </c>
      <c r="B7" s="721">
        <v>24</v>
      </c>
      <c r="C7" s="719">
        <f t="shared" si="0"/>
        <v>41.17647058823529</v>
      </c>
    </row>
    <row r="8" spans="1:7" ht="15.75" thickBot="1">
      <c r="A8" s="722">
        <v>45108</v>
      </c>
      <c r="B8" s="721">
        <v>25</v>
      </c>
      <c r="C8" s="719">
        <f t="shared" si="0"/>
        <v>4.1666666666666661</v>
      </c>
    </row>
    <row r="9" spans="1:7" ht="15.75" thickBot="1">
      <c r="A9" s="722">
        <v>45139</v>
      </c>
      <c r="B9" s="721">
        <v>23</v>
      </c>
      <c r="C9" s="719">
        <f t="shared" si="0"/>
        <v>-8</v>
      </c>
    </row>
    <row r="10" spans="1:7" ht="15.75" thickBot="1">
      <c r="A10" s="722">
        <v>45170</v>
      </c>
      <c r="B10" s="721"/>
      <c r="C10" s="719"/>
    </row>
    <row r="11" spans="1:7" ht="15.75" thickBot="1">
      <c r="A11" s="722">
        <v>45200</v>
      </c>
      <c r="B11" s="721"/>
      <c r="C11" s="719"/>
    </row>
    <row r="12" spans="1:7" ht="15.75" thickBot="1">
      <c r="A12" s="722">
        <v>45231</v>
      </c>
      <c r="B12" s="721"/>
      <c r="C12" s="719"/>
    </row>
    <row r="13" spans="1:7" ht="15.75" thickBot="1">
      <c r="A13" s="722">
        <v>45261</v>
      </c>
      <c r="B13" s="721"/>
      <c r="C13" s="719"/>
    </row>
    <row r="14" spans="1:7" ht="15.75" thickBot="1">
      <c r="A14" s="705" t="s">
        <v>5</v>
      </c>
      <c r="B14" s="705">
        <f>SUM(B2:B13)</f>
        <v>188</v>
      </c>
      <c r="C14" s="706"/>
    </row>
    <row r="15" spans="1:7">
      <c r="A15" s="695"/>
      <c r="B15" s="695"/>
      <c r="C15" s="695"/>
      <c r="D15" s="695"/>
      <c r="E15" s="695"/>
      <c r="F15" s="695"/>
      <c r="G15" s="695"/>
    </row>
    <row r="16" spans="1:7">
      <c r="A16" s="695"/>
      <c r="B16" s="695"/>
      <c r="C16" s="695"/>
      <c r="D16" s="695"/>
      <c r="E16" s="695"/>
      <c r="F16" s="695"/>
      <c r="G16" s="695"/>
    </row>
    <row r="17" spans="1:7">
      <c r="A17" s="800" t="s">
        <v>435</v>
      </c>
      <c r="B17" s="801">
        <v>28</v>
      </c>
      <c r="C17" s="695"/>
      <c r="D17" s="695" t="s">
        <v>442</v>
      </c>
      <c r="E17" s="695">
        <v>4</v>
      </c>
      <c r="F17" s="695"/>
      <c r="G17" s="695"/>
    </row>
    <row r="18" spans="1:7">
      <c r="A18" s="800" t="s">
        <v>436</v>
      </c>
      <c r="B18" s="801">
        <v>38</v>
      </c>
      <c r="C18" s="695"/>
      <c r="D18" s="695" t="s">
        <v>459</v>
      </c>
      <c r="E18" s="695">
        <v>6</v>
      </c>
      <c r="F18" s="695"/>
      <c r="G18" s="695"/>
    </row>
    <row r="19" spans="1:7">
      <c r="A19" s="800" t="s">
        <v>437</v>
      </c>
      <c r="B19" s="801">
        <v>17</v>
      </c>
      <c r="C19" s="695"/>
      <c r="D19" s="695" t="s">
        <v>441</v>
      </c>
      <c r="E19" s="695">
        <v>178</v>
      </c>
      <c r="F19" s="695"/>
      <c r="G19" s="695"/>
    </row>
    <row r="20" spans="1:7">
      <c r="A20" s="800" t="s">
        <v>438</v>
      </c>
      <c r="B20" s="801">
        <v>16</v>
      </c>
      <c r="C20" s="695"/>
      <c r="D20" s="695" t="s">
        <v>443</v>
      </c>
      <c r="E20" s="695">
        <v>188</v>
      </c>
      <c r="F20" s="695"/>
      <c r="G20" s="695"/>
    </row>
    <row r="21" spans="1:7">
      <c r="A21" s="800" t="s">
        <v>439</v>
      </c>
      <c r="B21" s="801">
        <v>17</v>
      </c>
      <c r="C21" s="695"/>
      <c r="D21" s="695"/>
      <c r="E21" s="695"/>
      <c r="F21" s="695"/>
      <c r="G21" s="695"/>
    </row>
    <row r="22" spans="1:7">
      <c r="A22" s="800" t="s">
        <v>440</v>
      </c>
      <c r="B22" s="802">
        <v>24</v>
      </c>
      <c r="C22" s="695"/>
      <c r="D22" s="695"/>
      <c r="E22" s="695"/>
      <c r="F22" s="695"/>
      <c r="G22" s="695"/>
    </row>
    <row r="23" spans="1:7">
      <c r="A23" s="803" t="s">
        <v>444</v>
      </c>
      <c r="B23" s="804">
        <v>25</v>
      </c>
      <c r="C23" s="695"/>
      <c r="D23" s="695"/>
      <c r="E23" s="695"/>
      <c r="F23" s="695"/>
      <c r="G23" s="695"/>
    </row>
    <row r="24" spans="1:7">
      <c r="A24" s="803" t="s">
        <v>460</v>
      </c>
      <c r="B24" s="804">
        <v>23</v>
      </c>
      <c r="C24" s="695"/>
      <c r="D24" s="695"/>
      <c r="E24" s="695"/>
      <c r="F24" s="695"/>
      <c r="G24" s="695"/>
    </row>
    <row r="25" spans="1:7">
      <c r="A25" s="805" t="s">
        <v>23</v>
      </c>
      <c r="B25" s="805">
        <f>SUM(B17:B24)</f>
        <v>188</v>
      </c>
      <c r="C25" s="695"/>
      <c r="D25" s="695"/>
      <c r="E25" s="695"/>
      <c r="F25" s="695"/>
    </row>
    <row r="26" spans="1:7">
      <c r="A26" s="695"/>
      <c r="B26" s="695"/>
      <c r="C26" s="695"/>
      <c r="D26" s="695"/>
      <c r="E26" s="695"/>
      <c r="F26" s="695"/>
    </row>
    <row r="27" spans="1:7">
      <c r="A27" s="798"/>
      <c r="B27" s="798"/>
      <c r="C27" s="695"/>
    </row>
    <row r="28" spans="1:7">
      <c r="A28" s="695"/>
      <c r="B28" s="695"/>
      <c r="C28" s="69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130" t="s">
        <v>0</v>
      </c>
    </row>
    <row r="2" spans="1:2">
      <c r="A2" s="1" t="s">
        <v>1</v>
      </c>
    </row>
    <row r="3" spans="1:2">
      <c r="A3" s="128"/>
    </row>
    <row r="4" spans="1:2">
      <c r="A4" s="646" t="s">
        <v>425</v>
      </c>
      <c r="B4" s="647" t="s">
        <v>426</v>
      </c>
    </row>
    <row r="5" spans="1:2" ht="15.75" thickBot="1">
      <c r="A5" s="648" t="s">
        <v>427</v>
      </c>
      <c r="B5" s="649">
        <v>135</v>
      </c>
    </row>
    <row r="6" spans="1:2" ht="45">
      <c r="A6" s="648" t="s">
        <v>428</v>
      </c>
      <c r="B6" s="649">
        <v>58</v>
      </c>
    </row>
    <row r="7" spans="1:2" ht="45">
      <c r="A7" s="650" t="s">
        <v>429</v>
      </c>
      <c r="B7" s="649">
        <v>281</v>
      </c>
    </row>
    <row r="8" spans="1:2" ht="15.75" thickBot="1">
      <c r="A8" s="648" t="s">
        <v>430</v>
      </c>
      <c r="B8" s="649">
        <v>106</v>
      </c>
    </row>
    <row r="9" spans="1:2" ht="15.75" thickBot="1">
      <c r="A9" s="648" t="s">
        <v>431</v>
      </c>
      <c r="B9" s="649">
        <v>4</v>
      </c>
    </row>
    <row r="10" spans="1:2" ht="15.75" thickBot="1">
      <c r="A10" s="648" t="s">
        <v>432</v>
      </c>
      <c r="B10" s="649">
        <v>257</v>
      </c>
    </row>
    <row r="11" spans="1:2" ht="15.75" thickBot="1">
      <c r="A11" s="648" t="s">
        <v>433</v>
      </c>
      <c r="B11" s="649">
        <v>72</v>
      </c>
    </row>
    <row r="12" spans="1:2" ht="30">
      <c r="A12" s="651" t="s">
        <v>434</v>
      </c>
      <c r="B12" s="649">
        <v>42</v>
      </c>
    </row>
    <row r="13" spans="1:2">
      <c r="A13" s="652" t="s">
        <v>15</v>
      </c>
      <c r="B13" s="653">
        <f>SUM(B5:B12)</f>
        <v>955</v>
      </c>
    </row>
    <row r="16" spans="1:2">
      <c r="A16" s="128"/>
    </row>
    <row r="17" spans="1:1">
      <c r="A17" s="128"/>
    </row>
    <row r="18" spans="1:1">
      <c r="A18" s="128"/>
    </row>
    <row r="19" spans="1:1">
      <c r="A19" s="128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="80" zoomScaleNormal="80" workbookViewId="0">
      <selection activeCell="F5" sqref="F5:F10"/>
    </sheetView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.140625" customWidth="1"/>
    <col min="6" max="6" width="7.85546875" style="2" bestFit="1" customWidth="1"/>
    <col min="7" max="10" width="7.85546875" customWidth="1"/>
    <col min="11" max="11" width="8" customWidth="1"/>
    <col min="12" max="13" width="7.85546875" customWidth="1"/>
    <col min="14" max="14" width="7.7109375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  <c r="R1" s="695"/>
      <c r="S1" s="695"/>
      <c r="T1" s="695"/>
      <c r="U1" s="695"/>
      <c r="V1" s="695"/>
      <c r="W1" s="695"/>
    </row>
    <row r="2" spans="1:32">
      <c r="A2" s="1" t="s">
        <v>1</v>
      </c>
      <c r="B2" s="1"/>
      <c r="C2" s="1"/>
      <c r="R2" s="695"/>
      <c r="S2" s="695"/>
      <c r="T2" s="695"/>
      <c r="U2" s="695"/>
      <c r="V2" s="695"/>
      <c r="W2" s="695"/>
    </row>
    <row r="3" spans="1:32" ht="15.75" thickBot="1">
      <c r="R3" s="695"/>
      <c r="S3" s="695"/>
      <c r="T3" s="695"/>
      <c r="U3" s="695"/>
      <c r="V3" s="695"/>
      <c r="W3" s="695"/>
    </row>
    <row r="4" spans="1:32" ht="50.25" customHeight="1" thickBot="1">
      <c r="A4" s="64" t="s">
        <v>16</v>
      </c>
      <c r="B4" s="27">
        <v>45261</v>
      </c>
      <c r="C4" s="25">
        <v>45231</v>
      </c>
      <c r="D4" s="65">
        <v>45200</v>
      </c>
      <c r="E4" s="26">
        <v>45170</v>
      </c>
      <c r="F4" s="26">
        <v>45139</v>
      </c>
      <c r="G4" s="26">
        <v>45108</v>
      </c>
      <c r="H4" s="26">
        <v>45078</v>
      </c>
      <c r="I4" s="27">
        <v>45047</v>
      </c>
      <c r="J4" s="25">
        <v>45017</v>
      </c>
      <c r="K4" s="25">
        <v>44986</v>
      </c>
      <c r="L4" s="25">
        <v>44958</v>
      </c>
      <c r="M4" s="65">
        <v>44927</v>
      </c>
      <c r="N4" s="26" t="s">
        <v>5</v>
      </c>
      <c r="O4" s="66" t="s">
        <v>6</v>
      </c>
      <c r="P4" s="66" t="s">
        <v>8</v>
      </c>
      <c r="Q4" s="67" t="s">
        <v>455</v>
      </c>
      <c r="R4" s="695"/>
      <c r="S4" s="695"/>
      <c r="T4" s="695"/>
      <c r="U4" s="695"/>
      <c r="V4" s="695"/>
      <c r="W4" s="695"/>
    </row>
    <row r="5" spans="1:32" ht="15.75" thickBot="1">
      <c r="A5" s="68" t="s">
        <v>17</v>
      </c>
      <c r="B5" s="69"/>
      <c r="C5" s="69"/>
      <c r="D5" s="69"/>
      <c r="E5" s="69"/>
      <c r="F5" s="34">
        <v>20</v>
      </c>
      <c r="G5" s="69">
        <v>10</v>
      </c>
      <c r="H5" s="69">
        <v>13</v>
      </c>
      <c r="I5" s="726">
        <v>8</v>
      </c>
      <c r="J5" s="229">
        <v>19</v>
      </c>
      <c r="K5" s="76">
        <v>9</v>
      </c>
      <c r="L5" s="229">
        <v>12</v>
      </c>
      <c r="M5" s="70">
        <v>5</v>
      </c>
      <c r="N5" s="71">
        <f t="shared" ref="N5:N10" si="0">SUM(B5:M5)</f>
        <v>96</v>
      </c>
      <c r="O5" s="72">
        <f t="shared" ref="O5:O11" si="1">AVERAGE(B5:M5)</f>
        <v>12</v>
      </c>
      <c r="P5" s="73">
        <f t="shared" ref="P5:P11" si="2">N5/N$11*100</f>
        <v>0.23958671292021264</v>
      </c>
      <c r="Q5" s="74">
        <f>(F5*100)/$F$11</f>
        <v>0.39339103068450038</v>
      </c>
      <c r="R5" s="695"/>
      <c r="S5" s="695"/>
      <c r="T5" s="695"/>
      <c r="U5" s="695"/>
      <c r="V5" s="695"/>
      <c r="W5" s="695"/>
    </row>
    <row r="6" spans="1:32" ht="15.75" thickBot="1">
      <c r="A6" s="75" t="s">
        <v>18</v>
      </c>
      <c r="B6" s="76"/>
      <c r="C6" s="76"/>
      <c r="D6" s="76"/>
      <c r="E6" s="76"/>
      <c r="F6" s="46">
        <v>1818</v>
      </c>
      <c r="G6" s="76">
        <v>1633</v>
      </c>
      <c r="H6" s="76">
        <v>1974</v>
      </c>
      <c r="I6" s="727">
        <v>1982</v>
      </c>
      <c r="J6" s="231">
        <v>1875</v>
      </c>
      <c r="K6" s="76">
        <v>1921</v>
      </c>
      <c r="L6" s="231">
        <v>1612</v>
      </c>
      <c r="M6" s="77">
        <v>1490</v>
      </c>
      <c r="N6" s="71">
        <f t="shared" si="0"/>
        <v>14305</v>
      </c>
      <c r="O6" s="72">
        <f t="shared" si="1"/>
        <v>1788.125</v>
      </c>
      <c r="P6" s="73">
        <f t="shared" si="2"/>
        <v>35.700915920037936</v>
      </c>
      <c r="Q6" s="74">
        <f t="shared" ref="Q6:Q10" si="3">(F6*100)/$F$11</f>
        <v>35.759244689221084</v>
      </c>
      <c r="R6" s="695"/>
      <c r="S6" s="695"/>
      <c r="T6" s="695"/>
      <c r="U6" s="695"/>
      <c r="V6" s="695"/>
      <c r="W6" s="695"/>
    </row>
    <row r="7" spans="1:32" ht="15.75" thickBot="1">
      <c r="A7" s="75" t="s">
        <v>19</v>
      </c>
      <c r="B7" s="76"/>
      <c r="C7" s="76"/>
      <c r="D7" s="76"/>
      <c r="E7" s="76"/>
      <c r="F7" s="46">
        <v>812</v>
      </c>
      <c r="G7" s="76">
        <v>845</v>
      </c>
      <c r="H7" s="76">
        <v>815</v>
      </c>
      <c r="I7" s="727">
        <v>956</v>
      </c>
      <c r="J7" s="231">
        <v>778</v>
      </c>
      <c r="K7" s="76">
        <v>895</v>
      </c>
      <c r="L7" s="231">
        <v>799</v>
      </c>
      <c r="M7" s="77">
        <v>787</v>
      </c>
      <c r="N7" s="71">
        <f t="shared" si="0"/>
        <v>6687</v>
      </c>
      <c r="O7" s="72">
        <f t="shared" si="1"/>
        <v>835.875</v>
      </c>
      <c r="P7" s="73">
        <f t="shared" si="2"/>
        <v>16.688711971848562</v>
      </c>
      <c r="Q7" s="74">
        <f t="shared" si="3"/>
        <v>15.971675845790715</v>
      </c>
      <c r="R7" s="695"/>
      <c r="S7" s="695"/>
      <c r="T7" s="695"/>
      <c r="U7" s="695"/>
      <c r="V7" s="695"/>
      <c r="W7" s="695"/>
    </row>
    <row r="8" spans="1:32" ht="15.75" thickBot="1">
      <c r="A8" s="75" t="s">
        <v>20</v>
      </c>
      <c r="B8" s="76"/>
      <c r="C8" s="76"/>
      <c r="D8" s="76"/>
      <c r="E8" s="76"/>
      <c r="F8" s="46">
        <v>93</v>
      </c>
      <c r="G8" s="76">
        <v>134</v>
      </c>
      <c r="H8" s="76">
        <v>22</v>
      </c>
      <c r="I8" s="727">
        <v>32</v>
      </c>
      <c r="J8" s="231">
        <v>57</v>
      </c>
      <c r="K8" s="76">
        <v>28</v>
      </c>
      <c r="L8" s="231">
        <v>13</v>
      </c>
      <c r="M8" s="77">
        <v>11</v>
      </c>
      <c r="N8" s="71">
        <f t="shared" si="0"/>
        <v>390</v>
      </c>
      <c r="O8" s="72">
        <f t="shared" si="1"/>
        <v>48.75</v>
      </c>
      <c r="P8" s="73">
        <f t="shared" si="2"/>
        <v>0.97332102123836373</v>
      </c>
      <c r="Q8" s="74">
        <f t="shared" si="3"/>
        <v>1.8292682926829269</v>
      </c>
      <c r="R8" s="876"/>
      <c r="S8" s="695"/>
      <c r="T8" s="695"/>
      <c r="U8" s="695"/>
      <c r="V8" s="695"/>
      <c r="W8" s="695"/>
    </row>
    <row r="9" spans="1:32" ht="15.75" thickBot="1">
      <c r="A9" s="75" t="s">
        <v>21</v>
      </c>
      <c r="B9" s="76"/>
      <c r="C9" s="76"/>
      <c r="D9" s="76"/>
      <c r="E9" s="76"/>
      <c r="F9" s="46">
        <v>2210</v>
      </c>
      <c r="G9" s="76">
        <v>2137</v>
      </c>
      <c r="H9" s="76">
        <v>2023</v>
      </c>
      <c r="I9" s="727">
        <v>2437</v>
      </c>
      <c r="J9" s="231">
        <v>2001</v>
      </c>
      <c r="K9" s="76">
        <v>2696</v>
      </c>
      <c r="L9" s="231">
        <v>2195</v>
      </c>
      <c r="M9" s="77">
        <v>1997</v>
      </c>
      <c r="N9" s="71">
        <f t="shared" si="0"/>
        <v>17696</v>
      </c>
      <c r="O9" s="72">
        <f t="shared" si="1"/>
        <v>2212</v>
      </c>
      <c r="P9" s="73">
        <f t="shared" si="2"/>
        <v>44.163817414959198</v>
      </c>
      <c r="Q9" s="74">
        <f t="shared" si="3"/>
        <v>43.469708890637293</v>
      </c>
      <c r="R9" s="876"/>
      <c r="S9" s="695"/>
      <c r="T9" s="695"/>
      <c r="U9" s="695"/>
      <c r="V9" s="695"/>
      <c r="W9" s="695"/>
    </row>
    <row r="10" spans="1:32" ht="15.75" thickBot="1">
      <c r="A10" s="79" t="s">
        <v>22</v>
      </c>
      <c r="B10" s="80"/>
      <c r="C10" s="80"/>
      <c r="D10" s="80"/>
      <c r="E10" s="80"/>
      <c r="F10" s="216">
        <v>131</v>
      </c>
      <c r="G10" s="80">
        <v>138</v>
      </c>
      <c r="H10" s="80">
        <v>74</v>
      </c>
      <c r="I10" s="728">
        <v>112</v>
      </c>
      <c r="J10" s="231">
        <v>86</v>
      </c>
      <c r="K10" s="76">
        <v>132</v>
      </c>
      <c r="L10" s="233">
        <v>116</v>
      </c>
      <c r="M10" s="81">
        <v>106</v>
      </c>
      <c r="N10" s="71">
        <f t="shared" si="0"/>
        <v>895</v>
      </c>
      <c r="O10" s="72">
        <f t="shared" si="1"/>
        <v>111.875</v>
      </c>
      <c r="P10" s="73">
        <f t="shared" si="2"/>
        <v>2.2336469589957324</v>
      </c>
      <c r="Q10" s="74">
        <f t="shared" si="3"/>
        <v>2.5767112509834775</v>
      </c>
      <c r="R10" s="876"/>
      <c r="S10" s="877"/>
      <c r="T10" s="695"/>
      <c r="U10" s="695"/>
      <c r="V10" s="695"/>
      <c r="W10" s="695"/>
    </row>
    <row r="11" spans="1:32" ht="16.5" thickBot="1">
      <c r="A11" s="82" t="s">
        <v>23</v>
      </c>
      <c r="B11" s="83"/>
      <c r="C11" s="84"/>
      <c r="D11" s="84"/>
      <c r="E11" s="84"/>
      <c r="F11" s="84">
        <f t="shared" ref="F11:N11" si="4">SUM(F5:F10)</f>
        <v>5084</v>
      </c>
      <c r="G11" s="84">
        <f t="shared" si="4"/>
        <v>4897</v>
      </c>
      <c r="H11" s="84">
        <f t="shared" si="4"/>
        <v>4921</v>
      </c>
      <c r="I11" s="84">
        <f t="shared" si="4"/>
        <v>5527</v>
      </c>
      <c r="J11" s="84">
        <f t="shared" si="4"/>
        <v>4816</v>
      </c>
      <c r="K11" s="84">
        <f t="shared" si="4"/>
        <v>5681</v>
      </c>
      <c r="L11" s="84">
        <f t="shared" si="4"/>
        <v>4747</v>
      </c>
      <c r="M11" s="85">
        <f t="shared" si="4"/>
        <v>4396</v>
      </c>
      <c r="N11" s="84">
        <f t="shared" si="4"/>
        <v>40069</v>
      </c>
      <c r="O11" s="86">
        <f t="shared" si="1"/>
        <v>5008.625</v>
      </c>
      <c r="P11" s="654">
        <f t="shared" si="2"/>
        <v>100</v>
      </c>
      <c r="Q11" s="74">
        <f t="shared" ref="Q11" si="5">(G11*100)/$G$11</f>
        <v>100</v>
      </c>
      <c r="R11" s="876"/>
      <c r="S11" s="878"/>
      <c r="T11" s="695"/>
      <c r="U11" s="695"/>
      <c r="V11" s="695"/>
      <c r="W11" s="695"/>
      <c r="AD11" s="89"/>
      <c r="AE11" s="2"/>
      <c r="AF11" s="89"/>
    </row>
    <row r="12" spans="1:32">
      <c r="M12" s="90"/>
      <c r="N12" s="88"/>
      <c r="U12" s="89"/>
      <c r="V12" s="2"/>
      <c r="W12" s="89"/>
    </row>
    <row r="13" spans="1:32">
      <c r="A13" s="883"/>
      <c r="B13" s="883"/>
      <c r="C13" s="883"/>
      <c r="D13" s="883"/>
      <c r="E13" s="78"/>
      <c r="I13" s="88"/>
      <c r="J13" s="88"/>
      <c r="U13" s="89"/>
      <c r="V13" s="2"/>
      <c r="W13" s="89"/>
    </row>
    <row r="14" spans="1:32">
      <c r="A14" s="883"/>
      <c r="B14" s="883"/>
      <c r="C14" s="883"/>
      <c r="D14" s="883"/>
      <c r="I14" s="88"/>
      <c r="U14" s="89"/>
      <c r="V14" s="2"/>
      <c r="W14" s="89"/>
    </row>
    <row r="15" spans="1:32">
      <c r="A15" s="883"/>
      <c r="B15" s="883"/>
      <c r="C15" s="883"/>
      <c r="D15" s="883"/>
      <c r="U15" s="91"/>
      <c r="V15" s="2"/>
      <c r="W15" s="92"/>
    </row>
    <row r="20" spans="1:5">
      <c r="A20" s="1"/>
      <c r="B20" s="1"/>
      <c r="C20" s="1"/>
      <c r="D20" s="6"/>
    </row>
    <row r="21" spans="1:5">
      <c r="A21" s="89"/>
      <c r="B21" s="89"/>
      <c r="C21" s="89"/>
      <c r="D21" s="93"/>
    </row>
    <row r="22" spans="1:5">
      <c r="A22" s="89"/>
      <c r="B22" s="89"/>
      <c r="C22" s="89"/>
      <c r="D22" s="93"/>
    </row>
    <row r="23" spans="1:5">
      <c r="A23" s="89"/>
      <c r="B23" s="89"/>
      <c r="C23" s="89"/>
      <c r="D23" s="93"/>
    </row>
    <row r="24" spans="1:5">
      <c r="A24" s="89"/>
      <c r="B24" s="89"/>
      <c r="C24" s="89"/>
      <c r="D24" s="93"/>
    </row>
    <row r="25" spans="1:5">
      <c r="A25" s="91"/>
      <c r="B25" s="91"/>
      <c r="C25" s="91"/>
      <c r="D25" s="93"/>
    </row>
    <row r="26" spans="1:5">
      <c r="E26" s="88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F11:M1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2"/>
  <sheetViews>
    <sheetView workbookViewId="0">
      <selection activeCell="F122" sqref="F122"/>
    </sheetView>
  </sheetViews>
  <sheetFormatPr defaultRowHeight="15"/>
  <cols>
    <col min="1" max="1" width="68" customWidth="1"/>
    <col min="2" max="2" width="7.5703125" style="95" bestFit="1" customWidth="1"/>
    <col min="3" max="3" width="7.7109375" style="95" bestFit="1" customWidth="1"/>
    <col min="4" max="4" width="7.140625" style="95" bestFit="1" customWidth="1"/>
    <col min="5" max="5" width="7" style="95" bestFit="1" customWidth="1"/>
    <col min="6" max="6" width="7.5703125" style="95" bestFit="1" customWidth="1"/>
    <col min="7" max="7" width="6.28515625" style="95" bestFit="1" customWidth="1"/>
    <col min="8" max="8" width="7" style="95" bestFit="1" customWidth="1"/>
    <col min="9" max="9" width="7.28515625" style="95" bestFit="1" customWidth="1"/>
    <col min="10" max="10" width="7.140625" style="95" bestFit="1" customWidth="1"/>
    <col min="11" max="11" width="7.5703125" style="95" bestFit="1" customWidth="1"/>
    <col min="12" max="12" width="7.140625" style="95" bestFit="1" customWidth="1"/>
    <col min="13" max="13" width="6.85546875" style="95" bestFit="1" customWidth="1"/>
    <col min="14" max="14" width="6.140625" style="95" bestFit="1" customWidth="1"/>
    <col min="15" max="15" width="8.85546875" style="95" customWidth="1"/>
    <col min="16" max="16" width="8.5703125" style="96" bestFit="1" customWidth="1"/>
    <col min="17" max="17" width="9.140625" customWidth="1"/>
  </cols>
  <sheetData>
    <row r="1" spans="1:16">
      <c r="A1" s="1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6">
      <c r="A2" s="1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6" ht="15.75" thickBot="1"/>
    <row r="4" spans="1:16" ht="15.75" thickBot="1">
      <c r="A4" s="97" t="s">
        <v>24</v>
      </c>
      <c r="B4" s="98">
        <v>45261</v>
      </c>
      <c r="C4" s="99">
        <v>45231</v>
      </c>
      <c r="D4" s="100">
        <v>45200</v>
      </c>
      <c r="E4" s="99">
        <v>45170</v>
      </c>
      <c r="F4" s="99">
        <v>45139</v>
      </c>
      <c r="G4" s="99">
        <v>45108</v>
      </c>
      <c r="H4" s="99">
        <v>45078</v>
      </c>
      <c r="I4" s="101">
        <v>45047</v>
      </c>
      <c r="J4" s="99">
        <v>45017</v>
      </c>
      <c r="K4" s="98">
        <v>44986</v>
      </c>
      <c r="L4" s="25">
        <v>44958</v>
      </c>
      <c r="M4" s="102">
        <v>44927</v>
      </c>
      <c r="N4" s="25" t="s">
        <v>5</v>
      </c>
      <c r="O4" s="103" t="s">
        <v>6</v>
      </c>
      <c r="P4" s="87" t="s">
        <v>25</v>
      </c>
    </row>
    <row r="5" spans="1:16" s="107" customFormat="1">
      <c r="A5" s="840" t="s">
        <v>26</v>
      </c>
      <c r="B5" s="841"/>
      <c r="C5" s="842"/>
      <c r="D5" s="843"/>
      <c r="E5" s="844"/>
      <c r="F5" s="844">
        <v>0</v>
      </c>
      <c r="G5" s="844">
        <v>3</v>
      </c>
      <c r="H5" s="844">
        <v>3</v>
      </c>
      <c r="I5" s="844">
        <v>0</v>
      </c>
      <c r="J5" s="844">
        <v>0</v>
      </c>
      <c r="K5" s="845">
        <v>0</v>
      </c>
      <c r="L5" s="846">
        <v>0</v>
      </c>
      <c r="M5" s="845">
        <v>1</v>
      </c>
      <c r="N5" s="847">
        <f t="shared" ref="N5:N37" si="0">SUM(B5:M5)</f>
        <v>7</v>
      </c>
      <c r="O5" s="848">
        <f t="shared" ref="O5:O37" si="1">AVERAGE(B5:M5)</f>
        <v>0.875</v>
      </c>
      <c r="P5" s="849">
        <f>(N5/$N$192)*100</f>
        <v>1.8068246347633061E-2</v>
      </c>
    </row>
    <row r="6" spans="1:16" s="107" customFormat="1">
      <c r="A6" s="850" t="s">
        <v>27</v>
      </c>
      <c r="B6" s="851"/>
      <c r="C6" s="852"/>
      <c r="D6" s="853"/>
      <c r="E6" s="854"/>
      <c r="F6" s="854">
        <v>1</v>
      </c>
      <c r="G6" s="854">
        <v>0</v>
      </c>
      <c r="H6" s="844">
        <v>1</v>
      </c>
      <c r="I6" s="844">
        <v>0</v>
      </c>
      <c r="J6" s="844">
        <v>0</v>
      </c>
      <c r="K6" s="845">
        <v>1</v>
      </c>
      <c r="L6" s="845">
        <v>0</v>
      </c>
      <c r="M6" s="845">
        <v>0</v>
      </c>
      <c r="N6" s="855">
        <f t="shared" si="0"/>
        <v>3</v>
      </c>
      <c r="O6" s="856">
        <f t="shared" si="1"/>
        <v>0.375</v>
      </c>
      <c r="P6" s="849">
        <f>(N6/$N$192)*100</f>
        <v>7.7435341489855971E-3</v>
      </c>
    </row>
    <row r="7" spans="1:16" s="107" customFormat="1">
      <c r="A7" s="850" t="s">
        <v>28</v>
      </c>
      <c r="B7" s="851"/>
      <c r="C7" s="852"/>
      <c r="D7" s="853"/>
      <c r="E7" s="854"/>
      <c r="F7" s="854">
        <v>2</v>
      </c>
      <c r="G7" s="854">
        <v>1</v>
      </c>
      <c r="H7" s="854">
        <v>0</v>
      </c>
      <c r="I7" s="854">
        <v>2</v>
      </c>
      <c r="J7" s="854">
        <v>4</v>
      </c>
      <c r="K7" s="845">
        <v>3</v>
      </c>
      <c r="L7" s="845">
        <v>2</v>
      </c>
      <c r="M7" s="845">
        <v>4</v>
      </c>
      <c r="N7" s="855">
        <f t="shared" si="0"/>
        <v>18</v>
      </c>
      <c r="O7" s="856">
        <f t="shared" si="1"/>
        <v>2.25</v>
      </c>
      <c r="P7" s="849">
        <f>(N7/$N$192)*100</f>
        <v>4.6461204893913581E-2</v>
      </c>
    </row>
    <row r="8" spans="1:16" s="107" customFormat="1">
      <c r="A8" s="850" t="s">
        <v>450</v>
      </c>
      <c r="B8" s="851"/>
      <c r="C8" s="852"/>
      <c r="D8" s="853"/>
      <c r="E8" s="854"/>
      <c r="F8" s="854">
        <v>3</v>
      </c>
      <c r="G8" s="854">
        <v>0</v>
      </c>
      <c r="H8" s="854">
        <v>0</v>
      </c>
      <c r="I8" s="854">
        <v>0</v>
      </c>
      <c r="J8" s="854">
        <v>0</v>
      </c>
      <c r="K8" s="845">
        <v>0</v>
      </c>
      <c r="L8" s="845">
        <v>0</v>
      </c>
      <c r="M8" s="845">
        <v>0</v>
      </c>
      <c r="N8" s="855">
        <f t="shared" si="0"/>
        <v>3</v>
      </c>
      <c r="O8" s="856">
        <f t="shared" si="1"/>
        <v>0.375</v>
      </c>
      <c r="P8" s="849">
        <f>(N8/$N$192)*100</f>
        <v>7.7435341489855971E-3</v>
      </c>
    </row>
    <row r="9" spans="1:16" s="107" customFormat="1">
      <c r="A9" s="850" t="s">
        <v>29</v>
      </c>
      <c r="B9" s="851"/>
      <c r="C9" s="852"/>
      <c r="D9" s="853"/>
      <c r="E9" s="854"/>
      <c r="F9" s="854">
        <v>0</v>
      </c>
      <c r="G9" s="854">
        <v>0</v>
      </c>
      <c r="H9" s="854">
        <v>0</v>
      </c>
      <c r="I9" s="854">
        <v>0</v>
      </c>
      <c r="J9" s="854">
        <v>0</v>
      </c>
      <c r="K9" s="845">
        <v>0</v>
      </c>
      <c r="L9" s="845">
        <v>1</v>
      </c>
      <c r="M9" s="845">
        <v>2</v>
      </c>
      <c r="N9" s="855">
        <f t="shared" si="0"/>
        <v>3</v>
      </c>
      <c r="O9" s="856">
        <f t="shared" si="1"/>
        <v>0.375</v>
      </c>
      <c r="P9" s="849">
        <f t="shared" ref="P9:P40" si="2">(N9/$N$192)*100</f>
        <v>7.7435341489855971E-3</v>
      </c>
    </row>
    <row r="10" spans="1:16" s="107" customFormat="1">
      <c r="A10" s="857" t="s">
        <v>30</v>
      </c>
      <c r="B10" s="851"/>
      <c r="C10" s="852"/>
      <c r="D10" s="853"/>
      <c r="E10" s="854"/>
      <c r="F10" s="854">
        <v>2</v>
      </c>
      <c r="G10" s="854">
        <v>25</v>
      </c>
      <c r="H10" s="854">
        <v>4</v>
      </c>
      <c r="I10" s="854">
        <v>6</v>
      </c>
      <c r="J10" s="854">
        <v>2</v>
      </c>
      <c r="K10" s="845">
        <v>11</v>
      </c>
      <c r="L10" s="845">
        <v>3</v>
      </c>
      <c r="M10" s="845">
        <v>1</v>
      </c>
      <c r="N10" s="855">
        <f t="shared" si="0"/>
        <v>54</v>
      </c>
      <c r="O10" s="856">
        <f t="shared" si="1"/>
        <v>6.75</v>
      </c>
      <c r="P10" s="849">
        <f t="shared" si="2"/>
        <v>0.13938361468174074</v>
      </c>
    </row>
    <row r="11" spans="1:16" s="107" customFormat="1">
      <c r="A11" s="850" t="s">
        <v>31</v>
      </c>
      <c r="B11" s="851"/>
      <c r="C11" s="852"/>
      <c r="D11" s="853"/>
      <c r="E11" s="854"/>
      <c r="F11" s="854">
        <v>0</v>
      </c>
      <c r="G11" s="854">
        <v>0</v>
      </c>
      <c r="H11" s="854">
        <v>0</v>
      </c>
      <c r="I11" s="854">
        <v>0</v>
      </c>
      <c r="J11" s="854">
        <v>0</v>
      </c>
      <c r="K11" s="845">
        <v>0</v>
      </c>
      <c r="L11" s="845">
        <v>0</v>
      </c>
      <c r="M11" s="845">
        <v>0</v>
      </c>
      <c r="N11" s="855">
        <f t="shared" si="0"/>
        <v>0</v>
      </c>
      <c r="O11" s="856">
        <f t="shared" si="1"/>
        <v>0</v>
      </c>
      <c r="P11" s="849">
        <f t="shared" si="2"/>
        <v>0</v>
      </c>
    </row>
    <row r="12" spans="1:16" s="107" customFormat="1">
      <c r="A12" s="850" t="s">
        <v>32</v>
      </c>
      <c r="B12" s="851"/>
      <c r="C12" s="852"/>
      <c r="D12" s="853"/>
      <c r="E12" s="854"/>
      <c r="F12" s="854">
        <v>0</v>
      </c>
      <c r="G12" s="854">
        <v>0</v>
      </c>
      <c r="H12" s="854">
        <v>0</v>
      </c>
      <c r="I12" s="854">
        <v>0</v>
      </c>
      <c r="J12" s="854">
        <v>0</v>
      </c>
      <c r="K12" s="845">
        <v>2</v>
      </c>
      <c r="L12" s="845">
        <v>0</v>
      </c>
      <c r="M12" s="845">
        <v>0</v>
      </c>
      <c r="N12" s="855">
        <f t="shared" si="0"/>
        <v>2</v>
      </c>
      <c r="O12" s="856">
        <f t="shared" si="1"/>
        <v>0.25</v>
      </c>
      <c r="P12" s="849">
        <f t="shared" si="2"/>
        <v>5.1623560993237314E-3</v>
      </c>
    </row>
    <row r="13" spans="1:16" s="107" customFormat="1">
      <c r="A13" s="850" t="s">
        <v>33</v>
      </c>
      <c r="B13" s="851"/>
      <c r="C13" s="852"/>
      <c r="D13" s="853"/>
      <c r="E13" s="854"/>
      <c r="F13" s="854">
        <v>1</v>
      </c>
      <c r="G13" s="854">
        <v>0</v>
      </c>
      <c r="H13" s="854">
        <v>2</v>
      </c>
      <c r="I13" s="854">
        <v>1</v>
      </c>
      <c r="J13" s="854">
        <v>0</v>
      </c>
      <c r="K13" s="845">
        <v>3</v>
      </c>
      <c r="L13" s="845">
        <v>0</v>
      </c>
      <c r="M13" s="845">
        <v>1</v>
      </c>
      <c r="N13" s="855">
        <f t="shared" si="0"/>
        <v>8</v>
      </c>
      <c r="O13" s="856">
        <f t="shared" si="1"/>
        <v>1</v>
      </c>
      <c r="P13" s="849">
        <f t="shared" si="2"/>
        <v>2.0649424397294926E-2</v>
      </c>
    </row>
    <row r="14" spans="1:16">
      <c r="A14" s="857" t="s">
        <v>34</v>
      </c>
      <c r="B14" s="858"/>
      <c r="C14" s="852"/>
      <c r="D14" s="859"/>
      <c r="E14" s="860"/>
      <c r="F14" s="860">
        <v>17</v>
      </c>
      <c r="G14" s="854">
        <v>16</v>
      </c>
      <c r="H14" s="854">
        <v>9</v>
      </c>
      <c r="I14" s="854">
        <v>15</v>
      </c>
      <c r="J14" s="860">
        <v>8</v>
      </c>
      <c r="K14" s="845">
        <v>10</v>
      </c>
      <c r="L14" s="845">
        <v>8</v>
      </c>
      <c r="M14" s="845">
        <v>9</v>
      </c>
      <c r="N14" s="855">
        <f t="shared" si="0"/>
        <v>92</v>
      </c>
      <c r="O14" s="856">
        <f t="shared" si="1"/>
        <v>11.5</v>
      </c>
      <c r="P14" s="849">
        <f t="shared" si="2"/>
        <v>0.23746838056889163</v>
      </c>
    </row>
    <row r="15" spans="1:16">
      <c r="A15" s="861" t="s">
        <v>35</v>
      </c>
      <c r="B15" s="858"/>
      <c r="C15" s="852"/>
      <c r="D15" s="859"/>
      <c r="E15" s="860"/>
      <c r="F15" s="860">
        <v>14</v>
      </c>
      <c r="G15" s="854">
        <v>7</v>
      </c>
      <c r="H15" s="854">
        <v>16</v>
      </c>
      <c r="I15" s="854">
        <v>32</v>
      </c>
      <c r="J15" s="860">
        <v>17</v>
      </c>
      <c r="K15" s="845">
        <v>25</v>
      </c>
      <c r="L15" s="845">
        <v>19</v>
      </c>
      <c r="M15" s="845">
        <v>15</v>
      </c>
      <c r="N15" s="855">
        <f t="shared" si="0"/>
        <v>145</v>
      </c>
      <c r="O15" s="856">
        <f t="shared" si="1"/>
        <v>18.125</v>
      </c>
      <c r="P15" s="849">
        <f t="shared" si="2"/>
        <v>0.3742708172009705</v>
      </c>
    </row>
    <row r="16" spans="1:16">
      <c r="A16" s="861" t="s">
        <v>36</v>
      </c>
      <c r="B16" s="858"/>
      <c r="C16" s="852"/>
      <c r="D16" s="859"/>
      <c r="E16" s="860"/>
      <c r="F16" s="860">
        <v>0</v>
      </c>
      <c r="G16" s="854">
        <v>0</v>
      </c>
      <c r="H16" s="854">
        <v>0</v>
      </c>
      <c r="I16" s="854">
        <v>0</v>
      </c>
      <c r="J16" s="860">
        <v>0</v>
      </c>
      <c r="K16" s="845">
        <v>0</v>
      </c>
      <c r="L16" s="845">
        <v>0</v>
      </c>
      <c r="M16" s="845">
        <v>0</v>
      </c>
      <c r="N16" s="855">
        <f t="shared" si="0"/>
        <v>0</v>
      </c>
      <c r="O16" s="856">
        <f t="shared" si="1"/>
        <v>0</v>
      </c>
      <c r="P16" s="849">
        <f t="shared" si="2"/>
        <v>0</v>
      </c>
    </row>
    <row r="17" spans="1:16">
      <c r="A17" s="861" t="s">
        <v>37</v>
      </c>
      <c r="B17" s="858"/>
      <c r="C17" s="852"/>
      <c r="D17" s="859"/>
      <c r="E17" s="860"/>
      <c r="F17" s="860">
        <v>2</v>
      </c>
      <c r="G17" s="854">
        <v>8</v>
      </c>
      <c r="H17" s="854">
        <v>3</v>
      </c>
      <c r="I17" s="854">
        <v>3</v>
      </c>
      <c r="J17" s="860">
        <v>3</v>
      </c>
      <c r="K17" s="845">
        <v>1</v>
      </c>
      <c r="L17" s="845">
        <v>6</v>
      </c>
      <c r="M17" s="845">
        <v>4</v>
      </c>
      <c r="N17" s="855">
        <f t="shared" si="0"/>
        <v>30</v>
      </c>
      <c r="O17" s="856">
        <f t="shared" si="1"/>
        <v>3.75</v>
      </c>
      <c r="P17" s="849">
        <f t="shared" si="2"/>
        <v>7.7435341489855966E-2</v>
      </c>
    </row>
    <row r="18" spans="1:16">
      <c r="A18" s="861" t="s">
        <v>38</v>
      </c>
      <c r="B18" s="858"/>
      <c r="C18" s="852"/>
      <c r="D18" s="859"/>
      <c r="E18" s="860"/>
      <c r="F18" s="860">
        <v>2</v>
      </c>
      <c r="G18" s="854">
        <v>5</v>
      </c>
      <c r="H18" s="854">
        <v>4</v>
      </c>
      <c r="I18" s="854">
        <v>4</v>
      </c>
      <c r="J18" s="860">
        <v>2</v>
      </c>
      <c r="K18" s="845">
        <v>1</v>
      </c>
      <c r="L18" s="845">
        <v>5</v>
      </c>
      <c r="M18" s="845">
        <v>3</v>
      </c>
      <c r="N18" s="855">
        <f t="shared" si="0"/>
        <v>26</v>
      </c>
      <c r="O18" s="856">
        <f t="shared" si="1"/>
        <v>3.25</v>
      </c>
      <c r="P18" s="849">
        <f t="shared" si="2"/>
        <v>6.7110629291208507E-2</v>
      </c>
    </row>
    <row r="19" spans="1:16">
      <c r="A19" s="861" t="s">
        <v>39</v>
      </c>
      <c r="B19" s="858"/>
      <c r="C19" s="852"/>
      <c r="D19" s="859"/>
      <c r="E19" s="860"/>
      <c r="F19" s="860">
        <v>0</v>
      </c>
      <c r="G19" s="854">
        <v>0</v>
      </c>
      <c r="H19" s="854">
        <v>1</v>
      </c>
      <c r="I19" s="854">
        <v>1</v>
      </c>
      <c r="J19" s="860">
        <v>1</v>
      </c>
      <c r="K19" s="845">
        <v>1</v>
      </c>
      <c r="L19" s="845">
        <v>2</v>
      </c>
      <c r="M19" s="845">
        <v>0</v>
      </c>
      <c r="N19" s="855">
        <f t="shared" si="0"/>
        <v>6</v>
      </c>
      <c r="O19" s="856">
        <f t="shared" si="1"/>
        <v>0.75</v>
      </c>
      <c r="P19" s="849">
        <f t="shared" si="2"/>
        <v>1.5487068297971194E-2</v>
      </c>
    </row>
    <row r="20" spans="1:16">
      <c r="A20" s="861" t="s">
        <v>40</v>
      </c>
      <c r="B20" s="858"/>
      <c r="C20" s="852"/>
      <c r="D20" s="859"/>
      <c r="E20" s="860"/>
      <c r="F20" s="860">
        <v>0</v>
      </c>
      <c r="G20" s="854">
        <v>0</v>
      </c>
      <c r="H20" s="854">
        <v>0</v>
      </c>
      <c r="I20" s="854">
        <v>0</v>
      </c>
      <c r="J20" s="860">
        <v>0</v>
      </c>
      <c r="K20" s="845">
        <v>0</v>
      </c>
      <c r="L20" s="845">
        <v>0</v>
      </c>
      <c r="M20" s="845">
        <v>0</v>
      </c>
      <c r="N20" s="855">
        <f t="shared" si="0"/>
        <v>0</v>
      </c>
      <c r="O20" s="856">
        <f t="shared" si="1"/>
        <v>0</v>
      </c>
      <c r="P20" s="849">
        <f t="shared" si="2"/>
        <v>0</v>
      </c>
    </row>
    <row r="21" spans="1:16">
      <c r="A21" s="861" t="s">
        <v>41</v>
      </c>
      <c r="B21" s="858"/>
      <c r="C21" s="852"/>
      <c r="D21" s="859"/>
      <c r="E21" s="860"/>
      <c r="F21" s="860">
        <v>0</v>
      </c>
      <c r="G21" s="854">
        <v>0</v>
      </c>
      <c r="H21" s="854">
        <v>0</v>
      </c>
      <c r="I21" s="854">
        <v>0</v>
      </c>
      <c r="J21" s="860">
        <v>0</v>
      </c>
      <c r="K21" s="845">
        <v>0</v>
      </c>
      <c r="L21" s="845">
        <v>0</v>
      </c>
      <c r="M21" s="845">
        <v>0</v>
      </c>
      <c r="N21" s="855">
        <f t="shared" si="0"/>
        <v>0</v>
      </c>
      <c r="O21" s="856">
        <f t="shared" si="1"/>
        <v>0</v>
      </c>
      <c r="P21" s="849">
        <f t="shared" si="2"/>
        <v>0</v>
      </c>
    </row>
    <row r="22" spans="1:16">
      <c r="A22" s="861" t="s">
        <v>42</v>
      </c>
      <c r="B22" s="858"/>
      <c r="C22" s="852"/>
      <c r="D22" s="859"/>
      <c r="E22" s="860"/>
      <c r="F22" s="860">
        <v>12</v>
      </c>
      <c r="G22" s="854">
        <v>24</v>
      </c>
      <c r="H22" s="854">
        <v>12</v>
      </c>
      <c r="I22" s="854">
        <v>14</v>
      </c>
      <c r="J22" s="860">
        <v>12</v>
      </c>
      <c r="K22" s="845">
        <v>11</v>
      </c>
      <c r="L22" s="845">
        <v>13</v>
      </c>
      <c r="M22" s="845">
        <v>11</v>
      </c>
      <c r="N22" s="855">
        <f t="shared" si="0"/>
        <v>109</v>
      </c>
      <c r="O22" s="856">
        <f t="shared" si="1"/>
        <v>13.625</v>
      </c>
      <c r="P22" s="849">
        <f t="shared" si="2"/>
        <v>0.28134840741314332</v>
      </c>
    </row>
    <row r="23" spans="1:16">
      <c r="A23" s="861" t="s">
        <v>43</v>
      </c>
      <c r="B23" s="858"/>
      <c r="C23" s="852"/>
      <c r="D23" s="859"/>
      <c r="E23" s="860"/>
      <c r="F23" s="860">
        <v>298</v>
      </c>
      <c r="G23" s="854">
        <v>300</v>
      </c>
      <c r="H23" s="854">
        <v>282</v>
      </c>
      <c r="I23" s="854">
        <v>252</v>
      </c>
      <c r="J23" s="860">
        <v>231</v>
      </c>
      <c r="K23" s="845">
        <v>270</v>
      </c>
      <c r="L23" s="845">
        <v>265</v>
      </c>
      <c r="M23" s="845">
        <v>301</v>
      </c>
      <c r="N23" s="855">
        <f t="shared" si="0"/>
        <v>2199</v>
      </c>
      <c r="O23" s="856">
        <f t="shared" si="1"/>
        <v>274.875</v>
      </c>
      <c r="P23" s="849">
        <f t="shared" si="2"/>
        <v>5.6760105312064431</v>
      </c>
    </row>
    <row r="24" spans="1:16">
      <c r="A24" s="861" t="s">
        <v>44</v>
      </c>
      <c r="B24" s="858"/>
      <c r="C24" s="852"/>
      <c r="D24" s="859"/>
      <c r="E24" s="860"/>
      <c r="F24" s="860">
        <v>0</v>
      </c>
      <c r="G24" s="854">
        <v>1</v>
      </c>
      <c r="H24" s="854">
        <v>0</v>
      </c>
      <c r="I24" s="854">
        <v>1</v>
      </c>
      <c r="J24" s="860">
        <v>0</v>
      </c>
      <c r="K24" s="845">
        <v>0</v>
      </c>
      <c r="L24" s="845">
        <v>0</v>
      </c>
      <c r="M24" s="862">
        <v>0</v>
      </c>
      <c r="N24" s="855">
        <f t="shared" si="0"/>
        <v>2</v>
      </c>
      <c r="O24" s="856">
        <f t="shared" si="1"/>
        <v>0.25</v>
      </c>
      <c r="P24" s="849">
        <f t="shared" si="2"/>
        <v>5.1623560993237314E-3</v>
      </c>
    </row>
    <row r="25" spans="1:16">
      <c r="A25" s="861" t="s">
        <v>45</v>
      </c>
      <c r="B25" s="858"/>
      <c r="C25" s="852"/>
      <c r="D25" s="859"/>
      <c r="E25" s="860"/>
      <c r="F25" s="860">
        <v>0</v>
      </c>
      <c r="G25" s="854">
        <v>0</v>
      </c>
      <c r="H25" s="854">
        <v>0</v>
      </c>
      <c r="I25" s="854">
        <v>0</v>
      </c>
      <c r="J25" s="860">
        <v>0</v>
      </c>
      <c r="K25" s="845">
        <v>1</v>
      </c>
      <c r="L25" s="845">
        <v>0</v>
      </c>
      <c r="M25" s="862">
        <v>0</v>
      </c>
      <c r="N25" s="855">
        <f t="shared" si="0"/>
        <v>1</v>
      </c>
      <c r="O25" s="856">
        <f t="shared" si="1"/>
        <v>0.125</v>
      </c>
      <c r="P25" s="849">
        <f t="shared" si="2"/>
        <v>2.5811780496618657E-3</v>
      </c>
    </row>
    <row r="26" spans="1:16">
      <c r="A26" s="861" t="s">
        <v>46</v>
      </c>
      <c r="B26" s="858"/>
      <c r="C26" s="852"/>
      <c r="D26" s="859"/>
      <c r="E26" s="860"/>
      <c r="F26" s="860">
        <v>9</v>
      </c>
      <c r="G26" s="854">
        <v>8</v>
      </c>
      <c r="H26" s="854">
        <v>12</v>
      </c>
      <c r="I26" s="854">
        <v>7</v>
      </c>
      <c r="J26" s="860">
        <v>6</v>
      </c>
      <c r="K26" s="845">
        <v>8</v>
      </c>
      <c r="L26" s="845">
        <v>2</v>
      </c>
      <c r="M26" s="862">
        <v>2</v>
      </c>
      <c r="N26" s="855">
        <f t="shared" si="0"/>
        <v>54</v>
      </c>
      <c r="O26" s="856">
        <f t="shared" si="1"/>
        <v>6.75</v>
      </c>
      <c r="P26" s="849">
        <f t="shared" si="2"/>
        <v>0.13938361468174074</v>
      </c>
    </row>
    <row r="27" spans="1:16">
      <c r="A27" s="857" t="s">
        <v>47</v>
      </c>
      <c r="B27" s="858"/>
      <c r="C27" s="852"/>
      <c r="D27" s="859"/>
      <c r="E27" s="860"/>
      <c r="F27" s="860">
        <v>32</v>
      </c>
      <c r="G27" s="854">
        <v>17</v>
      </c>
      <c r="H27" s="854">
        <v>18</v>
      </c>
      <c r="I27" s="854">
        <v>25</v>
      </c>
      <c r="J27" s="860">
        <v>21</v>
      </c>
      <c r="K27" s="845">
        <v>37</v>
      </c>
      <c r="L27" s="845">
        <v>11</v>
      </c>
      <c r="M27" s="845">
        <v>11</v>
      </c>
      <c r="N27" s="855">
        <f t="shared" si="0"/>
        <v>172</v>
      </c>
      <c r="O27" s="856">
        <f t="shared" si="1"/>
        <v>21.5</v>
      </c>
      <c r="P27" s="849">
        <f t="shared" si="2"/>
        <v>0.44396262454184088</v>
      </c>
    </row>
    <row r="28" spans="1:16">
      <c r="A28" s="857" t="s">
        <v>48</v>
      </c>
      <c r="B28" s="858"/>
      <c r="C28" s="852"/>
      <c r="D28" s="859"/>
      <c r="E28" s="860"/>
      <c r="F28" s="860">
        <v>1</v>
      </c>
      <c r="G28" s="854">
        <v>4</v>
      </c>
      <c r="H28" s="854">
        <v>8</v>
      </c>
      <c r="I28" s="854">
        <v>6</v>
      </c>
      <c r="J28" s="860">
        <v>5</v>
      </c>
      <c r="K28" s="845">
        <v>5</v>
      </c>
      <c r="L28" s="845">
        <v>0</v>
      </c>
      <c r="M28" s="845">
        <v>4</v>
      </c>
      <c r="N28" s="855">
        <f t="shared" si="0"/>
        <v>33</v>
      </c>
      <c r="O28" s="856">
        <f t="shared" si="1"/>
        <v>4.125</v>
      </c>
      <c r="P28" s="849">
        <f t="shared" si="2"/>
        <v>8.5178875638841564E-2</v>
      </c>
    </row>
    <row r="29" spans="1:16">
      <c r="A29" s="861" t="s">
        <v>49</v>
      </c>
      <c r="B29" s="858"/>
      <c r="C29" s="852"/>
      <c r="D29" s="859"/>
      <c r="E29" s="860"/>
      <c r="F29" s="860">
        <v>0</v>
      </c>
      <c r="G29" s="854">
        <v>1</v>
      </c>
      <c r="H29" s="854">
        <v>1</v>
      </c>
      <c r="I29" s="854">
        <v>0</v>
      </c>
      <c r="J29" s="860">
        <v>2</v>
      </c>
      <c r="K29" s="845">
        <v>3</v>
      </c>
      <c r="L29" s="845">
        <v>2</v>
      </c>
      <c r="M29" s="845">
        <v>0</v>
      </c>
      <c r="N29" s="855">
        <f t="shared" si="0"/>
        <v>9</v>
      </c>
      <c r="O29" s="856">
        <f t="shared" si="1"/>
        <v>1.125</v>
      </c>
      <c r="P29" s="849">
        <f t="shared" si="2"/>
        <v>2.3230602446956791E-2</v>
      </c>
    </row>
    <row r="30" spans="1:16">
      <c r="A30" s="861" t="s">
        <v>50</v>
      </c>
      <c r="B30" s="858"/>
      <c r="C30" s="852"/>
      <c r="D30" s="859"/>
      <c r="E30" s="860"/>
      <c r="F30" s="860">
        <v>0</v>
      </c>
      <c r="G30" s="854">
        <v>0</v>
      </c>
      <c r="H30" s="854">
        <v>0</v>
      </c>
      <c r="I30" s="854">
        <v>0</v>
      </c>
      <c r="J30" s="860">
        <v>0</v>
      </c>
      <c r="K30" s="845">
        <v>3</v>
      </c>
      <c r="L30" s="845">
        <v>0</v>
      </c>
      <c r="M30" s="845">
        <v>4</v>
      </c>
      <c r="N30" s="855">
        <f t="shared" si="0"/>
        <v>7</v>
      </c>
      <c r="O30" s="856">
        <f t="shared" si="1"/>
        <v>0.875</v>
      </c>
      <c r="P30" s="849">
        <f t="shared" si="2"/>
        <v>1.8068246347633061E-2</v>
      </c>
    </row>
    <row r="31" spans="1:16">
      <c r="A31" s="857" t="s">
        <v>51</v>
      </c>
      <c r="B31" s="858"/>
      <c r="C31" s="852"/>
      <c r="D31" s="859"/>
      <c r="E31" s="860"/>
      <c r="F31" s="860">
        <v>3</v>
      </c>
      <c r="G31" s="854">
        <v>0</v>
      </c>
      <c r="H31" s="854">
        <v>2</v>
      </c>
      <c r="I31" s="854">
        <v>3</v>
      </c>
      <c r="J31" s="860">
        <v>3</v>
      </c>
      <c r="K31" s="845">
        <v>2</v>
      </c>
      <c r="L31" s="845">
        <v>4</v>
      </c>
      <c r="M31" s="845">
        <v>1</v>
      </c>
      <c r="N31" s="855">
        <f t="shared" si="0"/>
        <v>18</v>
      </c>
      <c r="O31" s="856">
        <f t="shared" si="1"/>
        <v>2.25</v>
      </c>
      <c r="P31" s="849">
        <f t="shared" si="2"/>
        <v>4.6461204893913581E-2</v>
      </c>
    </row>
    <row r="32" spans="1:16">
      <c r="A32" s="861" t="s">
        <v>52</v>
      </c>
      <c r="B32" s="858"/>
      <c r="C32" s="852"/>
      <c r="D32" s="859"/>
      <c r="E32" s="860"/>
      <c r="F32" s="860">
        <v>3</v>
      </c>
      <c r="G32" s="854">
        <v>1</v>
      </c>
      <c r="H32" s="854">
        <v>2</v>
      </c>
      <c r="I32" s="854">
        <v>5</v>
      </c>
      <c r="J32" s="860">
        <v>2</v>
      </c>
      <c r="K32" s="845">
        <v>1</v>
      </c>
      <c r="L32" s="845">
        <v>2</v>
      </c>
      <c r="M32" s="845">
        <v>0</v>
      </c>
      <c r="N32" s="855">
        <f t="shared" si="0"/>
        <v>16</v>
      </c>
      <c r="O32" s="856">
        <f t="shared" si="1"/>
        <v>2</v>
      </c>
      <c r="P32" s="849">
        <f t="shared" si="2"/>
        <v>4.1298848794589851E-2</v>
      </c>
    </row>
    <row r="33" spans="1:16">
      <c r="A33" s="861" t="s">
        <v>53</v>
      </c>
      <c r="B33" s="858"/>
      <c r="C33" s="852"/>
      <c r="D33" s="859"/>
      <c r="E33" s="860"/>
      <c r="F33" s="860">
        <v>69</v>
      </c>
      <c r="G33" s="854">
        <v>61</v>
      </c>
      <c r="H33" s="854">
        <v>51</v>
      </c>
      <c r="I33" s="854">
        <v>62</v>
      </c>
      <c r="J33" s="860">
        <v>58</v>
      </c>
      <c r="K33" s="845">
        <v>88</v>
      </c>
      <c r="L33" s="845">
        <v>77</v>
      </c>
      <c r="M33" s="845">
        <v>56</v>
      </c>
      <c r="N33" s="855">
        <f t="shared" si="0"/>
        <v>522</v>
      </c>
      <c r="O33" s="856">
        <f t="shared" si="1"/>
        <v>65.25</v>
      </c>
      <c r="P33" s="849">
        <f t="shared" si="2"/>
        <v>1.3473749419234939</v>
      </c>
    </row>
    <row r="34" spans="1:16">
      <c r="A34" s="861" t="s">
        <v>54</v>
      </c>
      <c r="B34" s="858"/>
      <c r="C34" s="852"/>
      <c r="D34" s="859"/>
      <c r="E34" s="860"/>
      <c r="F34" s="860">
        <v>1</v>
      </c>
      <c r="G34" s="854">
        <v>0</v>
      </c>
      <c r="H34" s="854">
        <v>0</v>
      </c>
      <c r="I34" s="854">
        <v>0</v>
      </c>
      <c r="J34" s="860">
        <v>0</v>
      </c>
      <c r="K34" s="845">
        <v>0</v>
      </c>
      <c r="L34" s="845">
        <v>0</v>
      </c>
      <c r="M34" s="845">
        <v>0</v>
      </c>
      <c r="N34" s="855">
        <f t="shared" si="0"/>
        <v>1</v>
      </c>
      <c r="O34" s="856">
        <f t="shared" si="1"/>
        <v>0.125</v>
      </c>
      <c r="P34" s="849">
        <f t="shared" si="2"/>
        <v>2.5811780496618657E-3</v>
      </c>
    </row>
    <row r="35" spans="1:16">
      <c r="A35" s="861" t="s">
        <v>55</v>
      </c>
      <c r="B35" s="858"/>
      <c r="C35" s="852"/>
      <c r="D35" s="859"/>
      <c r="E35" s="860"/>
      <c r="F35" s="860">
        <v>0</v>
      </c>
      <c r="G35" s="854">
        <v>0</v>
      </c>
      <c r="H35" s="854">
        <v>0</v>
      </c>
      <c r="I35" s="854">
        <v>0</v>
      </c>
      <c r="J35" s="860">
        <v>0</v>
      </c>
      <c r="K35" s="845">
        <v>0</v>
      </c>
      <c r="L35" s="845">
        <v>0</v>
      </c>
      <c r="M35" s="845">
        <v>0</v>
      </c>
      <c r="N35" s="855">
        <f t="shared" si="0"/>
        <v>0</v>
      </c>
      <c r="O35" s="856">
        <f t="shared" si="1"/>
        <v>0</v>
      </c>
      <c r="P35" s="849">
        <f t="shared" si="2"/>
        <v>0</v>
      </c>
    </row>
    <row r="36" spans="1:16">
      <c r="A36" s="861" t="s">
        <v>56</v>
      </c>
      <c r="B36" s="858"/>
      <c r="C36" s="852"/>
      <c r="D36" s="859"/>
      <c r="E36" s="860"/>
      <c r="F36" s="860">
        <v>467</v>
      </c>
      <c r="G36" s="854">
        <v>523</v>
      </c>
      <c r="H36" s="854">
        <v>529</v>
      </c>
      <c r="I36" s="854">
        <v>460</v>
      </c>
      <c r="J36" s="860">
        <v>379</v>
      </c>
      <c r="K36" s="845">
        <v>313</v>
      </c>
      <c r="L36" s="845">
        <v>290</v>
      </c>
      <c r="M36" s="845">
        <v>263</v>
      </c>
      <c r="N36" s="855">
        <f t="shared" si="0"/>
        <v>3224</v>
      </c>
      <c r="O36" s="856">
        <f t="shared" si="1"/>
        <v>403</v>
      </c>
      <c r="P36" s="849">
        <f t="shared" si="2"/>
        <v>8.3217180321098549</v>
      </c>
    </row>
    <row r="37" spans="1:16">
      <c r="A37" s="861" t="s">
        <v>57</v>
      </c>
      <c r="B37" s="858"/>
      <c r="C37" s="852"/>
      <c r="D37" s="859"/>
      <c r="E37" s="860"/>
      <c r="F37" s="860">
        <v>0</v>
      </c>
      <c r="G37" s="854">
        <v>0</v>
      </c>
      <c r="H37" s="854">
        <v>0</v>
      </c>
      <c r="I37" s="854">
        <v>0</v>
      </c>
      <c r="J37" s="860">
        <v>0</v>
      </c>
      <c r="K37" s="845">
        <v>0</v>
      </c>
      <c r="L37" s="845">
        <v>0</v>
      </c>
      <c r="M37" s="845">
        <v>0</v>
      </c>
      <c r="N37" s="855">
        <f t="shared" si="0"/>
        <v>0</v>
      </c>
      <c r="O37" s="856">
        <f t="shared" si="1"/>
        <v>0</v>
      </c>
      <c r="P37" s="849">
        <f t="shared" si="2"/>
        <v>0</v>
      </c>
    </row>
    <row r="38" spans="1:16">
      <c r="A38" s="861" t="s">
        <v>58</v>
      </c>
      <c r="B38" s="858"/>
      <c r="C38" s="852"/>
      <c r="D38" s="859"/>
      <c r="E38" s="860"/>
      <c r="F38" s="860">
        <v>489</v>
      </c>
      <c r="G38" s="854">
        <v>369</v>
      </c>
      <c r="H38" s="854">
        <v>727</v>
      </c>
      <c r="I38" s="854">
        <v>801</v>
      </c>
      <c r="J38" s="860">
        <v>981</v>
      </c>
      <c r="K38" s="845">
        <v>844</v>
      </c>
      <c r="L38" s="845">
        <v>484</v>
      </c>
      <c r="M38" s="845">
        <v>501</v>
      </c>
      <c r="N38" s="855">
        <f t="shared" ref="N38:N70" si="3">SUM(B38:M38)</f>
        <v>5196</v>
      </c>
      <c r="O38" s="856">
        <f t="shared" ref="O38:O70" si="4">AVERAGE(B38:M38)</f>
        <v>649.5</v>
      </c>
      <c r="P38" s="849">
        <f t="shared" si="2"/>
        <v>13.411801146043054</v>
      </c>
    </row>
    <row r="39" spans="1:16">
      <c r="A39" s="861" t="s">
        <v>59</v>
      </c>
      <c r="B39" s="858"/>
      <c r="C39" s="852"/>
      <c r="D39" s="859"/>
      <c r="E39" s="860"/>
      <c r="F39" s="860">
        <v>7</v>
      </c>
      <c r="G39" s="854">
        <v>16</v>
      </c>
      <c r="H39" s="854">
        <v>14</v>
      </c>
      <c r="I39" s="854">
        <v>15</v>
      </c>
      <c r="J39" s="860">
        <v>9</v>
      </c>
      <c r="K39" s="845">
        <v>9</v>
      </c>
      <c r="L39" s="845">
        <v>3</v>
      </c>
      <c r="M39" s="845">
        <v>1</v>
      </c>
      <c r="N39" s="855">
        <f t="shared" si="3"/>
        <v>74</v>
      </c>
      <c r="O39" s="856">
        <f t="shared" si="4"/>
        <v>9.25</v>
      </c>
      <c r="P39" s="849">
        <f t="shared" si="2"/>
        <v>0.19100717567497807</v>
      </c>
    </row>
    <row r="40" spans="1:16">
      <c r="A40" s="861" t="s">
        <v>60</v>
      </c>
      <c r="B40" s="858"/>
      <c r="C40" s="852"/>
      <c r="D40" s="859"/>
      <c r="E40" s="860"/>
      <c r="F40" s="860">
        <v>146</v>
      </c>
      <c r="G40" s="854">
        <v>168</v>
      </c>
      <c r="H40" s="854">
        <v>153</v>
      </c>
      <c r="I40" s="854">
        <v>136</v>
      </c>
      <c r="J40" s="860">
        <v>116</v>
      </c>
      <c r="K40" s="845">
        <v>157</v>
      </c>
      <c r="L40" s="845">
        <v>139</v>
      </c>
      <c r="M40" s="845">
        <v>91</v>
      </c>
      <c r="N40" s="855">
        <f t="shared" si="3"/>
        <v>1106</v>
      </c>
      <c r="O40" s="856">
        <f t="shared" si="4"/>
        <v>138.25</v>
      </c>
      <c r="P40" s="849">
        <f t="shared" si="2"/>
        <v>2.8547829229260238</v>
      </c>
    </row>
    <row r="41" spans="1:16">
      <c r="A41" s="861" t="s">
        <v>61</v>
      </c>
      <c r="B41" s="858"/>
      <c r="C41" s="852"/>
      <c r="D41" s="859"/>
      <c r="E41" s="860"/>
      <c r="F41" s="860">
        <v>26</v>
      </c>
      <c r="G41" s="854">
        <v>19</v>
      </c>
      <c r="H41" s="854">
        <v>62</v>
      </c>
      <c r="I41" s="854">
        <v>123</v>
      </c>
      <c r="J41" s="860">
        <v>139</v>
      </c>
      <c r="K41" s="845">
        <v>155</v>
      </c>
      <c r="L41" s="845">
        <v>123</v>
      </c>
      <c r="M41" s="845">
        <v>81</v>
      </c>
      <c r="N41" s="855">
        <f t="shared" si="3"/>
        <v>728</v>
      </c>
      <c r="O41" s="856">
        <f t="shared" si="4"/>
        <v>91</v>
      </c>
      <c r="P41" s="849">
        <f t="shared" ref="P41:P70" si="5">(N41/$N$192)*100</f>
        <v>1.8790976201538381</v>
      </c>
    </row>
    <row r="42" spans="1:16">
      <c r="A42" s="861" t="s">
        <v>62</v>
      </c>
      <c r="B42" s="858"/>
      <c r="C42" s="852"/>
      <c r="D42" s="859"/>
      <c r="E42" s="860"/>
      <c r="F42" s="860">
        <v>1</v>
      </c>
      <c r="G42" s="854">
        <v>0</v>
      </c>
      <c r="H42" s="854">
        <v>3</v>
      </c>
      <c r="I42" s="854">
        <v>3</v>
      </c>
      <c r="J42" s="860">
        <v>0</v>
      </c>
      <c r="K42" s="845">
        <v>1</v>
      </c>
      <c r="L42" s="845">
        <v>0</v>
      </c>
      <c r="M42" s="845">
        <v>0</v>
      </c>
      <c r="N42" s="855">
        <f t="shared" si="3"/>
        <v>8</v>
      </c>
      <c r="O42" s="856">
        <f t="shared" si="4"/>
        <v>1</v>
      </c>
      <c r="P42" s="849">
        <f t="shared" si="5"/>
        <v>2.0649424397294926E-2</v>
      </c>
    </row>
    <row r="43" spans="1:16">
      <c r="A43" s="861" t="s">
        <v>63</v>
      </c>
      <c r="B43" s="858"/>
      <c r="C43" s="852"/>
      <c r="D43" s="859"/>
      <c r="E43" s="860"/>
      <c r="F43" s="860">
        <v>0</v>
      </c>
      <c r="G43" s="854">
        <v>2</v>
      </c>
      <c r="H43" s="854">
        <v>4</v>
      </c>
      <c r="I43" s="854">
        <v>13</v>
      </c>
      <c r="J43" s="860">
        <v>2</v>
      </c>
      <c r="K43" s="845">
        <v>4</v>
      </c>
      <c r="L43" s="845">
        <v>3</v>
      </c>
      <c r="M43" s="845">
        <v>5</v>
      </c>
      <c r="N43" s="855">
        <f t="shared" si="3"/>
        <v>33</v>
      </c>
      <c r="O43" s="856">
        <f t="shared" si="4"/>
        <v>4.125</v>
      </c>
      <c r="P43" s="849">
        <f t="shared" si="5"/>
        <v>8.5178875638841564E-2</v>
      </c>
    </row>
    <row r="44" spans="1:16">
      <c r="A44" s="857" t="s">
        <v>64</v>
      </c>
      <c r="B44" s="858"/>
      <c r="C44" s="852"/>
      <c r="D44" s="859"/>
      <c r="E44" s="860"/>
      <c r="F44" s="860">
        <v>2</v>
      </c>
      <c r="G44" s="854">
        <v>2</v>
      </c>
      <c r="H44" s="854">
        <v>0</v>
      </c>
      <c r="I44" s="854">
        <v>0</v>
      </c>
      <c r="J44" s="860">
        <v>0</v>
      </c>
      <c r="K44" s="845">
        <v>1</v>
      </c>
      <c r="L44" s="845">
        <v>1</v>
      </c>
      <c r="M44" s="845">
        <v>0</v>
      </c>
      <c r="N44" s="855">
        <f t="shared" si="3"/>
        <v>6</v>
      </c>
      <c r="O44" s="856">
        <f t="shared" si="4"/>
        <v>0.75</v>
      </c>
      <c r="P44" s="849">
        <f t="shared" si="5"/>
        <v>1.5487068297971194E-2</v>
      </c>
    </row>
    <row r="45" spans="1:16">
      <c r="A45" s="861" t="s">
        <v>65</v>
      </c>
      <c r="B45" s="858"/>
      <c r="C45" s="852"/>
      <c r="D45" s="859"/>
      <c r="E45" s="860"/>
      <c r="F45" s="860">
        <v>16</v>
      </c>
      <c r="G45" s="854">
        <v>20</v>
      </c>
      <c r="H45" s="854">
        <v>15</v>
      </c>
      <c r="I45" s="854">
        <v>18</v>
      </c>
      <c r="J45" s="860">
        <v>10</v>
      </c>
      <c r="K45" s="845">
        <v>11</v>
      </c>
      <c r="L45" s="845">
        <v>18</v>
      </c>
      <c r="M45" s="845">
        <v>28</v>
      </c>
      <c r="N45" s="855">
        <f t="shared" si="3"/>
        <v>136</v>
      </c>
      <c r="O45" s="856">
        <f t="shared" si="4"/>
        <v>17</v>
      </c>
      <c r="P45" s="849">
        <f t="shared" si="5"/>
        <v>0.35104021475401376</v>
      </c>
    </row>
    <row r="46" spans="1:16">
      <c r="A46" s="861" t="s">
        <v>66</v>
      </c>
      <c r="B46" s="858"/>
      <c r="C46" s="852"/>
      <c r="D46" s="859"/>
      <c r="E46" s="860"/>
      <c r="F46" s="860">
        <v>0</v>
      </c>
      <c r="G46" s="854">
        <v>4</v>
      </c>
      <c r="H46" s="854">
        <v>0</v>
      </c>
      <c r="I46" s="854">
        <v>2</v>
      </c>
      <c r="J46" s="860">
        <v>4</v>
      </c>
      <c r="K46" s="845">
        <v>3</v>
      </c>
      <c r="L46" s="845">
        <v>0</v>
      </c>
      <c r="M46" s="845">
        <v>4</v>
      </c>
      <c r="N46" s="855">
        <f t="shared" si="3"/>
        <v>17</v>
      </c>
      <c r="O46" s="856">
        <f t="shared" si="4"/>
        <v>2.125</v>
      </c>
      <c r="P46" s="849">
        <f t="shared" si="5"/>
        <v>4.388002684425172E-2</v>
      </c>
    </row>
    <row r="47" spans="1:16">
      <c r="A47" s="861" t="s">
        <v>67</v>
      </c>
      <c r="B47" s="858"/>
      <c r="C47" s="852"/>
      <c r="D47" s="859"/>
      <c r="E47" s="860"/>
      <c r="F47" s="860">
        <v>0</v>
      </c>
      <c r="G47" s="854">
        <v>3</v>
      </c>
      <c r="H47" s="854">
        <v>4</v>
      </c>
      <c r="I47" s="854">
        <v>4</v>
      </c>
      <c r="J47" s="860">
        <v>2</v>
      </c>
      <c r="K47" s="845">
        <v>2</v>
      </c>
      <c r="L47" s="845">
        <v>8</v>
      </c>
      <c r="M47" s="845">
        <v>4</v>
      </c>
      <c r="N47" s="855">
        <f t="shared" si="3"/>
        <v>27</v>
      </c>
      <c r="O47" s="856">
        <f t="shared" si="4"/>
        <v>3.375</v>
      </c>
      <c r="P47" s="849">
        <f t="shared" si="5"/>
        <v>6.9691807340870368E-2</v>
      </c>
    </row>
    <row r="48" spans="1:16">
      <c r="A48" s="861" t="s">
        <v>68</v>
      </c>
      <c r="B48" s="858"/>
      <c r="C48" s="852"/>
      <c r="D48" s="859"/>
      <c r="E48" s="860"/>
      <c r="F48" s="860">
        <v>9</v>
      </c>
      <c r="G48" s="854">
        <v>1</v>
      </c>
      <c r="H48" s="854">
        <v>2</v>
      </c>
      <c r="I48" s="854">
        <v>5</v>
      </c>
      <c r="J48" s="860">
        <v>4</v>
      </c>
      <c r="K48" s="845">
        <v>5</v>
      </c>
      <c r="L48" s="845">
        <v>5</v>
      </c>
      <c r="M48" s="845">
        <v>3</v>
      </c>
      <c r="N48" s="855">
        <f t="shared" si="3"/>
        <v>34</v>
      </c>
      <c r="O48" s="856">
        <f t="shared" si="4"/>
        <v>4.25</v>
      </c>
      <c r="P48" s="849">
        <f t="shared" si="5"/>
        <v>8.7760053688503439E-2</v>
      </c>
    </row>
    <row r="49" spans="1:16">
      <c r="A49" s="861" t="s">
        <v>69</v>
      </c>
      <c r="B49" s="858"/>
      <c r="C49" s="852"/>
      <c r="D49" s="859"/>
      <c r="E49" s="860"/>
      <c r="F49" s="860">
        <v>48</v>
      </c>
      <c r="G49" s="854">
        <v>49</v>
      </c>
      <c r="H49" s="854">
        <v>32</v>
      </c>
      <c r="I49" s="854">
        <v>20</v>
      </c>
      <c r="J49" s="860">
        <v>18</v>
      </c>
      <c r="K49" s="845">
        <v>14</v>
      </c>
      <c r="L49" s="845">
        <v>20</v>
      </c>
      <c r="M49" s="845">
        <v>26</v>
      </c>
      <c r="N49" s="855">
        <f t="shared" si="3"/>
        <v>227</v>
      </c>
      <c r="O49" s="856">
        <f t="shared" si="4"/>
        <v>28.375</v>
      </c>
      <c r="P49" s="849">
        <f t="shared" si="5"/>
        <v>0.58592741727324349</v>
      </c>
    </row>
    <row r="50" spans="1:16">
      <c r="A50" s="861" t="s">
        <v>70</v>
      </c>
      <c r="B50" s="858"/>
      <c r="C50" s="852"/>
      <c r="D50" s="859"/>
      <c r="E50" s="860"/>
      <c r="F50" s="860">
        <v>18</v>
      </c>
      <c r="G50" s="854">
        <v>6</v>
      </c>
      <c r="H50" s="854">
        <v>7</v>
      </c>
      <c r="I50" s="854">
        <v>8</v>
      </c>
      <c r="J50" s="860">
        <v>11</v>
      </c>
      <c r="K50" s="845">
        <v>31</v>
      </c>
      <c r="L50" s="845">
        <v>16</v>
      </c>
      <c r="M50" s="845">
        <v>13</v>
      </c>
      <c r="N50" s="855">
        <f t="shared" si="3"/>
        <v>110</v>
      </c>
      <c r="O50" s="856">
        <f t="shared" si="4"/>
        <v>13.75</v>
      </c>
      <c r="P50" s="849">
        <f t="shared" si="5"/>
        <v>0.28392958546280522</v>
      </c>
    </row>
    <row r="51" spans="1:16">
      <c r="A51" s="861" t="s">
        <v>71</v>
      </c>
      <c r="B51" s="858"/>
      <c r="C51" s="852"/>
      <c r="D51" s="859"/>
      <c r="E51" s="860"/>
      <c r="F51" s="860">
        <v>0</v>
      </c>
      <c r="G51" s="854">
        <v>0</v>
      </c>
      <c r="H51" s="854">
        <v>0</v>
      </c>
      <c r="I51" s="854">
        <v>0</v>
      </c>
      <c r="J51" s="860">
        <v>0</v>
      </c>
      <c r="K51" s="845">
        <v>0</v>
      </c>
      <c r="L51" s="845">
        <v>0</v>
      </c>
      <c r="M51" s="845">
        <v>0</v>
      </c>
      <c r="N51" s="855">
        <f t="shared" si="3"/>
        <v>0</v>
      </c>
      <c r="O51" s="856">
        <f t="shared" si="4"/>
        <v>0</v>
      </c>
      <c r="P51" s="849">
        <f t="shared" si="5"/>
        <v>0</v>
      </c>
    </row>
    <row r="52" spans="1:16">
      <c r="A52" s="861" t="s">
        <v>72</v>
      </c>
      <c r="B52" s="858"/>
      <c r="C52" s="852"/>
      <c r="D52" s="859"/>
      <c r="E52" s="860"/>
      <c r="F52" s="860">
        <v>10</v>
      </c>
      <c r="G52" s="854">
        <v>10</v>
      </c>
      <c r="H52" s="854">
        <v>10</v>
      </c>
      <c r="I52" s="854">
        <v>9</v>
      </c>
      <c r="J52" s="860">
        <v>7</v>
      </c>
      <c r="K52" s="845">
        <v>10</v>
      </c>
      <c r="L52" s="845">
        <v>4</v>
      </c>
      <c r="M52" s="845">
        <v>7</v>
      </c>
      <c r="N52" s="855">
        <f t="shared" si="3"/>
        <v>67</v>
      </c>
      <c r="O52" s="856">
        <f t="shared" si="4"/>
        <v>8.375</v>
      </c>
      <c r="P52" s="849">
        <f t="shared" si="5"/>
        <v>0.172938929327345</v>
      </c>
    </row>
    <row r="53" spans="1:16">
      <c r="A53" s="861" t="s">
        <v>73</v>
      </c>
      <c r="B53" s="858"/>
      <c r="C53" s="852"/>
      <c r="D53" s="859"/>
      <c r="E53" s="860"/>
      <c r="F53" s="860">
        <v>3</v>
      </c>
      <c r="G53" s="854">
        <v>4</v>
      </c>
      <c r="H53" s="854">
        <v>1</v>
      </c>
      <c r="I53" s="854">
        <v>2</v>
      </c>
      <c r="J53" s="860">
        <v>0</v>
      </c>
      <c r="K53" s="845">
        <v>0</v>
      </c>
      <c r="L53" s="845">
        <v>3</v>
      </c>
      <c r="M53" s="845">
        <v>1</v>
      </c>
      <c r="N53" s="855">
        <f t="shared" si="3"/>
        <v>14</v>
      </c>
      <c r="O53" s="856">
        <f t="shared" si="4"/>
        <v>1.75</v>
      </c>
      <c r="P53" s="849">
        <f t="shared" si="5"/>
        <v>3.6136492695266122E-2</v>
      </c>
    </row>
    <row r="54" spans="1:16">
      <c r="A54" s="861" t="s">
        <v>74</v>
      </c>
      <c r="B54" s="858"/>
      <c r="C54" s="852"/>
      <c r="D54" s="859"/>
      <c r="E54" s="860"/>
      <c r="F54" s="860">
        <v>12</v>
      </c>
      <c r="G54" s="854">
        <v>16</v>
      </c>
      <c r="H54" s="854">
        <v>7</v>
      </c>
      <c r="I54" s="854">
        <v>11</v>
      </c>
      <c r="J54" s="860">
        <v>14</v>
      </c>
      <c r="K54" s="845">
        <v>9</v>
      </c>
      <c r="L54" s="845">
        <v>11</v>
      </c>
      <c r="M54" s="845">
        <v>20</v>
      </c>
      <c r="N54" s="855">
        <f t="shared" si="3"/>
        <v>100</v>
      </c>
      <c r="O54" s="856">
        <f t="shared" si="4"/>
        <v>12.5</v>
      </c>
      <c r="P54" s="849">
        <f t="shared" si="5"/>
        <v>0.25811780496618658</v>
      </c>
    </row>
    <row r="55" spans="1:16">
      <c r="A55" s="861" t="s">
        <v>75</v>
      </c>
      <c r="B55" s="858"/>
      <c r="C55" s="852"/>
      <c r="D55" s="859"/>
      <c r="E55" s="860"/>
      <c r="F55" s="860">
        <v>15</v>
      </c>
      <c r="G55" s="854">
        <v>15</v>
      </c>
      <c r="H55" s="854">
        <v>19</v>
      </c>
      <c r="I55" s="854">
        <v>9</v>
      </c>
      <c r="J55" s="860">
        <v>12</v>
      </c>
      <c r="K55" s="845">
        <v>12</v>
      </c>
      <c r="L55" s="845">
        <v>14</v>
      </c>
      <c r="M55" s="845">
        <v>9</v>
      </c>
      <c r="N55" s="855">
        <f t="shared" si="3"/>
        <v>105</v>
      </c>
      <c r="O55" s="856">
        <f t="shared" si="4"/>
        <v>13.125</v>
      </c>
      <c r="P55" s="849">
        <f t="shared" si="5"/>
        <v>0.27102369521449587</v>
      </c>
    </row>
    <row r="56" spans="1:16">
      <c r="A56" s="861" t="s">
        <v>76</v>
      </c>
      <c r="B56" s="858"/>
      <c r="C56" s="852"/>
      <c r="D56" s="859"/>
      <c r="E56" s="860"/>
      <c r="F56" s="860">
        <v>0</v>
      </c>
      <c r="G56" s="854">
        <v>3</v>
      </c>
      <c r="H56" s="854">
        <v>1</v>
      </c>
      <c r="I56" s="854">
        <v>3</v>
      </c>
      <c r="J56" s="860">
        <v>1</v>
      </c>
      <c r="K56" s="845">
        <v>0</v>
      </c>
      <c r="L56" s="845">
        <v>1</v>
      </c>
      <c r="M56" s="845">
        <v>3</v>
      </c>
      <c r="N56" s="855">
        <f t="shared" si="3"/>
        <v>12</v>
      </c>
      <c r="O56" s="856">
        <f t="shared" si="4"/>
        <v>1.5</v>
      </c>
      <c r="P56" s="849">
        <f t="shared" si="5"/>
        <v>3.0974136595942389E-2</v>
      </c>
    </row>
    <row r="57" spans="1:16">
      <c r="A57" s="861" t="s">
        <v>77</v>
      </c>
      <c r="B57" s="858"/>
      <c r="C57" s="852"/>
      <c r="D57" s="859"/>
      <c r="E57" s="860"/>
      <c r="F57" s="860">
        <v>9</v>
      </c>
      <c r="G57" s="854">
        <v>7</v>
      </c>
      <c r="H57" s="854">
        <v>5</v>
      </c>
      <c r="I57" s="854">
        <v>0</v>
      </c>
      <c r="J57" s="860">
        <v>2</v>
      </c>
      <c r="K57" s="845">
        <v>0</v>
      </c>
      <c r="L57" s="845">
        <v>1</v>
      </c>
      <c r="M57" s="845">
        <v>2</v>
      </c>
      <c r="N57" s="855">
        <f t="shared" si="3"/>
        <v>26</v>
      </c>
      <c r="O57" s="856">
        <f t="shared" si="4"/>
        <v>3.25</v>
      </c>
      <c r="P57" s="849">
        <f t="shared" si="5"/>
        <v>6.7110629291208507E-2</v>
      </c>
    </row>
    <row r="58" spans="1:16">
      <c r="A58" s="861" t="s">
        <v>78</v>
      </c>
      <c r="B58" s="858"/>
      <c r="C58" s="852"/>
      <c r="D58" s="859"/>
      <c r="E58" s="860"/>
      <c r="F58" s="860">
        <v>0</v>
      </c>
      <c r="G58" s="854">
        <v>0</v>
      </c>
      <c r="H58" s="854">
        <v>0</v>
      </c>
      <c r="I58" s="854">
        <v>0</v>
      </c>
      <c r="J58" s="860">
        <v>0</v>
      </c>
      <c r="K58" s="845">
        <v>0</v>
      </c>
      <c r="L58" s="845">
        <v>0</v>
      </c>
      <c r="M58" s="845">
        <v>0</v>
      </c>
      <c r="N58" s="855">
        <f t="shared" si="3"/>
        <v>0</v>
      </c>
      <c r="O58" s="856">
        <f t="shared" si="4"/>
        <v>0</v>
      </c>
      <c r="P58" s="849">
        <f t="shared" si="5"/>
        <v>0</v>
      </c>
    </row>
    <row r="59" spans="1:16">
      <c r="A59" s="861" t="s">
        <v>79</v>
      </c>
      <c r="B59" s="858"/>
      <c r="C59" s="852"/>
      <c r="D59" s="859"/>
      <c r="E59" s="860"/>
      <c r="F59" s="860">
        <v>4</v>
      </c>
      <c r="G59" s="854">
        <v>6</v>
      </c>
      <c r="H59" s="854">
        <v>8</v>
      </c>
      <c r="I59" s="854">
        <v>3</v>
      </c>
      <c r="J59" s="860">
        <v>1</v>
      </c>
      <c r="K59" s="845">
        <v>2</v>
      </c>
      <c r="L59" s="845">
        <v>2</v>
      </c>
      <c r="M59" s="845">
        <v>0</v>
      </c>
      <c r="N59" s="855">
        <f t="shared" si="3"/>
        <v>26</v>
      </c>
      <c r="O59" s="856">
        <f t="shared" si="4"/>
        <v>3.25</v>
      </c>
      <c r="P59" s="849">
        <f t="shared" si="5"/>
        <v>6.7110629291208507E-2</v>
      </c>
    </row>
    <row r="60" spans="1:16">
      <c r="A60" s="861" t="s">
        <v>80</v>
      </c>
      <c r="B60" s="858"/>
      <c r="C60" s="852"/>
      <c r="D60" s="859"/>
      <c r="E60" s="860"/>
      <c r="F60" s="860">
        <v>0</v>
      </c>
      <c r="G60" s="854">
        <v>0</v>
      </c>
      <c r="H60" s="854">
        <v>0</v>
      </c>
      <c r="I60" s="854">
        <v>0</v>
      </c>
      <c r="J60" s="860">
        <v>0</v>
      </c>
      <c r="K60" s="845">
        <v>0</v>
      </c>
      <c r="L60" s="845">
        <v>0</v>
      </c>
      <c r="M60" s="845">
        <v>0</v>
      </c>
      <c r="N60" s="855">
        <f t="shared" si="3"/>
        <v>0</v>
      </c>
      <c r="O60" s="856">
        <f t="shared" si="4"/>
        <v>0</v>
      </c>
      <c r="P60" s="849">
        <f t="shared" si="5"/>
        <v>0</v>
      </c>
    </row>
    <row r="61" spans="1:16">
      <c r="A61" s="861" t="s">
        <v>81</v>
      </c>
      <c r="B61" s="858"/>
      <c r="C61" s="852"/>
      <c r="D61" s="859"/>
      <c r="E61" s="860"/>
      <c r="F61" s="860">
        <v>21</v>
      </c>
      <c r="G61" s="854">
        <v>14</v>
      </c>
      <c r="H61" s="854">
        <v>9</v>
      </c>
      <c r="I61" s="854">
        <v>16</v>
      </c>
      <c r="J61" s="860">
        <v>8</v>
      </c>
      <c r="K61" s="845">
        <v>7</v>
      </c>
      <c r="L61" s="845">
        <v>4</v>
      </c>
      <c r="M61" s="845">
        <v>7</v>
      </c>
      <c r="N61" s="855">
        <f t="shared" si="3"/>
        <v>86</v>
      </c>
      <c r="O61" s="856">
        <f t="shared" si="4"/>
        <v>10.75</v>
      </c>
      <c r="P61" s="849">
        <f t="shared" si="5"/>
        <v>0.22198131227092044</v>
      </c>
    </row>
    <row r="62" spans="1:16">
      <c r="A62" s="861" t="s">
        <v>82</v>
      </c>
      <c r="B62" s="858"/>
      <c r="C62" s="852"/>
      <c r="D62" s="859"/>
      <c r="E62" s="860"/>
      <c r="F62" s="860">
        <v>1</v>
      </c>
      <c r="G62" s="854">
        <v>4</v>
      </c>
      <c r="H62" s="854">
        <v>2</v>
      </c>
      <c r="I62" s="854">
        <v>1</v>
      </c>
      <c r="J62" s="860">
        <v>0</v>
      </c>
      <c r="K62" s="845">
        <v>2</v>
      </c>
      <c r="L62" s="845">
        <v>3</v>
      </c>
      <c r="M62" s="845">
        <v>2</v>
      </c>
      <c r="N62" s="855">
        <f t="shared" si="3"/>
        <v>15</v>
      </c>
      <c r="O62" s="856">
        <f t="shared" si="4"/>
        <v>1.875</v>
      </c>
      <c r="P62" s="849">
        <f t="shared" si="5"/>
        <v>3.8717670744927983E-2</v>
      </c>
    </row>
    <row r="63" spans="1:16">
      <c r="A63" s="861" t="s">
        <v>83</v>
      </c>
      <c r="B63" s="858"/>
      <c r="C63" s="852"/>
      <c r="D63" s="859"/>
      <c r="E63" s="860"/>
      <c r="F63" s="860">
        <v>51</v>
      </c>
      <c r="G63" s="854">
        <v>38</v>
      </c>
      <c r="H63" s="854">
        <v>9</v>
      </c>
      <c r="I63" s="854">
        <v>34</v>
      </c>
      <c r="J63" s="860">
        <v>37</v>
      </c>
      <c r="K63" s="845">
        <v>32</v>
      </c>
      <c r="L63" s="845">
        <v>51</v>
      </c>
      <c r="M63" s="845">
        <v>30</v>
      </c>
      <c r="N63" s="855">
        <f t="shared" si="3"/>
        <v>282</v>
      </c>
      <c r="O63" s="856">
        <f t="shared" si="4"/>
        <v>35.25</v>
      </c>
      <c r="P63" s="849">
        <f t="shared" si="5"/>
        <v>0.7278922100046461</v>
      </c>
    </row>
    <row r="64" spans="1:16">
      <c r="A64" s="861" t="s">
        <v>84</v>
      </c>
      <c r="B64" s="858"/>
      <c r="C64" s="852"/>
      <c r="D64" s="859"/>
      <c r="E64" s="860"/>
      <c r="F64" s="860">
        <v>3</v>
      </c>
      <c r="G64" s="854">
        <v>2</v>
      </c>
      <c r="H64" s="854">
        <v>1</v>
      </c>
      <c r="I64" s="854">
        <v>1</v>
      </c>
      <c r="J64" s="860">
        <v>2</v>
      </c>
      <c r="K64" s="845">
        <v>3</v>
      </c>
      <c r="L64" s="845">
        <v>2</v>
      </c>
      <c r="M64" s="845">
        <v>0</v>
      </c>
      <c r="N64" s="855">
        <f t="shared" si="3"/>
        <v>14</v>
      </c>
      <c r="O64" s="856">
        <f t="shared" si="4"/>
        <v>1.75</v>
      </c>
      <c r="P64" s="849">
        <f t="shared" si="5"/>
        <v>3.6136492695266122E-2</v>
      </c>
    </row>
    <row r="65" spans="1:16">
      <c r="A65" s="861" t="s">
        <v>85</v>
      </c>
      <c r="B65" s="858"/>
      <c r="C65" s="852"/>
      <c r="D65" s="859"/>
      <c r="E65" s="860"/>
      <c r="F65" s="860">
        <v>0</v>
      </c>
      <c r="G65" s="854">
        <v>0</v>
      </c>
      <c r="H65" s="854">
        <v>0</v>
      </c>
      <c r="I65" s="854">
        <v>0</v>
      </c>
      <c r="J65" s="860">
        <v>0</v>
      </c>
      <c r="K65" s="845">
        <v>0</v>
      </c>
      <c r="L65" s="845">
        <v>0</v>
      </c>
      <c r="M65" s="845">
        <v>0</v>
      </c>
      <c r="N65" s="855">
        <f t="shared" si="3"/>
        <v>0</v>
      </c>
      <c r="O65" s="856">
        <f t="shared" si="4"/>
        <v>0</v>
      </c>
      <c r="P65" s="849">
        <f t="shared" si="5"/>
        <v>0</v>
      </c>
    </row>
    <row r="66" spans="1:16">
      <c r="A66" s="861" t="s">
        <v>86</v>
      </c>
      <c r="B66" s="858"/>
      <c r="C66" s="852"/>
      <c r="D66" s="859"/>
      <c r="E66" s="860"/>
      <c r="F66" s="860">
        <v>7</v>
      </c>
      <c r="G66" s="854">
        <v>6</v>
      </c>
      <c r="H66" s="854">
        <v>6</v>
      </c>
      <c r="I66" s="854">
        <v>8</v>
      </c>
      <c r="J66" s="860">
        <v>5</v>
      </c>
      <c r="K66" s="845">
        <v>4</v>
      </c>
      <c r="L66" s="845">
        <v>9</v>
      </c>
      <c r="M66" s="845">
        <v>8</v>
      </c>
      <c r="N66" s="855">
        <f t="shared" si="3"/>
        <v>53</v>
      </c>
      <c r="O66" s="856">
        <f t="shared" si="4"/>
        <v>6.625</v>
      </c>
      <c r="P66" s="849">
        <f t="shared" si="5"/>
        <v>0.13680243663207889</v>
      </c>
    </row>
    <row r="67" spans="1:16">
      <c r="A67" s="861" t="s">
        <v>87</v>
      </c>
      <c r="B67" s="858"/>
      <c r="C67" s="852"/>
      <c r="D67" s="859"/>
      <c r="E67" s="860"/>
      <c r="F67" s="860">
        <v>4</v>
      </c>
      <c r="G67" s="854">
        <v>3</v>
      </c>
      <c r="H67" s="854">
        <v>5</v>
      </c>
      <c r="I67" s="854">
        <v>3</v>
      </c>
      <c r="J67" s="860">
        <v>4</v>
      </c>
      <c r="K67" s="845">
        <v>4</v>
      </c>
      <c r="L67" s="845">
        <v>0</v>
      </c>
      <c r="M67" s="845">
        <v>0</v>
      </c>
      <c r="N67" s="855">
        <f t="shared" si="3"/>
        <v>23</v>
      </c>
      <c r="O67" s="856">
        <f t="shared" si="4"/>
        <v>2.875</v>
      </c>
      <c r="P67" s="849">
        <f t="shared" si="5"/>
        <v>5.9367095142222909E-2</v>
      </c>
    </row>
    <row r="68" spans="1:16">
      <c r="A68" s="861" t="s">
        <v>88</v>
      </c>
      <c r="B68" s="858"/>
      <c r="C68" s="852"/>
      <c r="D68" s="859"/>
      <c r="E68" s="860"/>
      <c r="F68" s="860">
        <v>13</v>
      </c>
      <c r="G68" s="854">
        <v>14</v>
      </c>
      <c r="H68" s="854">
        <v>15</v>
      </c>
      <c r="I68" s="854">
        <v>6</v>
      </c>
      <c r="J68" s="860">
        <v>11</v>
      </c>
      <c r="K68" s="845">
        <v>29</v>
      </c>
      <c r="L68" s="845">
        <v>30</v>
      </c>
      <c r="M68" s="845">
        <v>27</v>
      </c>
      <c r="N68" s="855">
        <f t="shared" si="3"/>
        <v>145</v>
      </c>
      <c r="O68" s="856">
        <f t="shared" si="4"/>
        <v>18.125</v>
      </c>
      <c r="P68" s="849">
        <f t="shared" si="5"/>
        <v>0.3742708172009705</v>
      </c>
    </row>
    <row r="69" spans="1:16">
      <c r="A69" s="861" t="s">
        <v>89</v>
      </c>
      <c r="B69" s="858"/>
      <c r="C69" s="852"/>
      <c r="D69" s="859"/>
      <c r="E69" s="860"/>
      <c r="F69" s="860">
        <v>3</v>
      </c>
      <c r="G69" s="854">
        <v>4</v>
      </c>
      <c r="H69" s="854">
        <v>3</v>
      </c>
      <c r="I69" s="854">
        <v>7</v>
      </c>
      <c r="J69" s="860">
        <v>6</v>
      </c>
      <c r="K69" s="845">
        <v>11</v>
      </c>
      <c r="L69" s="845">
        <v>5</v>
      </c>
      <c r="M69" s="845">
        <v>3</v>
      </c>
      <c r="N69" s="855">
        <f t="shared" si="3"/>
        <v>42</v>
      </c>
      <c r="O69" s="856">
        <f t="shared" si="4"/>
        <v>5.25</v>
      </c>
      <c r="P69" s="849">
        <f t="shared" si="5"/>
        <v>0.10840947808579836</v>
      </c>
    </row>
    <row r="70" spans="1:16">
      <c r="A70" s="861" t="s">
        <v>451</v>
      </c>
      <c r="B70" s="858"/>
      <c r="C70" s="852"/>
      <c r="D70" s="859"/>
      <c r="E70" s="860"/>
      <c r="F70" s="860">
        <v>1</v>
      </c>
      <c r="G70" s="854">
        <v>0</v>
      </c>
      <c r="H70" s="854">
        <v>0</v>
      </c>
      <c r="I70" s="854">
        <v>0</v>
      </c>
      <c r="J70" s="860">
        <v>0</v>
      </c>
      <c r="K70" s="845">
        <v>0</v>
      </c>
      <c r="L70" s="845">
        <v>0</v>
      </c>
      <c r="M70" s="845">
        <v>0</v>
      </c>
      <c r="N70" s="855">
        <f t="shared" si="3"/>
        <v>1</v>
      </c>
      <c r="O70" s="856">
        <f t="shared" si="4"/>
        <v>0.125</v>
      </c>
      <c r="P70" s="849">
        <f t="shared" si="5"/>
        <v>2.5811780496618657E-3</v>
      </c>
    </row>
    <row r="71" spans="1:16">
      <c r="A71" s="857" t="s">
        <v>90</v>
      </c>
      <c r="B71" s="858"/>
      <c r="C71" s="852"/>
      <c r="D71" s="859"/>
      <c r="E71" s="860"/>
      <c r="F71" s="860">
        <v>33</v>
      </c>
      <c r="G71" s="854">
        <v>38</v>
      </c>
      <c r="H71" s="854">
        <v>28</v>
      </c>
      <c r="I71" s="854">
        <v>15</v>
      </c>
      <c r="J71" s="860">
        <v>24</v>
      </c>
      <c r="K71" s="845">
        <v>42</v>
      </c>
      <c r="L71" s="845">
        <v>25</v>
      </c>
      <c r="M71" s="845">
        <v>30</v>
      </c>
      <c r="N71" s="855">
        <f t="shared" ref="N71:N103" si="6">SUM(B71:M71)</f>
        <v>235</v>
      </c>
      <c r="O71" s="856">
        <f t="shared" ref="O71:O103" si="7">AVERAGE(B71:M71)</f>
        <v>29.375</v>
      </c>
      <c r="P71" s="849">
        <f t="shared" ref="P71:P89" si="8">(N71/$N$192)*100</f>
        <v>0.60657684167053849</v>
      </c>
    </row>
    <row r="72" spans="1:16">
      <c r="A72" s="861" t="s">
        <v>91</v>
      </c>
      <c r="B72" s="858"/>
      <c r="C72" s="852"/>
      <c r="D72" s="859"/>
      <c r="E72" s="860"/>
      <c r="F72" s="860">
        <v>24</v>
      </c>
      <c r="G72" s="854">
        <v>17</v>
      </c>
      <c r="H72" s="854">
        <v>11</v>
      </c>
      <c r="I72" s="854">
        <v>13</v>
      </c>
      <c r="J72" s="860">
        <v>10</v>
      </c>
      <c r="K72" s="845">
        <v>15</v>
      </c>
      <c r="L72" s="845">
        <v>15</v>
      </c>
      <c r="M72" s="845">
        <v>19</v>
      </c>
      <c r="N72" s="855">
        <f t="shared" si="6"/>
        <v>124</v>
      </c>
      <c r="O72" s="856">
        <f t="shared" si="7"/>
        <v>15.5</v>
      </c>
      <c r="P72" s="849">
        <f t="shared" si="8"/>
        <v>0.32006607815807137</v>
      </c>
    </row>
    <row r="73" spans="1:16">
      <c r="A73" s="861" t="s">
        <v>92</v>
      </c>
      <c r="B73" s="858"/>
      <c r="C73" s="852"/>
      <c r="D73" s="859"/>
      <c r="E73" s="860"/>
      <c r="F73" s="860">
        <v>4</v>
      </c>
      <c r="G73" s="854">
        <v>5</v>
      </c>
      <c r="H73" s="854">
        <v>2</v>
      </c>
      <c r="I73" s="854">
        <v>3</v>
      </c>
      <c r="J73" s="860">
        <v>0</v>
      </c>
      <c r="K73" s="845">
        <v>1</v>
      </c>
      <c r="L73" s="845">
        <v>2</v>
      </c>
      <c r="M73" s="845">
        <v>7</v>
      </c>
      <c r="N73" s="855">
        <f t="shared" si="6"/>
        <v>24</v>
      </c>
      <c r="O73" s="856">
        <f t="shared" si="7"/>
        <v>3</v>
      </c>
      <c r="P73" s="849">
        <f t="shared" si="8"/>
        <v>6.1948273191884777E-2</v>
      </c>
    </row>
    <row r="74" spans="1:16">
      <c r="A74" s="857" t="s">
        <v>93</v>
      </c>
      <c r="B74" s="858"/>
      <c r="C74" s="852"/>
      <c r="D74" s="859"/>
      <c r="E74" s="860"/>
      <c r="F74" s="860">
        <v>1</v>
      </c>
      <c r="G74" s="854">
        <v>6</v>
      </c>
      <c r="H74" s="854">
        <v>7</v>
      </c>
      <c r="I74" s="854">
        <v>3</v>
      </c>
      <c r="J74" s="860">
        <v>0</v>
      </c>
      <c r="K74" s="845">
        <v>0</v>
      </c>
      <c r="L74" s="845">
        <v>1</v>
      </c>
      <c r="M74" s="845">
        <v>5</v>
      </c>
      <c r="N74" s="855">
        <f t="shared" si="6"/>
        <v>23</v>
      </c>
      <c r="O74" s="856">
        <f t="shared" si="7"/>
        <v>2.875</v>
      </c>
      <c r="P74" s="849">
        <f t="shared" si="8"/>
        <v>5.9367095142222909E-2</v>
      </c>
    </row>
    <row r="75" spans="1:16">
      <c r="A75" s="857" t="s">
        <v>94</v>
      </c>
      <c r="B75" s="858"/>
      <c r="C75" s="852"/>
      <c r="D75" s="859"/>
      <c r="E75" s="860"/>
      <c r="F75" s="860">
        <v>6</v>
      </c>
      <c r="G75" s="854">
        <v>5</v>
      </c>
      <c r="H75" s="854">
        <v>2</v>
      </c>
      <c r="I75" s="854">
        <v>6</v>
      </c>
      <c r="J75" s="860">
        <v>1</v>
      </c>
      <c r="K75" s="845">
        <v>7</v>
      </c>
      <c r="L75" s="845">
        <v>8</v>
      </c>
      <c r="M75" s="845">
        <v>21</v>
      </c>
      <c r="N75" s="855">
        <f t="shared" si="6"/>
        <v>56</v>
      </c>
      <c r="O75" s="856">
        <f t="shared" si="7"/>
        <v>7</v>
      </c>
      <c r="P75" s="849">
        <f t="shared" si="8"/>
        <v>0.14454597078106449</v>
      </c>
    </row>
    <row r="76" spans="1:16">
      <c r="A76" s="861" t="s">
        <v>95</v>
      </c>
      <c r="B76" s="858"/>
      <c r="C76" s="852"/>
      <c r="D76" s="859"/>
      <c r="E76" s="860"/>
      <c r="F76" s="860">
        <v>48</v>
      </c>
      <c r="G76" s="854">
        <v>71</v>
      </c>
      <c r="H76" s="854">
        <v>79</v>
      </c>
      <c r="I76" s="854">
        <v>102</v>
      </c>
      <c r="J76" s="860">
        <v>130</v>
      </c>
      <c r="K76" s="845">
        <v>176</v>
      </c>
      <c r="L76" s="845">
        <v>135</v>
      </c>
      <c r="M76" s="845">
        <v>118</v>
      </c>
      <c r="N76" s="855">
        <f t="shared" si="6"/>
        <v>859</v>
      </c>
      <c r="O76" s="856">
        <f t="shared" si="7"/>
        <v>107.375</v>
      </c>
      <c r="P76" s="849">
        <f t="shared" si="8"/>
        <v>2.2172319446595425</v>
      </c>
    </row>
    <row r="77" spans="1:16">
      <c r="A77" s="861" t="s">
        <v>96</v>
      </c>
      <c r="B77" s="858"/>
      <c r="C77" s="852"/>
      <c r="D77" s="859"/>
      <c r="E77" s="860"/>
      <c r="F77" s="860">
        <v>0</v>
      </c>
      <c r="G77" s="854">
        <v>2</v>
      </c>
      <c r="H77" s="854">
        <v>3</v>
      </c>
      <c r="I77" s="854">
        <v>2</v>
      </c>
      <c r="J77" s="860">
        <v>1</v>
      </c>
      <c r="K77" s="862">
        <v>0</v>
      </c>
      <c r="L77" s="845">
        <v>1</v>
      </c>
      <c r="M77" s="845">
        <v>1</v>
      </c>
      <c r="N77" s="855">
        <f t="shared" si="6"/>
        <v>10</v>
      </c>
      <c r="O77" s="856">
        <f t="shared" si="7"/>
        <v>1.25</v>
      </c>
      <c r="P77" s="849">
        <f t="shared" si="8"/>
        <v>2.5811780496618655E-2</v>
      </c>
    </row>
    <row r="78" spans="1:16">
      <c r="A78" s="861" t="s">
        <v>97</v>
      </c>
      <c r="B78" s="858"/>
      <c r="C78" s="852"/>
      <c r="D78" s="859"/>
      <c r="E78" s="860"/>
      <c r="F78" s="860">
        <v>0</v>
      </c>
      <c r="G78" s="854">
        <v>0</v>
      </c>
      <c r="H78" s="854">
        <v>0</v>
      </c>
      <c r="I78" s="854">
        <v>0</v>
      </c>
      <c r="J78" s="860">
        <v>0</v>
      </c>
      <c r="K78" s="862">
        <v>0</v>
      </c>
      <c r="L78" s="845">
        <v>0</v>
      </c>
      <c r="M78" s="845">
        <v>0</v>
      </c>
      <c r="N78" s="855">
        <f t="shared" si="6"/>
        <v>0</v>
      </c>
      <c r="O78" s="856">
        <f t="shared" si="7"/>
        <v>0</v>
      </c>
      <c r="P78" s="849">
        <f t="shared" si="8"/>
        <v>0</v>
      </c>
    </row>
    <row r="79" spans="1:16">
      <c r="A79" s="861" t="s">
        <v>11</v>
      </c>
      <c r="B79" s="858"/>
      <c r="C79" s="863"/>
      <c r="D79" s="859"/>
      <c r="E79" s="860"/>
      <c r="F79" s="860">
        <v>90</v>
      </c>
      <c r="G79" s="854">
        <v>86</v>
      </c>
      <c r="H79" s="854">
        <v>36</v>
      </c>
      <c r="I79" s="854">
        <v>70</v>
      </c>
      <c r="J79" s="860">
        <v>70</v>
      </c>
      <c r="K79" s="862">
        <v>76</v>
      </c>
      <c r="L79" s="845">
        <v>55</v>
      </c>
      <c r="M79" s="845">
        <v>67</v>
      </c>
      <c r="N79" s="855">
        <f t="shared" si="6"/>
        <v>550</v>
      </c>
      <c r="O79" s="856">
        <f t="shared" si="7"/>
        <v>68.75</v>
      </c>
      <c r="P79" s="849">
        <f t="shared" si="8"/>
        <v>1.4196479273140261</v>
      </c>
    </row>
    <row r="80" spans="1:16">
      <c r="A80" s="861" t="s">
        <v>98</v>
      </c>
      <c r="B80" s="858"/>
      <c r="C80" s="863"/>
      <c r="D80" s="859"/>
      <c r="E80" s="860"/>
      <c r="F80" s="860">
        <v>1</v>
      </c>
      <c r="G80" s="854">
        <v>1</v>
      </c>
      <c r="H80" s="854">
        <v>0</v>
      </c>
      <c r="I80" s="854">
        <v>0</v>
      </c>
      <c r="J80" s="860">
        <v>1</v>
      </c>
      <c r="K80" s="862">
        <v>1</v>
      </c>
      <c r="L80" s="845">
        <v>0</v>
      </c>
      <c r="M80" s="845">
        <v>2</v>
      </c>
      <c r="N80" s="855">
        <f t="shared" si="6"/>
        <v>6</v>
      </c>
      <c r="O80" s="856">
        <f t="shared" si="7"/>
        <v>0.75</v>
      </c>
      <c r="P80" s="849">
        <f t="shared" si="8"/>
        <v>1.5487068297971194E-2</v>
      </c>
    </row>
    <row r="81" spans="1:16">
      <c r="A81" s="861" t="s">
        <v>99</v>
      </c>
      <c r="B81" s="858"/>
      <c r="C81" s="852"/>
      <c r="D81" s="859"/>
      <c r="E81" s="860"/>
      <c r="F81" s="860">
        <v>10</v>
      </c>
      <c r="G81" s="854">
        <v>5</v>
      </c>
      <c r="H81" s="854">
        <v>2</v>
      </c>
      <c r="I81" s="854">
        <v>10</v>
      </c>
      <c r="J81" s="860">
        <v>2</v>
      </c>
      <c r="K81" s="862">
        <v>5</v>
      </c>
      <c r="L81" s="845">
        <v>0</v>
      </c>
      <c r="M81" s="845">
        <v>0</v>
      </c>
      <c r="N81" s="855">
        <f t="shared" si="6"/>
        <v>34</v>
      </c>
      <c r="O81" s="856">
        <f t="shared" si="7"/>
        <v>4.25</v>
      </c>
      <c r="P81" s="849">
        <f t="shared" si="8"/>
        <v>8.7760053688503439E-2</v>
      </c>
    </row>
    <row r="82" spans="1:16">
      <c r="A82" s="861" t="s">
        <v>100</v>
      </c>
      <c r="B82" s="858"/>
      <c r="C82" s="852"/>
      <c r="D82" s="859"/>
      <c r="E82" s="860"/>
      <c r="F82" s="860">
        <v>122</v>
      </c>
      <c r="G82" s="854">
        <v>151</v>
      </c>
      <c r="H82" s="854">
        <v>104</v>
      </c>
      <c r="I82" s="854">
        <v>298</v>
      </c>
      <c r="J82" s="860">
        <v>101</v>
      </c>
      <c r="K82" s="862">
        <v>164</v>
      </c>
      <c r="L82" s="845">
        <v>93</v>
      </c>
      <c r="M82" s="845">
        <v>113</v>
      </c>
      <c r="N82" s="855">
        <f t="shared" si="6"/>
        <v>1146</v>
      </c>
      <c r="O82" s="856">
        <f t="shared" si="7"/>
        <v>143.25</v>
      </c>
      <c r="P82" s="849">
        <f t="shared" si="8"/>
        <v>2.9580300449124981</v>
      </c>
    </row>
    <row r="83" spans="1:16">
      <c r="A83" s="861" t="s">
        <v>101</v>
      </c>
      <c r="B83" s="858"/>
      <c r="C83" s="852"/>
      <c r="D83" s="859"/>
      <c r="E83" s="860"/>
      <c r="F83" s="860">
        <v>74</v>
      </c>
      <c r="G83" s="854">
        <v>47</v>
      </c>
      <c r="H83" s="854">
        <v>66</v>
      </c>
      <c r="I83" s="854">
        <v>52</v>
      </c>
      <c r="J83" s="860">
        <v>44</v>
      </c>
      <c r="K83" s="862">
        <v>49</v>
      </c>
      <c r="L83" s="845">
        <v>47</v>
      </c>
      <c r="M83" s="845">
        <v>103</v>
      </c>
      <c r="N83" s="855">
        <f t="shared" si="6"/>
        <v>482</v>
      </c>
      <c r="O83" s="856">
        <f t="shared" si="7"/>
        <v>60.25</v>
      </c>
      <c r="P83" s="849">
        <f t="shared" si="8"/>
        <v>1.2441278199370192</v>
      </c>
    </row>
    <row r="84" spans="1:16">
      <c r="A84" s="861" t="s">
        <v>102</v>
      </c>
      <c r="B84" s="858"/>
      <c r="C84" s="852"/>
      <c r="D84" s="859"/>
      <c r="E84" s="860"/>
      <c r="F84" s="860">
        <v>0</v>
      </c>
      <c r="G84" s="854">
        <v>0</v>
      </c>
      <c r="H84" s="854">
        <v>0</v>
      </c>
      <c r="I84" s="854">
        <v>0</v>
      </c>
      <c r="J84" s="860">
        <v>0</v>
      </c>
      <c r="K84" s="862">
        <v>0</v>
      </c>
      <c r="L84" s="845">
        <v>0</v>
      </c>
      <c r="M84" s="845">
        <v>0</v>
      </c>
      <c r="N84" s="855">
        <f t="shared" si="6"/>
        <v>0</v>
      </c>
      <c r="O84" s="856">
        <f t="shared" si="7"/>
        <v>0</v>
      </c>
      <c r="P84" s="849">
        <f t="shared" si="8"/>
        <v>0</v>
      </c>
    </row>
    <row r="85" spans="1:16">
      <c r="A85" s="861" t="s">
        <v>103</v>
      </c>
      <c r="B85" s="858"/>
      <c r="C85" s="852"/>
      <c r="D85" s="859"/>
      <c r="E85" s="860"/>
      <c r="F85" s="860">
        <v>4</v>
      </c>
      <c r="G85" s="854">
        <v>5</v>
      </c>
      <c r="H85" s="854">
        <v>1</v>
      </c>
      <c r="I85" s="854">
        <v>4</v>
      </c>
      <c r="J85" s="860">
        <v>2</v>
      </c>
      <c r="K85" s="862">
        <v>3</v>
      </c>
      <c r="L85" s="845">
        <v>9</v>
      </c>
      <c r="M85" s="845">
        <v>1</v>
      </c>
      <c r="N85" s="855">
        <f t="shared" si="6"/>
        <v>29</v>
      </c>
      <c r="O85" s="856">
        <f t="shared" si="7"/>
        <v>3.625</v>
      </c>
      <c r="P85" s="849">
        <f t="shared" si="8"/>
        <v>7.4854163440194105E-2</v>
      </c>
    </row>
    <row r="86" spans="1:16">
      <c r="A86" s="861" t="s">
        <v>104</v>
      </c>
      <c r="B86" s="858"/>
      <c r="C86" s="852"/>
      <c r="D86" s="859"/>
      <c r="E86" s="860"/>
      <c r="F86" s="860">
        <v>9</v>
      </c>
      <c r="G86" s="854">
        <v>12</v>
      </c>
      <c r="H86" s="854">
        <v>3</v>
      </c>
      <c r="I86" s="854">
        <v>12</v>
      </c>
      <c r="J86" s="860">
        <v>9</v>
      </c>
      <c r="K86" s="862">
        <v>1</v>
      </c>
      <c r="L86" s="845">
        <v>8</v>
      </c>
      <c r="M86" s="845">
        <v>6</v>
      </c>
      <c r="N86" s="855">
        <f t="shared" si="6"/>
        <v>60</v>
      </c>
      <c r="O86" s="856">
        <f t="shared" si="7"/>
        <v>7.5</v>
      </c>
      <c r="P86" s="849">
        <f t="shared" si="8"/>
        <v>0.15487068297971193</v>
      </c>
    </row>
    <row r="87" spans="1:16">
      <c r="A87" s="861" t="s">
        <v>105</v>
      </c>
      <c r="B87" s="858"/>
      <c r="C87" s="852"/>
      <c r="D87" s="859"/>
      <c r="E87" s="860"/>
      <c r="F87" s="860">
        <v>7</v>
      </c>
      <c r="G87" s="854">
        <v>7</v>
      </c>
      <c r="H87" s="854">
        <v>16</v>
      </c>
      <c r="I87" s="854">
        <v>14</v>
      </c>
      <c r="J87" s="860">
        <v>11</v>
      </c>
      <c r="K87" s="862">
        <v>12</v>
      </c>
      <c r="L87" s="845">
        <v>8</v>
      </c>
      <c r="M87" s="845">
        <v>12</v>
      </c>
      <c r="N87" s="855">
        <f t="shared" si="6"/>
        <v>87</v>
      </c>
      <c r="O87" s="856">
        <f t="shared" si="7"/>
        <v>10.875</v>
      </c>
      <c r="P87" s="849">
        <f t="shared" si="8"/>
        <v>0.22456249032058229</v>
      </c>
    </row>
    <row r="88" spans="1:16">
      <c r="A88" s="861" t="s">
        <v>106</v>
      </c>
      <c r="B88" s="858"/>
      <c r="C88" s="852"/>
      <c r="D88" s="859"/>
      <c r="E88" s="860"/>
      <c r="F88" s="860">
        <v>1</v>
      </c>
      <c r="G88" s="854">
        <v>0</v>
      </c>
      <c r="H88" s="854">
        <v>0</v>
      </c>
      <c r="I88" s="854">
        <v>0</v>
      </c>
      <c r="J88" s="860">
        <v>2</v>
      </c>
      <c r="K88" s="845">
        <v>0</v>
      </c>
      <c r="L88" s="845">
        <v>2</v>
      </c>
      <c r="M88" s="845">
        <v>0</v>
      </c>
      <c r="N88" s="855">
        <f t="shared" si="6"/>
        <v>5</v>
      </c>
      <c r="O88" s="856">
        <f t="shared" si="7"/>
        <v>0.625</v>
      </c>
      <c r="P88" s="849">
        <f t="shared" si="8"/>
        <v>1.2905890248309328E-2</v>
      </c>
    </row>
    <row r="89" spans="1:16">
      <c r="A89" s="861" t="s">
        <v>452</v>
      </c>
      <c r="B89" s="858"/>
      <c r="C89" s="852"/>
      <c r="D89" s="859"/>
      <c r="E89" s="860"/>
      <c r="F89" s="860">
        <v>1</v>
      </c>
      <c r="G89" s="854">
        <v>0</v>
      </c>
      <c r="H89" s="854">
        <v>0</v>
      </c>
      <c r="I89" s="854">
        <v>0</v>
      </c>
      <c r="J89" s="860">
        <v>0</v>
      </c>
      <c r="K89" s="845">
        <v>0</v>
      </c>
      <c r="L89" s="845">
        <v>0</v>
      </c>
      <c r="M89" s="845">
        <v>0</v>
      </c>
      <c r="N89" s="855">
        <f t="shared" si="6"/>
        <v>1</v>
      </c>
      <c r="O89" s="856">
        <f t="shared" si="7"/>
        <v>0.125</v>
      </c>
      <c r="P89" s="849">
        <f t="shared" si="8"/>
        <v>2.5811780496618657E-3</v>
      </c>
    </row>
    <row r="90" spans="1:16">
      <c r="A90" s="861" t="s">
        <v>107</v>
      </c>
      <c r="B90" s="858"/>
      <c r="C90" s="852"/>
      <c r="D90" s="859"/>
      <c r="E90" s="860"/>
      <c r="F90" s="860">
        <v>15</v>
      </c>
      <c r="G90" s="854">
        <v>20</v>
      </c>
      <c r="H90" s="854">
        <v>20</v>
      </c>
      <c r="I90" s="854">
        <v>15</v>
      </c>
      <c r="J90" s="860">
        <v>10</v>
      </c>
      <c r="K90" s="845">
        <v>14</v>
      </c>
      <c r="L90" s="845">
        <v>8</v>
      </c>
      <c r="M90" s="845">
        <v>11</v>
      </c>
      <c r="N90" s="855">
        <f t="shared" si="6"/>
        <v>113</v>
      </c>
      <c r="O90" s="856">
        <f t="shared" si="7"/>
        <v>14.125</v>
      </c>
      <c r="P90" s="849">
        <f t="shared" ref="P90:P121" si="9">(N90/$N$192)*100</f>
        <v>0.29167311961179082</v>
      </c>
    </row>
    <row r="91" spans="1:16">
      <c r="A91" s="861" t="s">
        <v>108</v>
      </c>
      <c r="B91" s="858"/>
      <c r="C91" s="852"/>
      <c r="D91" s="859"/>
      <c r="E91" s="860"/>
      <c r="F91" s="860">
        <v>0</v>
      </c>
      <c r="G91" s="854">
        <v>0</v>
      </c>
      <c r="H91" s="854">
        <v>0</v>
      </c>
      <c r="I91" s="854">
        <v>0</v>
      </c>
      <c r="J91" s="860">
        <v>0</v>
      </c>
      <c r="K91" s="845">
        <v>0</v>
      </c>
      <c r="L91" s="845">
        <v>0</v>
      </c>
      <c r="M91" s="845">
        <v>0</v>
      </c>
      <c r="N91" s="855">
        <f t="shared" si="6"/>
        <v>0</v>
      </c>
      <c r="O91" s="856">
        <f t="shared" si="7"/>
        <v>0</v>
      </c>
      <c r="P91" s="849">
        <f t="shared" si="9"/>
        <v>0</v>
      </c>
    </row>
    <row r="92" spans="1:16">
      <c r="A92" s="861" t="s">
        <v>109</v>
      </c>
      <c r="B92" s="858"/>
      <c r="C92" s="852"/>
      <c r="D92" s="859"/>
      <c r="E92" s="860"/>
      <c r="F92" s="860">
        <v>95</v>
      </c>
      <c r="G92" s="854">
        <v>99</v>
      </c>
      <c r="H92" s="854">
        <v>93</v>
      </c>
      <c r="I92" s="854">
        <v>93</v>
      </c>
      <c r="J92" s="860">
        <v>116</v>
      </c>
      <c r="K92" s="845">
        <v>119</v>
      </c>
      <c r="L92" s="845">
        <v>104</v>
      </c>
      <c r="M92" s="845">
        <v>88</v>
      </c>
      <c r="N92" s="855">
        <f t="shared" si="6"/>
        <v>807</v>
      </c>
      <c r="O92" s="856">
        <f t="shared" si="7"/>
        <v>100.875</v>
      </c>
      <c r="P92" s="849">
        <f t="shared" si="9"/>
        <v>2.0830106860771256</v>
      </c>
    </row>
    <row r="93" spans="1:16">
      <c r="A93" s="861" t="s">
        <v>110</v>
      </c>
      <c r="B93" s="858"/>
      <c r="C93" s="852"/>
      <c r="D93" s="859"/>
      <c r="E93" s="860"/>
      <c r="F93" s="860">
        <v>5</v>
      </c>
      <c r="G93" s="854">
        <v>0</v>
      </c>
      <c r="H93" s="854">
        <v>1</v>
      </c>
      <c r="I93" s="854">
        <v>4</v>
      </c>
      <c r="J93" s="860">
        <v>1</v>
      </c>
      <c r="K93" s="845">
        <v>2</v>
      </c>
      <c r="L93" s="845">
        <v>3</v>
      </c>
      <c r="M93" s="845">
        <v>1</v>
      </c>
      <c r="N93" s="855">
        <f t="shared" si="6"/>
        <v>17</v>
      </c>
      <c r="O93" s="856">
        <f t="shared" si="7"/>
        <v>2.125</v>
      </c>
      <c r="P93" s="849">
        <f t="shared" si="9"/>
        <v>4.388002684425172E-2</v>
      </c>
    </row>
    <row r="94" spans="1:16">
      <c r="A94" s="857" t="s">
        <v>111</v>
      </c>
      <c r="B94" s="858"/>
      <c r="C94" s="852"/>
      <c r="D94" s="859"/>
      <c r="E94" s="860"/>
      <c r="F94" s="860">
        <v>20</v>
      </c>
      <c r="G94" s="854">
        <v>36</v>
      </c>
      <c r="H94" s="854">
        <v>13</v>
      </c>
      <c r="I94" s="854">
        <v>26</v>
      </c>
      <c r="J94" s="860">
        <v>38</v>
      </c>
      <c r="K94" s="845">
        <v>26</v>
      </c>
      <c r="L94" s="845">
        <v>17</v>
      </c>
      <c r="M94" s="845">
        <v>13</v>
      </c>
      <c r="N94" s="855">
        <f t="shared" si="6"/>
        <v>189</v>
      </c>
      <c r="O94" s="856">
        <f t="shared" si="7"/>
        <v>23.625</v>
      </c>
      <c r="P94" s="849">
        <f t="shared" si="9"/>
        <v>0.48784265138609262</v>
      </c>
    </row>
    <row r="95" spans="1:16">
      <c r="A95" s="861" t="s">
        <v>112</v>
      </c>
      <c r="B95" s="858"/>
      <c r="C95" s="852"/>
      <c r="D95" s="859"/>
      <c r="E95" s="860"/>
      <c r="F95" s="860">
        <v>8</v>
      </c>
      <c r="G95" s="854">
        <v>3</v>
      </c>
      <c r="H95" s="854">
        <v>4</v>
      </c>
      <c r="I95" s="854">
        <v>7</v>
      </c>
      <c r="J95" s="860">
        <v>1</v>
      </c>
      <c r="K95" s="845">
        <v>6</v>
      </c>
      <c r="L95" s="845">
        <v>4</v>
      </c>
      <c r="M95" s="845">
        <v>2</v>
      </c>
      <c r="N95" s="855">
        <f t="shared" si="6"/>
        <v>35</v>
      </c>
      <c r="O95" s="856">
        <f t="shared" si="7"/>
        <v>4.375</v>
      </c>
      <c r="P95" s="849">
        <f t="shared" si="9"/>
        <v>9.0341231738165301E-2</v>
      </c>
    </row>
    <row r="96" spans="1:16">
      <c r="A96" s="861" t="s">
        <v>113</v>
      </c>
      <c r="B96" s="858"/>
      <c r="C96" s="852"/>
      <c r="D96" s="859"/>
      <c r="E96" s="860"/>
      <c r="F96" s="860">
        <v>0</v>
      </c>
      <c r="G96" s="854">
        <v>0</v>
      </c>
      <c r="H96" s="854">
        <v>0</v>
      </c>
      <c r="I96" s="854">
        <v>0</v>
      </c>
      <c r="J96" s="860">
        <v>0</v>
      </c>
      <c r="K96" s="845">
        <v>1</v>
      </c>
      <c r="L96" s="845">
        <v>0</v>
      </c>
      <c r="M96" s="845">
        <v>0</v>
      </c>
      <c r="N96" s="855">
        <f t="shared" si="6"/>
        <v>1</v>
      </c>
      <c r="O96" s="856">
        <f t="shared" si="7"/>
        <v>0.125</v>
      </c>
      <c r="P96" s="849">
        <f t="shared" si="9"/>
        <v>2.5811780496618657E-3</v>
      </c>
    </row>
    <row r="97" spans="1:16">
      <c r="A97" s="861" t="s">
        <v>114</v>
      </c>
      <c r="B97" s="858"/>
      <c r="C97" s="852"/>
      <c r="D97" s="859"/>
      <c r="E97" s="860"/>
      <c r="F97" s="860">
        <v>0</v>
      </c>
      <c r="G97" s="854">
        <v>0</v>
      </c>
      <c r="H97" s="854">
        <v>0</v>
      </c>
      <c r="I97" s="854">
        <v>0</v>
      </c>
      <c r="J97" s="860">
        <v>0</v>
      </c>
      <c r="K97" s="845">
        <v>0</v>
      </c>
      <c r="L97" s="845">
        <v>0</v>
      </c>
      <c r="M97" s="845">
        <v>0</v>
      </c>
      <c r="N97" s="855">
        <f t="shared" si="6"/>
        <v>0</v>
      </c>
      <c r="O97" s="856">
        <f t="shared" si="7"/>
        <v>0</v>
      </c>
      <c r="P97" s="849">
        <f t="shared" si="9"/>
        <v>0</v>
      </c>
    </row>
    <row r="98" spans="1:16">
      <c r="A98" s="861" t="s">
        <v>115</v>
      </c>
      <c r="B98" s="858"/>
      <c r="C98" s="852"/>
      <c r="D98" s="859"/>
      <c r="E98" s="860"/>
      <c r="F98" s="860">
        <v>1</v>
      </c>
      <c r="G98" s="854">
        <v>1</v>
      </c>
      <c r="H98" s="854">
        <v>0</v>
      </c>
      <c r="I98" s="854">
        <v>0</v>
      </c>
      <c r="J98" s="860">
        <v>5</v>
      </c>
      <c r="K98" s="845">
        <v>3</v>
      </c>
      <c r="L98" s="845">
        <v>0</v>
      </c>
      <c r="M98" s="845">
        <v>0</v>
      </c>
      <c r="N98" s="855">
        <f t="shared" si="6"/>
        <v>10</v>
      </c>
      <c r="O98" s="856">
        <f t="shared" si="7"/>
        <v>1.25</v>
      </c>
      <c r="P98" s="849">
        <f t="shared" si="9"/>
        <v>2.5811780496618655E-2</v>
      </c>
    </row>
    <row r="99" spans="1:16">
      <c r="A99" s="861" t="s">
        <v>116</v>
      </c>
      <c r="B99" s="858"/>
      <c r="C99" s="852"/>
      <c r="D99" s="859"/>
      <c r="E99" s="860"/>
      <c r="F99" s="860">
        <v>4</v>
      </c>
      <c r="G99" s="854">
        <v>5</v>
      </c>
      <c r="H99" s="854">
        <v>0</v>
      </c>
      <c r="I99" s="854">
        <v>0</v>
      </c>
      <c r="J99" s="860">
        <v>0</v>
      </c>
      <c r="K99" s="845">
        <v>0</v>
      </c>
      <c r="L99" s="845">
        <v>1</v>
      </c>
      <c r="M99" s="845">
        <v>1</v>
      </c>
      <c r="N99" s="855">
        <f t="shared" si="6"/>
        <v>11</v>
      </c>
      <c r="O99" s="856">
        <f t="shared" si="7"/>
        <v>1.375</v>
      </c>
      <c r="P99" s="849">
        <f t="shared" si="9"/>
        <v>2.8392958546280524E-2</v>
      </c>
    </row>
    <row r="100" spans="1:16">
      <c r="A100" s="857" t="s">
        <v>117</v>
      </c>
      <c r="B100" s="858"/>
      <c r="C100" s="852"/>
      <c r="D100" s="859"/>
      <c r="E100" s="860"/>
      <c r="F100" s="860">
        <v>55</v>
      </c>
      <c r="G100" s="854">
        <v>60</v>
      </c>
      <c r="H100" s="854">
        <v>62</v>
      </c>
      <c r="I100" s="854">
        <v>54</v>
      </c>
      <c r="J100" s="860">
        <v>51</v>
      </c>
      <c r="K100" s="845">
        <v>128</v>
      </c>
      <c r="L100" s="845">
        <v>89</v>
      </c>
      <c r="M100" s="845">
        <v>54</v>
      </c>
      <c r="N100" s="855">
        <f t="shared" si="6"/>
        <v>553</v>
      </c>
      <c r="O100" s="856">
        <f t="shared" si="7"/>
        <v>69.125</v>
      </c>
      <c r="P100" s="849">
        <f t="shared" si="9"/>
        <v>1.4273914614630119</v>
      </c>
    </row>
    <row r="101" spans="1:16">
      <c r="A101" s="857" t="s">
        <v>118</v>
      </c>
      <c r="B101" s="858"/>
      <c r="C101" s="852"/>
      <c r="D101" s="859"/>
      <c r="E101" s="860"/>
      <c r="F101" s="860">
        <v>0</v>
      </c>
      <c r="G101" s="854">
        <v>0</v>
      </c>
      <c r="H101" s="854">
        <v>0</v>
      </c>
      <c r="I101" s="854">
        <v>0</v>
      </c>
      <c r="J101" s="860">
        <v>0</v>
      </c>
      <c r="K101" s="845">
        <v>0</v>
      </c>
      <c r="L101" s="845">
        <v>0</v>
      </c>
      <c r="M101" s="845">
        <v>0</v>
      </c>
      <c r="N101" s="855">
        <f t="shared" si="6"/>
        <v>0</v>
      </c>
      <c r="O101" s="856">
        <f t="shared" si="7"/>
        <v>0</v>
      </c>
      <c r="P101" s="849">
        <f t="shared" si="9"/>
        <v>0</v>
      </c>
    </row>
    <row r="102" spans="1:16">
      <c r="A102" s="857" t="s">
        <v>119</v>
      </c>
      <c r="B102" s="858"/>
      <c r="C102" s="852"/>
      <c r="D102" s="859"/>
      <c r="E102" s="860"/>
      <c r="F102" s="860">
        <v>0</v>
      </c>
      <c r="G102" s="854">
        <v>1</v>
      </c>
      <c r="H102" s="854">
        <v>0</v>
      </c>
      <c r="I102" s="854">
        <v>1</v>
      </c>
      <c r="J102" s="860">
        <v>0</v>
      </c>
      <c r="K102" s="845">
        <v>0</v>
      </c>
      <c r="L102" s="845">
        <v>1</v>
      </c>
      <c r="M102" s="845">
        <v>1</v>
      </c>
      <c r="N102" s="855">
        <f t="shared" si="6"/>
        <v>4</v>
      </c>
      <c r="O102" s="856">
        <f t="shared" si="7"/>
        <v>0.5</v>
      </c>
      <c r="P102" s="849">
        <f t="shared" si="9"/>
        <v>1.0324712198647463E-2</v>
      </c>
    </row>
    <row r="103" spans="1:16">
      <c r="A103" s="861" t="s">
        <v>120</v>
      </c>
      <c r="B103" s="858"/>
      <c r="C103" s="852"/>
      <c r="D103" s="859"/>
      <c r="E103" s="860"/>
      <c r="F103" s="860">
        <v>1</v>
      </c>
      <c r="G103" s="854">
        <v>1</v>
      </c>
      <c r="H103" s="854">
        <v>0</v>
      </c>
      <c r="I103" s="854">
        <v>0</v>
      </c>
      <c r="J103" s="860">
        <v>0</v>
      </c>
      <c r="K103" s="845">
        <v>0</v>
      </c>
      <c r="L103" s="845">
        <v>0</v>
      </c>
      <c r="M103" s="845">
        <v>0</v>
      </c>
      <c r="N103" s="855">
        <f t="shared" si="6"/>
        <v>2</v>
      </c>
      <c r="O103" s="856">
        <f t="shared" si="7"/>
        <v>0.25</v>
      </c>
      <c r="P103" s="849">
        <f t="shared" si="9"/>
        <v>5.1623560993237314E-3</v>
      </c>
    </row>
    <row r="104" spans="1:16">
      <c r="A104" s="861" t="s">
        <v>121</v>
      </c>
      <c r="B104" s="858"/>
      <c r="C104" s="852"/>
      <c r="D104" s="859"/>
      <c r="E104" s="860"/>
      <c r="F104" s="860">
        <v>67</v>
      </c>
      <c r="G104" s="854">
        <v>79</v>
      </c>
      <c r="H104" s="854">
        <v>56</v>
      </c>
      <c r="I104" s="854">
        <v>82</v>
      </c>
      <c r="J104" s="860">
        <v>72</v>
      </c>
      <c r="K104" s="845">
        <v>100</v>
      </c>
      <c r="L104" s="845">
        <v>110</v>
      </c>
      <c r="M104" s="845">
        <v>92</v>
      </c>
      <c r="N104" s="855">
        <f t="shared" ref="N104:N135" si="10">SUM(B104:M104)</f>
        <v>658</v>
      </c>
      <c r="O104" s="856">
        <f t="shared" ref="O104:O135" si="11">AVERAGE(B104:M104)</f>
        <v>82.25</v>
      </c>
      <c r="P104" s="849">
        <f t="shared" si="9"/>
        <v>1.6984151566775079</v>
      </c>
    </row>
    <row r="105" spans="1:16">
      <c r="A105" s="857" t="s">
        <v>122</v>
      </c>
      <c r="B105" s="858"/>
      <c r="C105" s="852"/>
      <c r="D105" s="859"/>
      <c r="E105" s="860"/>
      <c r="F105" s="860">
        <v>9</v>
      </c>
      <c r="G105" s="854">
        <v>8</v>
      </c>
      <c r="H105" s="854">
        <v>8</v>
      </c>
      <c r="I105" s="854">
        <v>5</v>
      </c>
      <c r="J105" s="860">
        <v>8</v>
      </c>
      <c r="K105" s="845">
        <v>10</v>
      </c>
      <c r="L105" s="845">
        <v>10</v>
      </c>
      <c r="M105" s="845">
        <v>8</v>
      </c>
      <c r="N105" s="855">
        <f t="shared" si="10"/>
        <v>66</v>
      </c>
      <c r="O105" s="856">
        <f t="shared" si="11"/>
        <v>8.25</v>
      </c>
      <c r="P105" s="849">
        <f t="shared" si="9"/>
        <v>0.17035775127768313</v>
      </c>
    </row>
    <row r="106" spans="1:16">
      <c r="A106" s="857" t="s">
        <v>123</v>
      </c>
      <c r="B106" s="858"/>
      <c r="C106" s="852"/>
      <c r="D106" s="859"/>
      <c r="E106" s="860"/>
      <c r="F106" s="860">
        <v>8</v>
      </c>
      <c r="G106" s="854">
        <v>11</v>
      </c>
      <c r="H106" s="854">
        <v>3</v>
      </c>
      <c r="I106" s="854">
        <v>3</v>
      </c>
      <c r="J106" s="860">
        <v>5</v>
      </c>
      <c r="K106" s="845">
        <v>21</v>
      </c>
      <c r="L106" s="845">
        <v>5</v>
      </c>
      <c r="M106" s="845">
        <v>11</v>
      </c>
      <c r="N106" s="855">
        <f t="shared" si="10"/>
        <v>67</v>
      </c>
      <c r="O106" s="856">
        <f t="shared" si="11"/>
        <v>8.375</v>
      </c>
      <c r="P106" s="849">
        <f t="shared" si="9"/>
        <v>0.172938929327345</v>
      </c>
    </row>
    <row r="107" spans="1:16">
      <c r="A107" s="861" t="s">
        <v>124</v>
      </c>
      <c r="B107" s="858"/>
      <c r="C107" s="852"/>
      <c r="D107" s="859"/>
      <c r="E107" s="860"/>
      <c r="F107" s="860">
        <v>0</v>
      </c>
      <c r="G107" s="854">
        <v>0</v>
      </c>
      <c r="H107" s="854">
        <v>0</v>
      </c>
      <c r="I107" s="854">
        <v>0</v>
      </c>
      <c r="J107" s="860">
        <v>0</v>
      </c>
      <c r="K107" s="845">
        <v>0</v>
      </c>
      <c r="L107" s="845">
        <v>0</v>
      </c>
      <c r="M107" s="845">
        <v>0</v>
      </c>
      <c r="N107" s="855">
        <f t="shared" si="10"/>
        <v>0</v>
      </c>
      <c r="O107" s="856">
        <f t="shared" si="11"/>
        <v>0</v>
      </c>
      <c r="P107" s="849">
        <f t="shared" si="9"/>
        <v>0</v>
      </c>
    </row>
    <row r="108" spans="1:16">
      <c r="A108" s="861" t="s">
        <v>125</v>
      </c>
      <c r="B108" s="858"/>
      <c r="C108" s="852"/>
      <c r="D108" s="859"/>
      <c r="E108" s="860"/>
      <c r="F108" s="860">
        <v>63</v>
      </c>
      <c r="G108" s="854">
        <v>71</v>
      </c>
      <c r="H108" s="854">
        <v>44</v>
      </c>
      <c r="I108" s="854">
        <v>43</v>
      </c>
      <c r="J108" s="860">
        <v>31</v>
      </c>
      <c r="K108" s="845">
        <v>32</v>
      </c>
      <c r="L108" s="845">
        <v>21</v>
      </c>
      <c r="M108" s="845">
        <v>21</v>
      </c>
      <c r="N108" s="855">
        <f t="shared" si="10"/>
        <v>326</v>
      </c>
      <c r="O108" s="856">
        <f t="shared" si="11"/>
        <v>40.75</v>
      </c>
      <c r="P108" s="849">
        <f t="shared" si="9"/>
        <v>0.84146404418976828</v>
      </c>
    </row>
    <row r="109" spans="1:16">
      <c r="A109" s="861" t="s">
        <v>126</v>
      </c>
      <c r="B109" s="858"/>
      <c r="C109" s="852"/>
      <c r="D109" s="859"/>
      <c r="E109" s="860"/>
      <c r="F109" s="860">
        <v>0</v>
      </c>
      <c r="G109" s="854">
        <v>0</v>
      </c>
      <c r="H109" s="854">
        <v>0</v>
      </c>
      <c r="I109" s="854">
        <v>0</v>
      </c>
      <c r="J109" s="860">
        <v>0</v>
      </c>
      <c r="K109" s="845">
        <v>0</v>
      </c>
      <c r="L109" s="845">
        <v>0</v>
      </c>
      <c r="M109" s="845">
        <v>1</v>
      </c>
      <c r="N109" s="855">
        <f t="shared" si="10"/>
        <v>1</v>
      </c>
      <c r="O109" s="856">
        <f t="shared" si="11"/>
        <v>0.125</v>
      </c>
      <c r="P109" s="849">
        <f t="shared" si="9"/>
        <v>2.5811780496618657E-3</v>
      </c>
    </row>
    <row r="110" spans="1:16">
      <c r="A110" s="861" t="s">
        <v>127</v>
      </c>
      <c r="B110" s="858"/>
      <c r="C110" s="852"/>
      <c r="D110" s="859"/>
      <c r="E110" s="860"/>
      <c r="F110" s="860">
        <v>15</v>
      </c>
      <c r="G110" s="854">
        <v>18</v>
      </c>
      <c r="H110" s="854">
        <v>20</v>
      </c>
      <c r="I110" s="854">
        <v>23</v>
      </c>
      <c r="J110" s="860">
        <v>21</v>
      </c>
      <c r="K110" s="845">
        <v>21</v>
      </c>
      <c r="L110" s="845">
        <v>25</v>
      </c>
      <c r="M110" s="845">
        <v>20</v>
      </c>
      <c r="N110" s="855">
        <f t="shared" si="10"/>
        <v>163</v>
      </c>
      <c r="O110" s="856">
        <f t="shared" si="11"/>
        <v>20.375</v>
      </c>
      <c r="P110" s="849">
        <f t="shared" si="9"/>
        <v>0.42073202209488414</v>
      </c>
    </row>
    <row r="111" spans="1:16">
      <c r="A111" s="861" t="s">
        <v>128</v>
      </c>
      <c r="B111" s="858"/>
      <c r="C111" s="852"/>
      <c r="D111" s="859"/>
      <c r="E111" s="860"/>
      <c r="F111" s="860">
        <v>0</v>
      </c>
      <c r="G111" s="854">
        <v>0</v>
      </c>
      <c r="H111" s="854">
        <v>0</v>
      </c>
      <c r="I111" s="854">
        <v>0</v>
      </c>
      <c r="J111" s="860">
        <v>0</v>
      </c>
      <c r="K111" s="845">
        <v>0</v>
      </c>
      <c r="L111" s="845">
        <v>0</v>
      </c>
      <c r="M111" s="864">
        <v>0</v>
      </c>
      <c r="N111" s="855">
        <f t="shared" si="10"/>
        <v>0</v>
      </c>
      <c r="O111" s="856">
        <f t="shared" si="11"/>
        <v>0</v>
      </c>
      <c r="P111" s="849">
        <f t="shared" si="9"/>
        <v>0</v>
      </c>
    </row>
    <row r="112" spans="1:16">
      <c r="A112" s="861" t="s">
        <v>129</v>
      </c>
      <c r="B112" s="858"/>
      <c r="C112" s="852"/>
      <c r="D112" s="859"/>
      <c r="E112" s="860"/>
      <c r="F112" s="860">
        <v>1</v>
      </c>
      <c r="G112" s="854">
        <v>2</v>
      </c>
      <c r="H112" s="854">
        <v>0</v>
      </c>
      <c r="I112" s="854">
        <v>1</v>
      </c>
      <c r="J112" s="860">
        <v>5</v>
      </c>
      <c r="K112" s="845">
        <v>11</v>
      </c>
      <c r="L112" s="845">
        <v>5</v>
      </c>
      <c r="M112" s="845">
        <v>6</v>
      </c>
      <c r="N112" s="855">
        <f t="shared" si="10"/>
        <v>31</v>
      </c>
      <c r="O112" s="856">
        <f t="shared" si="11"/>
        <v>3.875</v>
      </c>
      <c r="P112" s="849">
        <f t="shared" si="9"/>
        <v>8.0016519539517841E-2</v>
      </c>
    </row>
    <row r="113" spans="1:16">
      <c r="A113" s="861" t="s">
        <v>130</v>
      </c>
      <c r="B113" s="858"/>
      <c r="C113" s="852"/>
      <c r="D113" s="859"/>
      <c r="E113" s="860"/>
      <c r="F113" s="860">
        <v>25</v>
      </c>
      <c r="G113" s="854">
        <v>16</v>
      </c>
      <c r="H113" s="854">
        <v>13</v>
      </c>
      <c r="I113" s="854">
        <v>20</v>
      </c>
      <c r="J113" s="860">
        <v>26</v>
      </c>
      <c r="K113" s="845">
        <v>83</v>
      </c>
      <c r="L113" s="845">
        <v>113</v>
      </c>
      <c r="M113" s="845">
        <v>42</v>
      </c>
      <c r="N113" s="855">
        <f t="shared" si="10"/>
        <v>338</v>
      </c>
      <c r="O113" s="856">
        <f t="shared" si="11"/>
        <v>42.25</v>
      </c>
      <c r="P113" s="849">
        <f t="shared" si="9"/>
        <v>0.87243818078571056</v>
      </c>
    </row>
    <row r="114" spans="1:16">
      <c r="A114" s="861" t="s">
        <v>131</v>
      </c>
      <c r="B114" s="858"/>
      <c r="C114" s="852"/>
      <c r="D114" s="859"/>
      <c r="E114" s="860"/>
      <c r="F114" s="860">
        <v>0</v>
      </c>
      <c r="G114" s="854">
        <v>0</v>
      </c>
      <c r="H114" s="854">
        <v>0</v>
      </c>
      <c r="I114" s="854">
        <v>0</v>
      </c>
      <c r="J114" s="860">
        <v>1</v>
      </c>
      <c r="K114" s="845">
        <v>3</v>
      </c>
      <c r="L114" s="845">
        <v>1</v>
      </c>
      <c r="M114" s="845">
        <v>0</v>
      </c>
      <c r="N114" s="855">
        <f t="shared" si="10"/>
        <v>5</v>
      </c>
      <c r="O114" s="856">
        <f t="shared" si="11"/>
        <v>0.625</v>
      </c>
      <c r="P114" s="849">
        <f t="shared" si="9"/>
        <v>1.2905890248309328E-2</v>
      </c>
    </row>
    <row r="115" spans="1:16">
      <c r="A115" s="861" t="s">
        <v>132</v>
      </c>
      <c r="B115" s="858"/>
      <c r="C115" s="852"/>
      <c r="D115" s="859"/>
      <c r="E115" s="860"/>
      <c r="F115" s="860">
        <v>2</v>
      </c>
      <c r="G115" s="854">
        <v>1</v>
      </c>
      <c r="H115" s="854">
        <v>5</v>
      </c>
      <c r="I115" s="854">
        <v>4</v>
      </c>
      <c r="J115" s="860">
        <v>2</v>
      </c>
      <c r="K115" s="845">
        <v>2</v>
      </c>
      <c r="L115" s="845">
        <v>3</v>
      </c>
      <c r="M115" s="845">
        <v>4</v>
      </c>
      <c r="N115" s="855">
        <f t="shared" si="10"/>
        <v>23</v>
      </c>
      <c r="O115" s="856">
        <f t="shared" si="11"/>
        <v>2.875</v>
      </c>
      <c r="P115" s="849">
        <f t="shared" si="9"/>
        <v>5.9367095142222909E-2</v>
      </c>
    </row>
    <row r="116" spans="1:16">
      <c r="A116" s="861" t="s">
        <v>133</v>
      </c>
      <c r="B116" s="858"/>
      <c r="C116" s="852"/>
      <c r="D116" s="859"/>
      <c r="E116" s="860"/>
      <c r="F116" s="860">
        <v>0</v>
      </c>
      <c r="G116" s="854">
        <v>0</v>
      </c>
      <c r="H116" s="854">
        <v>0</v>
      </c>
      <c r="I116" s="854">
        <v>0</v>
      </c>
      <c r="J116" s="860">
        <v>0</v>
      </c>
      <c r="K116" s="845">
        <v>0</v>
      </c>
      <c r="L116" s="845">
        <v>0</v>
      </c>
      <c r="M116" s="845">
        <v>0</v>
      </c>
      <c r="N116" s="855">
        <f t="shared" si="10"/>
        <v>0</v>
      </c>
      <c r="O116" s="856">
        <f t="shared" si="11"/>
        <v>0</v>
      </c>
      <c r="P116" s="849">
        <f t="shared" si="9"/>
        <v>0</v>
      </c>
    </row>
    <row r="117" spans="1:16">
      <c r="A117" s="861" t="s">
        <v>134</v>
      </c>
      <c r="B117" s="858"/>
      <c r="C117" s="852"/>
      <c r="D117" s="859"/>
      <c r="E117" s="860"/>
      <c r="F117" s="860">
        <v>0</v>
      </c>
      <c r="G117" s="854">
        <v>2</v>
      </c>
      <c r="H117" s="854">
        <v>0</v>
      </c>
      <c r="I117" s="854">
        <v>2</v>
      </c>
      <c r="J117" s="860">
        <v>3</v>
      </c>
      <c r="K117" s="845">
        <v>2</v>
      </c>
      <c r="L117" s="845">
        <v>2</v>
      </c>
      <c r="M117" s="845">
        <v>0</v>
      </c>
      <c r="N117" s="855">
        <f t="shared" si="10"/>
        <v>11</v>
      </c>
      <c r="O117" s="856">
        <f t="shared" si="11"/>
        <v>1.375</v>
      </c>
      <c r="P117" s="849">
        <f t="shared" si="9"/>
        <v>2.8392958546280524E-2</v>
      </c>
    </row>
    <row r="118" spans="1:16">
      <c r="A118" s="857" t="s">
        <v>135</v>
      </c>
      <c r="B118" s="858"/>
      <c r="C118" s="852"/>
      <c r="D118" s="859"/>
      <c r="E118" s="860"/>
      <c r="F118" s="860">
        <v>0</v>
      </c>
      <c r="G118" s="854">
        <v>1</v>
      </c>
      <c r="H118" s="854">
        <v>0</v>
      </c>
      <c r="I118" s="854">
        <v>0</v>
      </c>
      <c r="J118" s="860">
        <v>0</v>
      </c>
      <c r="K118" s="845">
        <v>1</v>
      </c>
      <c r="L118" s="845">
        <v>0</v>
      </c>
      <c r="M118" s="845">
        <v>0</v>
      </c>
      <c r="N118" s="855">
        <f t="shared" si="10"/>
        <v>2</v>
      </c>
      <c r="O118" s="856">
        <f t="shared" si="11"/>
        <v>0.25</v>
      </c>
      <c r="P118" s="849">
        <f t="shared" si="9"/>
        <v>5.1623560993237314E-3</v>
      </c>
    </row>
    <row r="119" spans="1:16">
      <c r="A119" s="861" t="s">
        <v>136</v>
      </c>
      <c r="B119" s="858"/>
      <c r="C119" s="852"/>
      <c r="D119" s="859"/>
      <c r="E119" s="860"/>
      <c r="F119" s="860">
        <v>0</v>
      </c>
      <c r="G119" s="854">
        <v>0</v>
      </c>
      <c r="H119" s="854">
        <v>0</v>
      </c>
      <c r="I119" s="854">
        <v>0</v>
      </c>
      <c r="J119" s="860">
        <v>0</v>
      </c>
      <c r="K119" s="845">
        <v>0</v>
      </c>
      <c r="L119" s="845">
        <v>1</v>
      </c>
      <c r="M119" s="845">
        <v>0</v>
      </c>
      <c r="N119" s="855">
        <f t="shared" si="10"/>
        <v>1</v>
      </c>
      <c r="O119" s="856">
        <f t="shared" si="11"/>
        <v>0.125</v>
      </c>
      <c r="P119" s="849">
        <f t="shared" si="9"/>
        <v>2.5811780496618657E-3</v>
      </c>
    </row>
    <row r="120" spans="1:16">
      <c r="A120" s="861" t="s">
        <v>137</v>
      </c>
      <c r="B120" s="858"/>
      <c r="C120" s="852"/>
      <c r="D120" s="859"/>
      <c r="E120" s="860"/>
      <c r="F120" s="860">
        <v>88</v>
      </c>
      <c r="G120" s="854">
        <v>90</v>
      </c>
      <c r="H120" s="854">
        <v>91</v>
      </c>
      <c r="I120" s="854">
        <v>87</v>
      </c>
      <c r="J120" s="860">
        <v>74</v>
      </c>
      <c r="K120" s="845">
        <v>112</v>
      </c>
      <c r="L120" s="845">
        <v>144</v>
      </c>
      <c r="M120" s="845">
        <v>151</v>
      </c>
      <c r="N120" s="855">
        <f t="shared" si="10"/>
        <v>837</v>
      </c>
      <c r="O120" s="856">
        <f t="shared" si="11"/>
        <v>104.625</v>
      </c>
      <c r="P120" s="849">
        <f t="shared" si="9"/>
        <v>2.1604460275669815</v>
      </c>
    </row>
    <row r="121" spans="1:16">
      <c r="A121" s="861" t="s">
        <v>138</v>
      </c>
      <c r="B121" s="858"/>
      <c r="C121" s="852"/>
      <c r="D121" s="859"/>
      <c r="E121" s="860"/>
      <c r="F121" s="860">
        <v>6</v>
      </c>
      <c r="G121" s="854">
        <v>7</v>
      </c>
      <c r="H121" s="854">
        <v>2</v>
      </c>
      <c r="I121" s="854">
        <v>3</v>
      </c>
      <c r="J121" s="860">
        <v>4</v>
      </c>
      <c r="K121" s="845">
        <v>1</v>
      </c>
      <c r="L121" s="845">
        <v>1</v>
      </c>
      <c r="M121" s="845">
        <v>0</v>
      </c>
      <c r="N121" s="855">
        <f t="shared" si="10"/>
        <v>24</v>
      </c>
      <c r="O121" s="856">
        <f t="shared" si="11"/>
        <v>3</v>
      </c>
      <c r="P121" s="849">
        <f t="shared" si="9"/>
        <v>6.1948273191884777E-2</v>
      </c>
    </row>
    <row r="122" spans="1:16">
      <c r="A122" s="861" t="s">
        <v>139</v>
      </c>
      <c r="B122" s="858"/>
      <c r="C122" s="852"/>
      <c r="D122" s="859"/>
      <c r="E122" s="860"/>
      <c r="F122" s="860">
        <v>206</v>
      </c>
      <c r="G122" s="854">
        <v>182</v>
      </c>
      <c r="H122" s="854">
        <v>199</v>
      </c>
      <c r="I122" s="854">
        <v>228</v>
      </c>
      <c r="J122" s="860">
        <v>211</v>
      </c>
      <c r="K122" s="845">
        <v>277</v>
      </c>
      <c r="L122" s="845">
        <v>245</v>
      </c>
      <c r="M122" s="845">
        <v>183</v>
      </c>
      <c r="N122" s="855">
        <f t="shared" si="10"/>
        <v>1731</v>
      </c>
      <c r="O122" s="856">
        <f t="shared" si="11"/>
        <v>216.375</v>
      </c>
      <c r="P122" s="849">
        <f t="shared" ref="P122:P153" si="12">(N122/$N$192)*100</f>
        <v>4.4680192039646895</v>
      </c>
    </row>
    <row r="123" spans="1:16">
      <c r="A123" s="857" t="s">
        <v>140</v>
      </c>
      <c r="B123" s="858"/>
      <c r="C123" s="852"/>
      <c r="D123" s="859"/>
      <c r="E123" s="860"/>
      <c r="F123" s="860">
        <v>5</v>
      </c>
      <c r="G123" s="854">
        <v>11</v>
      </c>
      <c r="H123" s="854">
        <v>7</v>
      </c>
      <c r="I123" s="854">
        <v>9</v>
      </c>
      <c r="J123" s="860">
        <v>7</v>
      </c>
      <c r="K123" s="845">
        <v>14</v>
      </c>
      <c r="L123" s="845">
        <v>13</v>
      </c>
      <c r="M123" s="845">
        <v>11</v>
      </c>
      <c r="N123" s="855">
        <f t="shared" si="10"/>
        <v>77</v>
      </c>
      <c r="O123" s="856">
        <f t="shared" si="11"/>
        <v>9.625</v>
      </c>
      <c r="P123" s="849">
        <f t="shared" si="12"/>
        <v>0.19875070982396364</v>
      </c>
    </row>
    <row r="124" spans="1:16">
      <c r="A124" s="861" t="s">
        <v>141</v>
      </c>
      <c r="B124" s="858"/>
      <c r="C124" s="852"/>
      <c r="D124" s="859"/>
      <c r="E124" s="860"/>
      <c r="F124" s="860">
        <v>0</v>
      </c>
      <c r="G124" s="854">
        <v>0</v>
      </c>
      <c r="H124" s="854">
        <v>0</v>
      </c>
      <c r="I124" s="854">
        <v>0</v>
      </c>
      <c r="J124" s="860">
        <v>0</v>
      </c>
      <c r="K124" s="845">
        <v>3</v>
      </c>
      <c r="L124" s="845">
        <v>0</v>
      </c>
      <c r="M124" s="845">
        <v>0</v>
      </c>
      <c r="N124" s="855">
        <f t="shared" si="10"/>
        <v>3</v>
      </c>
      <c r="O124" s="856">
        <f t="shared" si="11"/>
        <v>0.375</v>
      </c>
      <c r="P124" s="849">
        <f t="shared" si="12"/>
        <v>7.7435341489855971E-3</v>
      </c>
    </row>
    <row r="125" spans="1:16">
      <c r="A125" s="861" t="s">
        <v>142</v>
      </c>
      <c r="B125" s="858"/>
      <c r="C125" s="852"/>
      <c r="D125" s="859"/>
      <c r="E125" s="860"/>
      <c r="F125" s="860">
        <v>0</v>
      </c>
      <c r="G125" s="854">
        <v>0</v>
      </c>
      <c r="H125" s="854">
        <v>0</v>
      </c>
      <c r="I125" s="854">
        <v>0</v>
      </c>
      <c r="J125" s="860">
        <v>0</v>
      </c>
      <c r="K125" s="845">
        <v>0</v>
      </c>
      <c r="L125" s="845">
        <v>0</v>
      </c>
      <c r="M125" s="845">
        <v>0</v>
      </c>
      <c r="N125" s="855">
        <f t="shared" si="10"/>
        <v>0</v>
      </c>
      <c r="O125" s="856">
        <f t="shared" si="11"/>
        <v>0</v>
      </c>
      <c r="P125" s="849">
        <f t="shared" si="12"/>
        <v>0</v>
      </c>
    </row>
    <row r="126" spans="1:16">
      <c r="A126" s="861" t="s">
        <v>143</v>
      </c>
      <c r="B126" s="858"/>
      <c r="C126" s="852"/>
      <c r="D126" s="859"/>
      <c r="E126" s="860"/>
      <c r="F126" s="860">
        <v>1</v>
      </c>
      <c r="G126" s="854">
        <v>1</v>
      </c>
      <c r="H126" s="854">
        <v>5</v>
      </c>
      <c r="I126" s="854">
        <v>5</v>
      </c>
      <c r="J126" s="860">
        <v>7</v>
      </c>
      <c r="K126" s="845">
        <v>1</v>
      </c>
      <c r="L126" s="845">
        <v>1</v>
      </c>
      <c r="M126" s="845">
        <v>1</v>
      </c>
      <c r="N126" s="855">
        <f t="shared" si="10"/>
        <v>22</v>
      </c>
      <c r="O126" s="856">
        <f t="shared" si="11"/>
        <v>2.75</v>
      </c>
      <c r="P126" s="849">
        <f t="shared" si="12"/>
        <v>5.6785917092561047E-2</v>
      </c>
    </row>
    <row r="127" spans="1:16">
      <c r="A127" s="861" t="s">
        <v>144</v>
      </c>
      <c r="B127" s="858"/>
      <c r="C127" s="852"/>
      <c r="D127" s="859"/>
      <c r="E127" s="860"/>
      <c r="F127" s="860">
        <v>119</v>
      </c>
      <c r="G127" s="854">
        <v>104</v>
      </c>
      <c r="H127" s="854">
        <v>118</v>
      </c>
      <c r="I127" s="854">
        <v>170</v>
      </c>
      <c r="J127" s="860">
        <v>123</v>
      </c>
      <c r="K127" s="845">
        <v>175</v>
      </c>
      <c r="L127" s="845">
        <v>88</v>
      </c>
      <c r="M127" s="845">
        <v>61</v>
      </c>
      <c r="N127" s="855">
        <f t="shared" si="10"/>
        <v>958</v>
      </c>
      <c r="O127" s="856">
        <f t="shared" si="11"/>
        <v>119.75</v>
      </c>
      <c r="P127" s="849">
        <f t="shared" si="12"/>
        <v>2.4727685715760672</v>
      </c>
    </row>
    <row r="128" spans="1:16">
      <c r="A128" s="861" t="s">
        <v>145</v>
      </c>
      <c r="B128" s="858"/>
      <c r="C128" s="852"/>
      <c r="D128" s="859"/>
      <c r="E128" s="860"/>
      <c r="F128" s="860">
        <v>5</v>
      </c>
      <c r="G128" s="854">
        <v>2</v>
      </c>
      <c r="H128" s="854">
        <v>3</v>
      </c>
      <c r="I128" s="854">
        <v>5</v>
      </c>
      <c r="J128" s="860">
        <v>7</v>
      </c>
      <c r="K128" s="845">
        <v>4</v>
      </c>
      <c r="L128" s="845">
        <v>1</v>
      </c>
      <c r="M128" s="845">
        <v>2</v>
      </c>
      <c r="N128" s="855">
        <f t="shared" si="10"/>
        <v>29</v>
      </c>
      <c r="O128" s="856">
        <f t="shared" si="11"/>
        <v>3.625</v>
      </c>
      <c r="P128" s="849">
        <f t="shared" si="12"/>
        <v>7.4854163440194105E-2</v>
      </c>
    </row>
    <row r="129" spans="1:16">
      <c r="A129" s="861" t="s">
        <v>146</v>
      </c>
      <c r="B129" s="858"/>
      <c r="C129" s="852"/>
      <c r="D129" s="859"/>
      <c r="E129" s="860"/>
      <c r="F129" s="860">
        <v>0</v>
      </c>
      <c r="G129" s="854">
        <v>0</v>
      </c>
      <c r="H129" s="854">
        <v>0</v>
      </c>
      <c r="I129" s="854">
        <v>0</v>
      </c>
      <c r="J129" s="860">
        <v>0</v>
      </c>
      <c r="K129" s="845">
        <v>1</v>
      </c>
      <c r="L129" s="845">
        <v>0</v>
      </c>
      <c r="M129" s="845">
        <v>0</v>
      </c>
      <c r="N129" s="855">
        <f t="shared" si="10"/>
        <v>1</v>
      </c>
      <c r="O129" s="856">
        <f t="shared" si="11"/>
        <v>0.125</v>
      </c>
      <c r="P129" s="849">
        <f t="shared" si="12"/>
        <v>2.5811780496618657E-3</v>
      </c>
    </row>
    <row r="130" spans="1:16">
      <c r="A130" s="857" t="s">
        <v>147</v>
      </c>
      <c r="B130" s="858"/>
      <c r="C130" s="852"/>
      <c r="D130" s="859"/>
      <c r="E130" s="860"/>
      <c r="F130" s="860">
        <v>110</v>
      </c>
      <c r="G130" s="854">
        <v>109</v>
      </c>
      <c r="H130" s="854">
        <v>79</v>
      </c>
      <c r="I130" s="854">
        <v>108</v>
      </c>
      <c r="J130" s="860">
        <v>77</v>
      </c>
      <c r="K130" s="845">
        <v>96</v>
      </c>
      <c r="L130" s="845">
        <v>72</v>
      </c>
      <c r="M130" s="845">
        <v>85</v>
      </c>
      <c r="N130" s="855">
        <f t="shared" si="10"/>
        <v>736</v>
      </c>
      <c r="O130" s="856">
        <f t="shared" si="11"/>
        <v>92</v>
      </c>
      <c r="P130" s="849">
        <f t="shared" si="12"/>
        <v>1.8997470445511331</v>
      </c>
    </row>
    <row r="131" spans="1:16">
      <c r="A131" s="857" t="s">
        <v>148</v>
      </c>
      <c r="B131" s="858"/>
      <c r="C131" s="852"/>
      <c r="D131" s="859"/>
      <c r="E131" s="860"/>
      <c r="F131" s="860">
        <v>0</v>
      </c>
      <c r="G131" s="854">
        <v>0</v>
      </c>
      <c r="H131" s="854">
        <v>0</v>
      </c>
      <c r="I131" s="854">
        <v>0</v>
      </c>
      <c r="J131" s="860">
        <v>0</v>
      </c>
      <c r="K131" s="845">
        <v>0</v>
      </c>
      <c r="L131" s="845">
        <v>0</v>
      </c>
      <c r="M131" s="845">
        <v>0</v>
      </c>
      <c r="N131" s="855">
        <f t="shared" si="10"/>
        <v>0</v>
      </c>
      <c r="O131" s="856">
        <f t="shared" si="11"/>
        <v>0</v>
      </c>
      <c r="P131" s="849">
        <f t="shared" si="12"/>
        <v>0</v>
      </c>
    </row>
    <row r="132" spans="1:16">
      <c r="A132" s="861" t="s">
        <v>149</v>
      </c>
      <c r="B132" s="858"/>
      <c r="C132" s="852"/>
      <c r="D132" s="859"/>
      <c r="E132" s="860"/>
      <c r="F132" s="860">
        <v>6</v>
      </c>
      <c r="G132" s="854">
        <v>3</v>
      </c>
      <c r="H132" s="854">
        <v>3</v>
      </c>
      <c r="I132" s="854">
        <v>7</v>
      </c>
      <c r="J132" s="860">
        <v>4</v>
      </c>
      <c r="K132" s="845">
        <v>2</v>
      </c>
      <c r="L132" s="845">
        <v>7</v>
      </c>
      <c r="M132" s="845">
        <v>4</v>
      </c>
      <c r="N132" s="855">
        <f t="shared" si="10"/>
        <v>36</v>
      </c>
      <c r="O132" s="856">
        <f t="shared" si="11"/>
        <v>4.5</v>
      </c>
      <c r="P132" s="849">
        <f t="shared" si="12"/>
        <v>9.2922409787827162E-2</v>
      </c>
    </row>
    <row r="133" spans="1:16">
      <c r="A133" s="861" t="s">
        <v>150</v>
      </c>
      <c r="B133" s="858"/>
      <c r="C133" s="852"/>
      <c r="D133" s="859"/>
      <c r="E133" s="860"/>
      <c r="F133" s="860">
        <v>79</v>
      </c>
      <c r="G133" s="854">
        <v>70</v>
      </c>
      <c r="H133" s="854">
        <v>23</v>
      </c>
      <c r="I133" s="854">
        <v>11</v>
      </c>
      <c r="J133" s="860">
        <v>8</v>
      </c>
      <c r="K133" s="845">
        <v>6</v>
      </c>
      <c r="L133" s="845">
        <v>14</v>
      </c>
      <c r="M133" s="845">
        <v>9</v>
      </c>
      <c r="N133" s="855">
        <f t="shared" si="10"/>
        <v>220</v>
      </c>
      <c r="O133" s="856">
        <f t="shared" si="11"/>
        <v>27.5</v>
      </c>
      <c r="P133" s="849">
        <f t="shared" si="12"/>
        <v>0.56785917092561045</v>
      </c>
    </row>
    <row r="134" spans="1:16">
      <c r="A134" s="861" t="s">
        <v>151</v>
      </c>
      <c r="B134" s="858"/>
      <c r="C134" s="852"/>
      <c r="D134" s="859"/>
      <c r="E134" s="860"/>
      <c r="F134" s="860">
        <v>0</v>
      </c>
      <c r="G134" s="854">
        <v>0</v>
      </c>
      <c r="H134" s="854">
        <v>0</v>
      </c>
      <c r="I134" s="854">
        <v>0</v>
      </c>
      <c r="J134" s="860">
        <v>0</v>
      </c>
      <c r="K134" s="845">
        <v>0</v>
      </c>
      <c r="L134" s="845">
        <v>1</v>
      </c>
      <c r="M134" s="845">
        <v>0</v>
      </c>
      <c r="N134" s="855">
        <f t="shared" si="10"/>
        <v>1</v>
      </c>
      <c r="O134" s="856">
        <f t="shared" si="11"/>
        <v>0.125</v>
      </c>
      <c r="P134" s="849">
        <f t="shared" si="12"/>
        <v>2.5811780496618657E-3</v>
      </c>
    </row>
    <row r="135" spans="1:16" s="107" customFormat="1">
      <c r="A135" s="857" t="s">
        <v>152</v>
      </c>
      <c r="B135" s="851"/>
      <c r="C135" s="852"/>
      <c r="D135" s="853"/>
      <c r="E135" s="854"/>
      <c r="F135" s="854">
        <v>2</v>
      </c>
      <c r="G135" s="854">
        <v>4</v>
      </c>
      <c r="H135" s="854">
        <v>3</v>
      </c>
      <c r="I135" s="854">
        <v>3</v>
      </c>
      <c r="J135" s="854">
        <v>5</v>
      </c>
      <c r="K135" s="845">
        <v>2</v>
      </c>
      <c r="L135" s="845">
        <v>6</v>
      </c>
      <c r="M135" s="845">
        <v>3</v>
      </c>
      <c r="N135" s="855">
        <f t="shared" si="10"/>
        <v>28</v>
      </c>
      <c r="O135" s="856">
        <f t="shared" si="11"/>
        <v>3.5</v>
      </c>
      <c r="P135" s="849">
        <f t="shared" si="12"/>
        <v>7.2272985390532243E-2</v>
      </c>
    </row>
    <row r="136" spans="1:16">
      <c r="A136" s="861" t="s">
        <v>153</v>
      </c>
      <c r="B136" s="858"/>
      <c r="C136" s="852"/>
      <c r="D136" s="859"/>
      <c r="E136" s="860"/>
      <c r="F136" s="860">
        <v>4</v>
      </c>
      <c r="G136" s="854">
        <v>7</v>
      </c>
      <c r="H136" s="854">
        <v>2</v>
      </c>
      <c r="I136" s="854">
        <v>1</v>
      </c>
      <c r="J136" s="860">
        <v>0</v>
      </c>
      <c r="K136" s="845">
        <v>0</v>
      </c>
      <c r="L136" s="845">
        <v>0</v>
      </c>
      <c r="M136" s="845">
        <v>1</v>
      </c>
      <c r="N136" s="855">
        <f t="shared" ref="N136:N167" si="13">SUM(B136:M136)</f>
        <v>15</v>
      </c>
      <c r="O136" s="856">
        <f t="shared" ref="O136:O167" si="14">AVERAGE(B136:M136)</f>
        <v>1.875</v>
      </c>
      <c r="P136" s="849">
        <f t="shared" si="12"/>
        <v>3.8717670744927983E-2</v>
      </c>
    </row>
    <row r="137" spans="1:16">
      <c r="A137" s="861" t="s">
        <v>154</v>
      </c>
      <c r="B137" s="858"/>
      <c r="C137" s="852"/>
      <c r="D137" s="859"/>
      <c r="E137" s="860"/>
      <c r="F137" s="860">
        <v>1</v>
      </c>
      <c r="G137" s="854">
        <v>0</v>
      </c>
      <c r="H137" s="854">
        <v>0</v>
      </c>
      <c r="I137" s="854">
        <v>0</v>
      </c>
      <c r="J137" s="860">
        <v>0</v>
      </c>
      <c r="K137" s="845">
        <v>0</v>
      </c>
      <c r="L137" s="845">
        <v>0</v>
      </c>
      <c r="M137" s="845">
        <v>0</v>
      </c>
      <c r="N137" s="855">
        <f t="shared" si="13"/>
        <v>1</v>
      </c>
      <c r="O137" s="856">
        <f t="shared" si="14"/>
        <v>0.125</v>
      </c>
      <c r="P137" s="849">
        <f t="shared" si="12"/>
        <v>2.5811780496618657E-3</v>
      </c>
    </row>
    <row r="138" spans="1:16">
      <c r="A138" s="861" t="s">
        <v>155</v>
      </c>
      <c r="B138" s="858"/>
      <c r="C138" s="852"/>
      <c r="D138" s="859"/>
      <c r="E138" s="860"/>
      <c r="F138" s="860">
        <v>0</v>
      </c>
      <c r="G138" s="854">
        <v>0</v>
      </c>
      <c r="H138" s="854">
        <v>0</v>
      </c>
      <c r="I138" s="854">
        <v>0</v>
      </c>
      <c r="J138" s="860">
        <v>0</v>
      </c>
      <c r="K138" s="845">
        <v>0</v>
      </c>
      <c r="L138" s="845">
        <v>0</v>
      </c>
      <c r="M138" s="845">
        <v>0</v>
      </c>
      <c r="N138" s="855">
        <f t="shared" si="13"/>
        <v>0</v>
      </c>
      <c r="O138" s="856">
        <f t="shared" si="14"/>
        <v>0</v>
      </c>
      <c r="P138" s="849">
        <f t="shared" si="12"/>
        <v>0</v>
      </c>
    </row>
    <row r="139" spans="1:16">
      <c r="A139" s="861" t="s">
        <v>156</v>
      </c>
      <c r="B139" s="858"/>
      <c r="C139" s="852"/>
      <c r="D139" s="859"/>
      <c r="E139" s="860"/>
      <c r="F139" s="860">
        <v>40</v>
      </c>
      <c r="G139" s="854">
        <v>16</v>
      </c>
      <c r="H139" s="854">
        <v>17</v>
      </c>
      <c r="I139" s="854">
        <v>46</v>
      </c>
      <c r="J139" s="860">
        <v>42</v>
      </c>
      <c r="K139" s="845">
        <v>46</v>
      </c>
      <c r="L139" s="845">
        <v>11</v>
      </c>
      <c r="M139" s="845">
        <v>6</v>
      </c>
      <c r="N139" s="855">
        <f t="shared" si="13"/>
        <v>224</v>
      </c>
      <c r="O139" s="856">
        <f t="shared" si="14"/>
        <v>28</v>
      </c>
      <c r="P139" s="849">
        <f t="shared" si="12"/>
        <v>0.57818388312425795</v>
      </c>
    </row>
    <row r="140" spans="1:16">
      <c r="A140" s="861" t="s">
        <v>157</v>
      </c>
      <c r="B140" s="858"/>
      <c r="C140" s="852"/>
      <c r="D140" s="859"/>
      <c r="E140" s="860"/>
      <c r="F140" s="860">
        <v>207</v>
      </c>
      <c r="G140" s="854">
        <v>204</v>
      </c>
      <c r="H140" s="854">
        <v>171</v>
      </c>
      <c r="I140" s="854">
        <v>196</v>
      </c>
      <c r="J140" s="860">
        <v>160</v>
      </c>
      <c r="K140" s="845">
        <v>215</v>
      </c>
      <c r="L140" s="845">
        <v>193</v>
      </c>
      <c r="M140" s="845">
        <v>239</v>
      </c>
      <c r="N140" s="855">
        <f t="shared" si="13"/>
        <v>1585</v>
      </c>
      <c r="O140" s="856">
        <f t="shared" si="14"/>
        <v>198.125</v>
      </c>
      <c r="P140" s="849">
        <f t="shared" si="12"/>
        <v>4.0911672087140571</v>
      </c>
    </row>
    <row r="141" spans="1:16">
      <c r="A141" s="861" t="s">
        <v>158</v>
      </c>
      <c r="B141" s="858"/>
      <c r="C141" s="852"/>
      <c r="D141" s="859"/>
      <c r="E141" s="860"/>
      <c r="F141" s="860">
        <v>17</v>
      </c>
      <c r="G141" s="854">
        <v>17</v>
      </c>
      <c r="H141" s="854">
        <v>16</v>
      </c>
      <c r="I141" s="854">
        <v>17</v>
      </c>
      <c r="J141" s="860">
        <v>20</v>
      </c>
      <c r="K141" s="845">
        <v>19</v>
      </c>
      <c r="L141" s="845">
        <v>11</v>
      </c>
      <c r="M141" s="845">
        <v>15</v>
      </c>
      <c r="N141" s="855">
        <f t="shared" si="13"/>
        <v>132</v>
      </c>
      <c r="O141" s="856">
        <f t="shared" si="14"/>
        <v>16.5</v>
      </c>
      <c r="P141" s="849">
        <f t="shared" si="12"/>
        <v>0.34071550255536626</v>
      </c>
    </row>
    <row r="142" spans="1:16">
      <c r="A142" s="861" t="s">
        <v>159</v>
      </c>
      <c r="B142" s="858"/>
      <c r="C142" s="852"/>
      <c r="D142" s="859"/>
      <c r="E142" s="860"/>
      <c r="F142" s="860">
        <v>58</v>
      </c>
      <c r="G142" s="854">
        <v>54</v>
      </c>
      <c r="H142" s="854">
        <v>68</v>
      </c>
      <c r="I142" s="854">
        <v>81</v>
      </c>
      <c r="J142" s="860">
        <v>61</v>
      </c>
      <c r="K142" s="845">
        <v>87</v>
      </c>
      <c r="L142" s="845">
        <v>79</v>
      </c>
      <c r="M142" s="845">
        <v>67</v>
      </c>
      <c r="N142" s="855">
        <f t="shared" si="13"/>
        <v>555</v>
      </c>
      <c r="O142" s="856">
        <f t="shared" si="14"/>
        <v>69.375</v>
      </c>
      <c r="P142" s="849">
        <f t="shared" si="12"/>
        <v>1.4325538175623356</v>
      </c>
    </row>
    <row r="143" spans="1:16">
      <c r="A143" s="857" t="s">
        <v>160</v>
      </c>
      <c r="B143" s="858"/>
      <c r="C143" s="852"/>
      <c r="D143" s="859"/>
      <c r="E143" s="860"/>
      <c r="F143" s="860">
        <v>39</v>
      </c>
      <c r="G143" s="854">
        <v>39</v>
      </c>
      <c r="H143" s="854">
        <v>15</v>
      </c>
      <c r="I143" s="854">
        <v>29</v>
      </c>
      <c r="J143" s="860">
        <v>12</v>
      </c>
      <c r="K143" s="845">
        <v>14</v>
      </c>
      <c r="L143" s="845">
        <v>25</v>
      </c>
      <c r="M143" s="845">
        <v>25</v>
      </c>
      <c r="N143" s="855">
        <f t="shared" si="13"/>
        <v>198</v>
      </c>
      <c r="O143" s="856">
        <f t="shared" si="14"/>
        <v>24.75</v>
      </c>
      <c r="P143" s="849">
        <f t="shared" si="12"/>
        <v>0.51107325383304936</v>
      </c>
    </row>
    <row r="144" spans="1:16">
      <c r="A144" s="861" t="s">
        <v>161</v>
      </c>
      <c r="B144" s="858"/>
      <c r="C144" s="852"/>
      <c r="D144" s="859"/>
      <c r="E144" s="860"/>
      <c r="F144" s="860">
        <v>11</v>
      </c>
      <c r="G144" s="854">
        <v>13</v>
      </c>
      <c r="H144" s="854">
        <v>19</v>
      </c>
      <c r="I144" s="854">
        <v>18</v>
      </c>
      <c r="J144" s="860">
        <v>6</v>
      </c>
      <c r="K144" s="845">
        <v>11</v>
      </c>
      <c r="L144" s="845">
        <v>11</v>
      </c>
      <c r="M144" s="845">
        <v>11</v>
      </c>
      <c r="N144" s="855">
        <f t="shared" si="13"/>
        <v>100</v>
      </c>
      <c r="O144" s="856">
        <f t="shared" si="14"/>
        <v>12.5</v>
      </c>
      <c r="P144" s="849">
        <f t="shared" si="12"/>
        <v>0.25811780496618658</v>
      </c>
    </row>
    <row r="145" spans="1:16">
      <c r="A145" s="861" t="s">
        <v>162</v>
      </c>
      <c r="B145" s="858"/>
      <c r="C145" s="852"/>
      <c r="D145" s="859"/>
      <c r="E145" s="860"/>
      <c r="F145" s="860">
        <v>23</v>
      </c>
      <c r="G145" s="854">
        <v>23</v>
      </c>
      <c r="H145" s="854">
        <v>22</v>
      </c>
      <c r="I145" s="854">
        <v>18</v>
      </c>
      <c r="J145" s="860">
        <v>18</v>
      </c>
      <c r="K145" s="845">
        <v>20</v>
      </c>
      <c r="L145" s="845">
        <v>22</v>
      </c>
      <c r="M145" s="845">
        <v>11</v>
      </c>
      <c r="N145" s="855">
        <f t="shared" si="13"/>
        <v>157</v>
      </c>
      <c r="O145" s="856">
        <f t="shared" si="14"/>
        <v>19.625</v>
      </c>
      <c r="P145" s="849">
        <f t="shared" si="12"/>
        <v>0.40524495379691289</v>
      </c>
    </row>
    <row r="146" spans="1:16">
      <c r="A146" s="861" t="s">
        <v>163</v>
      </c>
      <c r="B146" s="858"/>
      <c r="C146" s="852"/>
      <c r="D146" s="859"/>
      <c r="E146" s="860"/>
      <c r="F146" s="860">
        <v>0</v>
      </c>
      <c r="G146" s="854">
        <v>1</v>
      </c>
      <c r="H146" s="854">
        <v>1</v>
      </c>
      <c r="I146" s="854">
        <v>2</v>
      </c>
      <c r="J146" s="860">
        <v>1</v>
      </c>
      <c r="K146" s="845">
        <v>7</v>
      </c>
      <c r="L146" s="845">
        <v>1</v>
      </c>
      <c r="M146" s="845">
        <v>2</v>
      </c>
      <c r="N146" s="855">
        <f t="shared" si="13"/>
        <v>15</v>
      </c>
      <c r="O146" s="856">
        <f t="shared" si="14"/>
        <v>1.875</v>
      </c>
      <c r="P146" s="849">
        <f t="shared" si="12"/>
        <v>3.8717670744927983E-2</v>
      </c>
    </row>
    <row r="147" spans="1:16">
      <c r="A147" s="857" t="s">
        <v>164</v>
      </c>
      <c r="B147" s="858"/>
      <c r="C147" s="852"/>
      <c r="D147" s="859"/>
      <c r="E147" s="860"/>
      <c r="F147" s="860">
        <v>140</v>
      </c>
      <c r="G147" s="854">
        <v>126</v>
      </c>
      <c r="H147" s="854">
        <v>137</v>
      </c>
      <c r="I147" s="854">
        <v>132</v>
      </c>
      <c r="J147" s="860">
        <v>91</v>
      </c>
      <c r="K147" s="845">
        <v>86</v>
      </c>
      <c r="L147" s="845">
        <v>98</v>
      </c>
      <c r="M147" s="845">
        <v>138</v>
      </c>
      <c r="N147" s="855">
        <f t="shared" si="13"/>
        <v>948</v>
      </c>
      <c r="O147" s="856">
        <f t="shared" si="14"/>
        <v>118.5</v>
      </c>
      <c r="P147" s="849">
        <f t="shared" si="12"/>
        <v>2.4469567910794487</v>
      </c>
    </row>
    <row r="148" spans="1:16">
      <c r="A148" s="861" t="s">
        <v>165</v>
      </c>
      <c r="B148" s="858"/>
      <c r="C148" s="852"/>
      <c r="D148" s="859"/>
      <c r="E148" s="860"/>
      <c r="F148" s="860">
        <v>0</v>
      </c>
      <c r="G148" s="854">
        <v>0</v>
      </c>
      <c r="H148" s="854">
        <v>0</v>
      </c>
      <c r="I148" s="854">
        <v>0</v>
      </c>
      <c r="J148" s="860">
        <v>0</v>
      </c>
      <c r="K148" s="845">
        <v>0</v>
      </c>
      <c r="L148" s="845">
        <v>0</v>
      </c>
      <c r="M148" s="845">
        <v>1</v>
      </c>
      <c r="N148" s="855">
        <f t="shared" si="13"/>
        <v>1</v>
      </c>
      <c r="O148" s="856">
        <f t="shared" si="14"/>
        <v>0.125</v>
      </c>
      <c r="P148" s="849">
        <f t="shared" si="12"/>
        <v>2.5811780496618657E-3</v>
      </c>
    </row>
    <row r="149" spans="1:16">
      <c r="A149" s="861" t="s">
        <v>166</v>
      </c>
      <c r="B149" s="858"/>
      <c r="C149" s="852"/>
      <c r="D149" s="859"/>
      <c r="E149" s="860"/>
      <c r="F149" s="860">
        <v>0</v>
      </c>
      <c r="G149" s="854">
        <v>0</v>
      </c>
      <c r="H149" s="854">
        <v>0</v>
      </c>
      <c r="I149" s="854">
        <v>0</v>
      </c>
      <c r="J149" s="860">
        <v>0</v>
      </c>
      <c r="K149" s="845">
        <v>0</v>
      </c>
      <c r="L149" s="845">
        <v>0</v>
      </c>
      <c r="M149" s="845">
        <v>0</v>
      </c>
      <c r="N149" s="855">
        <f t="shared" si="13"/>
        <v>0</v>
      </c>
      <c r="O149" s="856">
        <f t="shared" si="14"/>
        <v>0</v>
      </c>
      <c r="P149" s="849">
        <f t="shared" si="12"/>
        <v>0</v>
      </c>
    </row>
    <row r="150" spans="1:16">
      <c r="A150" s="857" t="s">
        <v>167</v>
      </c>
      <c r="B150" s="858"/>
      <c r="C150" s="852"/>
      <c r="D150" s="859"/>
      <c r="E150" s="860"/>
      <c r="F150" s="860">
        <v>16</v>
      </c>
      <c r="G150" s="854">
        <v>9</v>
      </c>
      <c r="H150" s="854">
        <v>1</v>
      </c>
      <c r="I150" s="854">
        <v>1</v>
      </c>
      <c r="J150" s="860">
        <v>4</v>
      </c>
      <c r="K150" s="845">
        <v>1</v>
      </c>
      <c r="L150" s="845">
        <v>0</v>
      </c>
      <c r="M150" s="845">
        <v>0</v>
      </c>
      <c r="N150" s="855">
        <f t="shared" si="13"/>
        <v>32</v>
      </c>
      <c r="O150" s="856">
        <f t="shared" si="14"/>
        <v>4</v>
      </c>
      <c r="P150" s="849">
        <f t="shared" si="12"/>
        <v>8.2597697589179703E-2</v>
      </c>
    </row>
    <row r="151" spans="1:16">
      <c r="A151" s="857" t="s">
        <v>168</v>
      </c>
      <c r="B151" s="858"/>
      <c r="C151" s="852"/>
      <c r="D151" s="859"/>
      <c r="E151" s="860"/>
      <c r="F151" s="860">
        <v>1</v>
      </c>
      <c r="G151" s="854">
        <v>0</v>
      </c>
      <c r="H151" s="854">
        <v>0</v>
      </c>
      <c r="I151" s="854">
        <v>3</v>
      </c>
      <c r="J151" s="860">
        <v>2</v>
      </c>
      <c r="K151" s="845">
        <v>2</v>
      </c>
      <c r="L151" s="845">
        <v>0</v>
      </c>
      <c r="M151" s="845">
        <v>0</v>
      </c>
      <c r="N151" s="855">
        <f t="shared" si="13"/>
        <v>8</v>
      </c>
      <c r="O151" s="856">
        <f t="shared" si="14"/>
        <v>1</v>
      </c>
      <c r="P151" s="849">
        <f t="shared" si="12"/>
        <v>2.0649424397294926E-2</v>
      </c>
    </row>
    <row r="152" spans="1:16">
      <c r="A152" s="857" t="s">
        <v>169</v>
      </c>
      <c r="B152" s="858"/>
      <c r="C152" s="852"/>
      <c r="D152" s="859"/>
      <c r="E152" s="860"/>
      <c r="F152" s="860">
        <v>1</v>
      </c>
      <c r="G152" s="854">
        <v>2</v>
      </c>
      <c r="H152" s="854">
        <v>5</v>
      </c>
      <c r="I152" s="854">
        <v>0</v>
      </c>
      <c r="J152" s="860">
        <v>0</v>
      </c>
      <c r="K152" s="845">
        <v>0</v>
      </c>
      <c r="L152" s="845">
        <v>0</v>
      </c>
      <c r="M152" s="845">
        <v>0</v>
      </c>
      <c r="N152" s="855">
        <f t="shared" si="13"/>
        <v>8</v>
      </c>
      <c r="O152" s="856">
        <f t="shared" si="14"/>
        <v>1</v>
      </c>
      <c r="P152" s="849">
        <f t="shared" si="12"/>
        <v>2.0649424397294926E-2</v>
      </c>
    </row>
    <row r="153" spans="1:16" ht="14.25" customHeight="1">
      <c r="A153" s="861" t="s">
        <v>170</v>
      </c>
      <c r="B153" s="858"/>
      <c r="C153" s="852"/>
      <c r="D153" s="859"/>
      <c r="E153" s="860"/>
      <c r="F153" s="860">
        <v>5</v>
      </c>
      <c r="G153" s="854">
        <v>2</v>
      </c>
      <c r="H153" s="854">
        <v>1</v>
      </c>
      <c r="I153" s="854">
        <v>1</v>
      </c>
      <c r="J153" s="860">
        <v>0</v>
      </c>
      <c r="K153" s="845">
        <v>2</v>
      </c>
      <c r="L153" s="845">
        <v>3</v>
      </c>
      <c r="M153" s="845">
        <v>3</v>
      </c>
      <c r="N153" s="855">
        <f t="shared" si="13"/>
        <v>17</v>
      </c>
      <c r="O153" s="856">
        <f t="shared" si="14"/>
        <v>2.125</v>
      </c>
      <c r="P153" s="849">
        <f t="shared" si="12"/>
        <v>4.388002684425172E-2</v>
      </c>
    </row>
    <row r="154" spans="1:16">
      <c r="A154" s="861" t="s">
        <v>171</v>
      </c>
      <c r="B154" s="858"/>
      <c r="C154" s="852"/>
      <c r="D154" s="859"/>
      <c r="E154" s="860"/>
      <c r="F154" s="860">
        <v>0</v>
      </c>
      <c r="G154" s="854">
        <v>0</v>
      </c>
      <c r="H154" s="854">
        <v>0</v>
      </c>
      <c r="I154" s="854">
        <v>0</v>
      </c>
      <c r="J154" s="860">
        <v>0</v>
      </c>
      <c r="K154" s="845">
        <v>0</v>
      </c>
      <c r="L154" s="845">
        <v>0</v>
      </c>
      <c r="M154" s="845">
        <v>0</v>
      </c>
      <c r="N154" s="855">
        <f t="shared" si="13"/>
        <v>0</v>
      </c>
      <c r="O154" s="856">
        <f t="shared" si="14"/>
        <v>0</v>
      </c>
      <c r="P154" s="849">
        <f t="shared" ref="P154:P169" si="15">(N154/$N$192)*100</f>
        <v>0</v>
      </c>
    </row>
    <row r="155" spans="1:16">
      <c r="A155" s="861" t="s">
        <v>172</v>
      </c>
      <c r="B155" s="858"/>
      <c r="C155" s="852"/>
      <c r="D155" s="859"/>
      <c r="E155" s="860"/>
      <c r="F155" s="860">
        <v>0</v>
      </c>
      <c r="G155" s="854">
        <v>0</v>
      </c>
      <c r="H155" s="854">
        <v>0</v>
      </c>
      <c r="I155" s="854">
        <v>0</v>
      </c>
      <c r="J155" s="860">
        <v>0</v>
      </c>
      <c r="K155" s="845">
        <v>0</v>
      </c>
      <c r="L155" s="845">
        <v>1</v>
      </c>
      <c r="M155" s="845">
        <v>0</v>
      </c>
      <c r="N155" s="855">
        <f t="shared" si="13"/>
        <v>1</v>
      </c>
      <c r="O155" s="856">
        <f t="shared" si="14"/>
        <v>0.125</v>
      </c>
      <c r="P155" s="849">
        <f t="shared" si="15"/>
        <v>2.5811780496618657E-3</v>
      </c>
    </row>
    <row r="156" spans="1:16">
      <c r="A156" s="861" t="s">
        <v>173</v>
      </c>
      <c r="B156" s="858"/>
      <c r="C156" s="852"/>
      <c r="D156" s="859"/>
      <c r="E156" s="860"/>
      <c r="F156" s="860">
        <v>11</v>
      </c>
      <c r="G156" s="854">
        <v>5</v>
      </c>
      <c r="H156" s="854">
        <v>2</v>
      </c>
      <c r="I156" s="854">
        <v>4</v>
      </c>
      <c r="J156" s="860">
        <v>3</v>
      </c>
      <c r="K156" s="845">
        <v>2</v>
      </c>
      <c r="L156" s="845">
        <v>6</v>
      </c>
      <c r="M156" s="845">
        <v>2</v>
      </c>
      <c r="N156" s="855">
        <f t="shared" si="13"/>
        <v>35</v>
      </c>
      <c r="O156" s="856">
        <f t="shared" si="14"/>
        <v>4.375</v>
      </c>
      <c r="P156" s="849">
        <f t="shared" si="15"/>
        <v>9.0341231738165301E-2</v>
      </c>
    </row>
    <row r="157" spans="1:16">
      <c r="A157" s="857" t="s">
        <v>174</v>
      </c>
      <c r="B157" s="858"/>
      <c r="C157" s="852"/>
      <c r="D157" s="859"/>
      <c r="E157" s="860"/>
      <c r="F157" s="860">
        <v>351</v>
      </c>
      <c r="G157" s="854">
        <v>291</v>
      </c>
      <c r="H157" s="854">
        <v>320</v>
      </c>
      <c r="I157" s="854">
        <v>333</v>
      </c>
      <c r="J157" s="860">
        <v>253</v>
      </c>
      <c r="K157" s="845">
        <v>347</v>
      </c>
      <c r="L157" s="845">
        <v>325</v>
      </c>
      <c r="M157" s="845">
        <v>337</v>
      </c>
      <c r="N157" s="855">
        <f t="shared" si="13"/>
        <v>2557</v>
      </c>
      <c r="O157" s="856">
        <f t="shared" si="14"/>
        <v>319.625</v>
      </c>
      <c r="P157" s="849">
        <f t="shared" si="15"/>
        <v>6.6000722729853916</v>
      </c>
    </row>
    <row r="158" spans="1:16">
      <c r="A158" s="861" t="s">
        <v>175</v>
      </c>
      <c r="B158" s="858"/>
      <c r="C158" s="852"/>
      <c r="D158" s="859"/>
      <c r="E158" s="860"/>
      <c r="F158" s="860">
        <v>0</v>
      </c>
      <c r="G158" s="854">
        <v>0</v>
      </c>
      <c r="H158" s="854">
        <v>0</v>
      </c>
      <c r="I158" s="854">
        <v>0</v>
      </c>
      <c r="J158" s="860">
        <v>0</v>
      </c>
      <c r="K158" s="845">
        <v>0</v>
      </c>
      <c r="L158" s="845">
        <v>0</v>
      </c>
      <c r="M158" s="845">
        <v>1</v>
      </c>
      <c r="N158" s="855">
        <f t="shared" si="13"/>
        <v>1</v>
      </c>
      <c r="O158" s="856">
        <f t="shared" si="14"/>
        <v>0.125</v>
      </c>
      <c r="P158" s="849">
        <f t="shared" si="15"/>
        <v>2.5811780496618657E-3</v>
      </c>
    </row>
    <row r="159" spans="1:16">
      <c r="A159" s="861" t="s">
        <v>176</v>
      </c>
      <c r="B159" s="858"/>
      <c r="C159" s="852"/>
      <c r="D159" s="859"/>
      <c r="E159" s="860"/>
      <c r="F159" s="860">
        <v>0</v>
      </c>
      <c r="G159" s="854">
        <v>0</v>
      </c>
      <c r="H159" s="854">
        <v>1</v>
      </c>
      <c r="I159" s="854">
        <v>0</v>
      </c>
      <c r="J159" s="860">
        <v>0</v>
      </c>
      <c r="K159" s="845">
        <v>0</v>
      </c>
      <c r="L159" s="845">
        <v>0</v>
      </c>
      <c r="M159" s="845">
        <v>0</v>
      </c>
      <c r="N159" s="855">
        <f t="shared" si="13"/>
        <v>1</v>
      </c>
      <c r="O159" s="856">
        <f t="shared" si="14"/>
        <v>0.125</v>
      </c>
      <c r="P159" s="849">
        <f t="shared" si="15"/>
        <v>2.5811780496618657E-3</v>
      </c>
    </row>
    <row r="160" spans="1:16">
      <c r="A160" s="857" t="s">
        <v>177</v>
      </c>
      <c r="B160" s="858"/>
      <c r="C160" s="852"/>
      <c r="D160" s="859"/>
      <c r="E160" s="860"/>
      <c r="F160" s="860">
        <v>1</v>
      </c>
      <c r="G160" s="854">
        <v>0</v>
      </c>
      <c r="H160" s="854">
        <v>1</v>
      </c>
      <c r="I160" s="854">
        <v>2</v>
      </c>
      <c r="J160" s="860">
        <v>2</v>
      </c>
      <c r="K160" s="845">
        <v>7</v>
      </c>
      <c r="L160" s="845">
        <v>6</v>
      </c>
      <c r="M160" s="845">
        <v>0</v>
      </c>
      <c r="N160" s="855">
        <f t="shared" si="13"/>
        <v>19</v>
      </c>
      <c r="O160" s="856">
        <f t="shared" si="14"/>
        <v>2.375</v>
      </c>
      <c r="P160" s="849">
        <f t="shared" si="15"/>
        <v>4.9042382943575449E-2</v>
      </c>
    </row>
    <row r="161" spans="1:16">
      <c r="A161" s="861" t="s">
        <v>178</v>
      </c>
      <c r="B161" s="858"/>
      <c r="C161" s="852"/>
      <c r="D161" s="859"/>
      <c r="E161" s="860"/>
      <c r="F161" s="860">
        <v>4</v>
      </c>
      <c r="G161" s="854">
        <v>4</v>
      </c>
      <c r="H161" s="854">
        <v>3</v>
      </c>
      <c r="I161" s="854">
        <v>7</v>
      </c>
      <c r="J161" s="860">
        <v>2</v>
      </c>
      <c r="K161" s="845">
        <v>4</v>
      </c>
      <c r="L161" s="845">
        <v>1</v>
      </c>
      <c r="M161" s="845">
        <v>7</v>
      </c>
      <c r="N161" s="855">
        <f t="shared" si="13"/>
        <v>32</v>
      </c>
      <c r="O161" s="856">
        <f t="shared" si="14"/>
        <v>4</v>
      </c>
      <c r="P161" s="849">
        <f t="shared" si="15"/>
        <v>8.2597697589179703E-2</v>
      </c>
    </row>
    <row r="162" spans="1:16">
      <c r="A162" s="857" t="s">
        <v>179</v>
      </c>
      <c r="B162" s="858"/>
      <c r="C162" s="852"/>
      <c r="D162" s="859"/>
      <c r="E162" s="860"/>
      <c r="F162" s="860">
        <v>0</v>
      </c>
      <c r="G162" s="854">
        <v>0</v>
      </c>
      <c r="H162" s="854">
        <v>0</v>
      </c>
      <c r="I162" s="854">
        <v>1</v>
      </c>
      <c r="J162" s="860">
        <v>0</v>
      </c>
      <c r="K162" s="845">
        <v>0</v>
      </c>
      <c r="L162" s="845">
        <v>0</v>
      </c>
      <c r="M162" s="845">
        <v>0</v>
      </c>
      <c r="N162" s="855">
        <f t="shared" si="13"/>
        <v>1</v>
      </c>
      <c r="O162" s="856">
        <f t="shared" si="14"/>
        <v>0.125</v>
      </c>
      <c r="P162" s="849">
        <f t="shared" si="15"/>
        <v>2.5811780496618657E-3</v>
      </c>
    </row>
    <row r="163" spans="1:16">
      <c r="A163" s="861" t="s">
        <v>180</v>
      </c>
      <c r="B163" s="858"/>
      <c r="C163" s="852"/>
      <c r="D163" s="859"/>
      <c r="E163" s="860"/>
      <c r="F163" s="860">
        <v>15</v>
      </c>
      <c r="G163" s="854">
        <v>2</v>
      </c>
      <c r="H163" s="854">
        <v>10</v>
      </c>
      <c r="I163" s="854">
        <v>5</v>
      </c>
      <c r="J163" s="860">
        <v>2</v>
      </c>
      <c r="K163" s="845">
        <v>15</v>
      </c>
      <c r="L163" s="845">
        <v>6</v>
      </c>
      <c r="M163" s="845">
        <v>7</v>
      </c>
      <c r="N163" s="855">
        <f t="shared" si="13"/>
        <v>62</v>
      </c>
      <c r="O163" s="856">
        <f t="shared" si="14"/>
        <v>7.75</v>
      </c>
      <c r="P163" s="849">
        <f t="shared" si="15"/>
        <v>0.16003303907903568</v>
      </c>
    </row>
    <row r="164" spans="1:16">
      <c r="A164" s="861" t="s">
        <v>181</v>
      </c>
      <c r="B164" s="858"/>
      <c r="C164" s="852"/>
      <c r="D164" s="859"/>
      <c r="E164" s="860"/>
      <c r="F164" s="860">
        <v>0</v>
      </c>
      <c r="G164" s="854">
        <v>0</v>
      </c>
      <c r="H164" s="854">
        <v>0</v>
      </c>
      <c r="I164" s="854">
        <v>0</v>
      </c>
      <c r="J164" s="860">
        <v>0</v>
      </c>
      <c r="K164" s="845">
        <v>0</v>
      </c>
      <c r="L164" s="845">
        <v>0</v>
      </c>
      <c r="M164" s="845">
        <v>3</v>
      </c>
      <c r="N164" s="855">
        <f t="shared" si="13"/>
        <v>3</v>
      </c>
      <c r="O164" s="856">
        <f t="shared" si="14"/>
        <v>0.375</v>
      </c>
      <c r="P164" s="849">
        <f t="shared" si="15"/>
        <v>7.7435341489855971E-3</v>
      </c>
    </row>
    <row r="165" spans="1:16">
      <c r="A165" s="861" t="s">
        <v>182</v>
      </c>
      <c r="B165" s="858"/>
      <c r="C165" s="852"/>
      <c r="D165" s="859"/>
      <c r="E165" s="860"/>
      <c r="F165" s="860">
        <v>0</v>
      </c>
      <c r="G165" s="854">
        <v>0</v>
      </c>
      <c r="H165" s="854">
        <v>0</v>
      </c>
      <c r="I165" s="854">
        <v>0</v>
      </c>
      <c r="J165" s="860">
        <v>0</v>
      </c>
      <c r="K165" s="845">
        <v>0</v>
      </c>
      <c r="L165" s="845">
        <v>0</v>
      </c>
      <c r="M165" s="845">
        <v>0</v>
      </c>
      <c r="N165" s="855">
        <f t="shared" si="13"/>
        <v>0</v>
      </c>
      <c r="O165" s="856">
        <f t="shared" si="14"/>
        <v>0</v>
      </c>
      <c r="P165" s="849">
        <f t="shared" si="15"/>
        <v>0</v>
      </c>
    </row>
    <row r="166" spans="1:16">
      <c r="A166" s="861" t="s">
        <v>183</v>
      </c>
      <c r="B166" s="858"/>
      <c r="C166" s="852"/>
      <c r="D166" s="859"/>
      <c r="E166" s="860"/>
      <c r="F166" s="860">
        <v>13</v>
      </c>
      <c r="G166" s="854">
        <v>80</v>
      </c>
      <c r="H166" s="854">
        <v>14</v>
      </c>
      <c r="I166" s="854">
        <v>19</v>
      </c>
      <c r="J166" s="860">
        <v>19</v>
      </c>
      <c r="K166" s="845">
        <v>23</v>
      </c>
      <c r="L166" s="845">
        <v>22</v>
      </c>
      <c r="M166" s="845">
        <v>9</v>
      </c>
      <c r="N166" s="855">
        <f t="shared" si="13"/>
        <v>199</v>
      </c>
      <c r="O166" s="856">
        <f t="shared" si="14"/>
        <v>24.875</v>
      </c>
      <c r="P166" s="849">
        <f t="shared" si="15"/>
        <v>0.51365443188271132</v>
      </c>
    </row>
    <row r="167" spans="1:16">
      <c r="A167" s="861" t="s">
        <v>184</v>
      </c>
      <c r="B167" s="858"/>
      <c r="C167" s="852"/>
      <c r="D167" s="859"/>
      <c r="E167" s="860"/>
      <c r="F167" s="860">
        <v>21</v>
      </c>
      <c r="G167" s="854">
        <v>18</v>
      </c>
      <c r="H167" s="854">
        <v>19</v>
      </c>
      <c r="I167" s="854">
        <v>13</v>
      </c>
      <c r="J167" s="860">
        <v>6</v>
      </c>
      <c r="K167" s="845">
        <v>4</v>
      </c>
      <c r="L167" s="845">
        <v>8</v>
      </c>
      <c r="M167" s="845">
        <v>5</v>
      </c>
      <c r="N167" s="855">
        <f t="shared" si="13"/>
        <v>94</v>
      </c>
      <c r="O167" s="856">
        <f t="shared" si="14"/>
        <v>11.75</v>
      </c>
      <c r="P167" s="849">
        <f t="shared" si="15"/>
        <v>0.24263073666821539</v>
      </c>
    </row>
    <row r="168" spans="1:16">
      <c r="A168" s="857" t="s">
        <v>185</v>
      </c>
      <c r="B168" s="858"/>
      <c r="C168" s="852"/>
      <c r="D168" s="859"/>
      <c r="E168" s="860"/>
      <c r="F168" s="860">
        <v>1</v>
      </c>
      <c r="G168" s="854">
        <v>4</v>
      </c>
      <c r="H168" s="854">
        <v>2</v>
      </c>
      <c r="I168" s="854">
        <v>1</v>
      </c>
      <c r="J168" s="860">
        <v>3</v>
      </c>
      <c r="K168" s="845">
        <v>4</v>
      </c>
      <c r="L168" s="845">
        <v>0</v>
      </c>
      <c r="M168" s="845">
        <v>2</v>
      </c>
      <c r="N168" s="855">
        <f t="shared" ref="N168:N192" si="16">SUM(B168:M168)</f>
        <v>17</v>
      </c>
      <c r="O168" s="856">
        <f t="shared" ref="O168:O192" si="17">AVERAGE(B168:M168)</f>
        <v>2.125</v>
      </c>
      <c r="P168" s="849">
        <f t="shared" si="15"/>
        <v>4.388002684425172E-2</v>
      </c>
    </row>
    <row r="169" spans="1:16">
      <c r="A169" s="857" t="s">
        <v>453</v>
      </c>
      <c r="B169" s="858"/>
      <c r="C169" s="852"/>
      <c r="D169" s="859"/>
      <c r="E169" s="860"/>
      <c r="F169" s="860">
        <v>4</v>
      </c>
      <c r="G169" s="854">
        <v>0</v>
      </c>
      <c r="H169" s="854">
        <v>0</v>
      </c>
      <c r="I169" s="854">
        <v>0</v>
      </c>
      <c r="J169" s="860">
        <v>0</v>
      </c>
      <c r="K169" s="845">
        <v>0</v>
      </c>
      <c r="L169" s="845">
        <v>0</v>
      </c>
      <c r="M169" s="845">
        <v>0</v>
      </c>
      <c r="N169" s="855">
        <f t="shared" si="16"/>
        <v>4</v>
      </c>
      <c r="O169" s="856">
        <f t="shared" si="17"/>
        <v>0.5</v>
      </c>
      <c r="P169" s="849">
        <f t="shared" si="15"/>
        <v>1.0324712198647463E-2</v>
      </c>
    </row>
    <row r="170" spans="1:16">
      <c r="A170" s="861" t="s">
        <v>186</v>
      </c>
      <c r="B170" s="858"/>
      <c r="C170" s="852"/>
      <c r="D170" s="859"/>
      <c r="E170" s="860"/>
      <c r="F170" s="860">
        <v>0</v>
      </c>
      <c r="G170" s="854">
        <v>1</v>
      </c>
      <c r="H170" s="854">
        <v>1</v>
      </c>
      <c r="I170" s="854">
        <v>0</v>
      </c>
      <c r="J170" s="860">
        <v>3</v>
      </c>
      <c r="K170" s="845">
        <v>1</v>
      </c>
      <c r="L170" s="845">
        <v>1</v>
      </c>
      <c r="M170" s="845">
        <v>1</v>
      </c>
      <c r="N170" s="855">
        <f t="shared" si="16"/>
        <v>8</v>
      </c>
      <c r="O170" s="856">
        <f t="shared" si="17"/>
        <v>1</v>
      </c>
      <c r="P170" s="849">
        <f t="shared" ref="P170:P183" si="18">(N170/$N$192)*100</f>
        <v>2.0649424397294926E-2</v>
      </c>
    </row>
    <row r="171" spans="1:16">
      <c r="A171" s="861" t="s">
        <v>187</v>
      </c>
      <c r="B171" s="858"/>
      <c r="C171" s="852"/>
      <c r="D171" s="859"/>
      <c r="E171" s="860"/>
      <c r="F171" s="860">
        <v>0</v>
      </c>
      <c r="G171" s="854">
        <v>0</v>
      </c>
      <c r="H171" s="854">
        <v>0</v>
      </c>
      <c r="I171" s="854">
        <v>0</v>
      </c>
      <c r="J171" s="860">
        <v>0</v>
      </c>
      <c r="K171" s="845">
        <v>0</v>
      </c>
      <c r="L171" s="845">
        <v>0</v>
      </c>
      <c r="M171" s="845">
        <v>0</v>
      </c>
      <c r="N171" s="855">
        <f t="shared" si="16"/>
        <v>0</v>
      </c>
      <c r="O171" s="856">
        <f t="shared" si="17"/>
        <v>0</v>
      </c>
      <c r="P171" s="849">
        <f t="shared" si="18"/>
        <v>0</v>
      </c>
    </row>
    <row r="172" spans="1:16">
      <c r="A172" s="861" t="s">
        <v>188</v>
      </c>
      <c r="B172" s="858"/>
      <c r="C172" s="852"/>
      <c r="D172" s="859"/>
      <c r="E172" s="860"/>
      <c r="F172" s="860">
        <v>8</v>
      </c>
      <c r="G172" s="854">
        <v>2</v>
      </c>
      <c r="H172" s="854">
        <v>2</v>
      </c>
      <c r="I172" s="854">
        <v>5</v>
      </c>
      <c r="J172" s="860">
        <v>2</v>
      </c>
      <c r="K172" s="845">
        <v>2</v>
      </c>
      <c r="L172" s="845">
        <v>6</v>
      </c>
      <c r="M172" s="845">
        <v>3</v>
      </c>
      <c r="N172" s="855">
        <f t="shared" si="16"/>
        <v>30</v>
      </c>
      <c r="O172" s="856">
        <f t="shared" si="17"/>
        <v>3.75</v>
      </c>
      <c r="P172" s="849">
        <f t="shared" si="18"/>
        <v>7.7435341489855966E-2</v>
      </c>
    </row>
    <row r="173" spans="1:16">
      <c r="A173" s="861" t="s">
        <v>189</v>
      </c>
      <c r="B173" s="858"/>
      <c r="C173" s="852"/>
      <c r="D173" s="859"/>
      <c r="E173" s="860"/>
      <c r="F173" s="860">
        <v>6</v>
      </c>
      <c r="G173" s="854">
        <v>5</v>
      </c>
      <c r="H173" s="854">
        <v>5</v>
      </c>
      <c r="I173" s="854">
        <v>14</v>
      </c>
      <c r="J173" s="860">
        <v>5</v>
      </c>
      <c r="K173" s="845">
        <v>16</v>
      </c>
      <c r="L173" s="845">
        <v>18</v>
      </c>
      <c r="M173" s="845">
        <v>6</v>
      </c>
      <c r="N173" s="855">
        <f t="shared" si="16"/>
        <v>75</v>
      </c>
      <c r="O173" s="856">
        <f t="shared" si="17"/>
        <v>9.375</v>
      </c>
      <c r="P173" s="849">
        <f t="shared" si="18"/>
        <v>0.19358835372463992</v>
      </c>
    </row>
    <row r="174" spans="1:16">
      <c r="A174" s="861" t="s">
        <v>190</v>
      </c>
      <c r="B174" s="858"/>
      <c r="C174" s="852"/>
      <c r="D174" s="859"/>
      <c r="E174" s="860"/>
      <c r="F174" s="860">
        <v>0</v>
      </c>
      <c r="G174" s="854">
        <v>0</v>
      </c>
      <c r="H174" s="854">
        <v>0</v>
      </c>
      <c r="I174" s="854">
        <v>0</v>
      </c>
      <c r="J174" s="860">
        <v>0</v>
      </c>
      <c r="K174" s="845">
        <v>0</v>
      </c>
      <c r="L174" s="845">
        <v>1</v>
      </c>
      <c r="M174" s="845">
        <v>0</v>
      </c>
      <c r="N174" s="855">
        <f t="shared" si="16"/>
        <v>1</v>
      </c>
      <c r="O174" s="856">
        <f t="shared" si="17"/>
        <v>0.125</v>
      </c>
      <c r="P174" s="849">
        <f t="shared" si="18"/>
        <v>2.5811780496618657E-3</v>
      </c>
    </row>
    <row r="175" spans="1:16">
      <c r="A175" s="861" t="s">
        <v>191</v>
      </c>
      <c r="B175" s="858"/>
      <c r="C175" s="852"/>
      <c r="D175" s="859"/>
      <c r="E175" s="860"/>
      <c r="F175" s="860">
        <v>176</v>
      </c>
      <c r="G175" s="854">
        <v>139</v>
      </c>
      <c r="H175" s="854">
        <v>137</v>
      </c>
      <c r="I175" s="854">
        <v>158</v>
      </c>
      <c r="J175" s="860">
        <v>128</v>
      </c>
      <c r="K175" s="845">
        <v>164</v>
      </c>
      <c r="L175" s="845">
        <v>149</v>
      </c>
      <c r="M175" s="845">
        <v>129</v>
      </c>
      <c r="N175" s="855">
        <f t="shared" si="16"/>
        <v>1180</v>
      </c>
      <c r="O175" s="856">
        <f t="shared" si="17"/>
        <v>147.5</v>
      </c>
      <c r="P175" s="849">
        <f t="shared" si="18"/>
        <v>3.0457900986010018</v>
      </c>
    </row>
    <row r="176" spans="1:16">
      <c r="A176" s="861" t="s">
        <v>192</v>
      </c>
      <c r="B176" s="858"/>
      <c r="C176" s="852"/>
      <c r="D176" s="859"/>
      <c r="E176" s="860"/>
      <c r="F176" s="860">
        <v>1</v>
      </c>
      <c r="G176" s="854">
        <v>0</v>
      </c>
      <c r="H176" s="854">
        <v>0</v>
      </c>
      <c r="I176" s="854">
        <v>2</v>
      </c>
      <c r="J176" s="860">
        <v>0</v>
      </c>
      <c r="K176" s="845">
        <v>0</v>
      </c>
      <c r="L176" s="845">
        <v>2</v>
      </c>
      <c r="M176" s="845">
        <v>1</v>
      </c>
      <c r="N176" s="855">
        <f t="shared" si="16"/>
        <v>6</v>
      </c>
      <c r="O176" s="856">
        <f t="shared" si="17"/>
        <v>0.75</v>
      </c>
      <c r="P176" s="849">
        <f t="shared" si="18"/>
        <v>1.5487068297971194E-2</v>
      </c>
    </row>
    <row r="177" spans="1:16">
      <c r="A177" s="861" t="s">
        <v>193</v>
      </c>
      <c r="B177" s="858"/>
      <c r="C177" s="852"/>
      <c r="D177" s="859"/>
      <c r="E177" s="860"/>
      <c r="F177" s="860">
        <v>23</v>
      </c>
      <c r="G177" s="854">
        <v>25</v>
      </c>
      <c r="H177" s="854">
        <v>24</v>
      </c>
      <c r="I177" s="854">
        <v>17</v>
      </c>
      <c r="J177" s="860">
        <v>16</v>
      </c>
      <c r="K177" s="845">
        <v>17</v>
      </c>
      <c r="L177" s="845">
        <v>38</v>
      </c>
      <c r="M177" s="845">
        <v>28</v>
      </c>
      <c r="N177" s="855">
        <f t="shared" si="16"/>
        <v>188</v>
      </c>
      <c r="O177" s="856">
        <f t="shared" si="17"/>
        <v>23.5</v>
      </c>
      <c r="P177" s="849">
        <f t="shared" si="18"/>
        <v>0.48526147333643077</v>
      </c>
    </row>
    <row r="178" spans="1:16">
      <c r="A178" s="861" t="s">
        <v>194</v>
      </c>
      <c r="B178" s="858"/>
      <c r="C178" s="852"/>
      <c r="D178" s="859"/>
      <c r="E178" s="860"/>
      <c r="F178" s="860">
        <v>9</v>
      </c>
      <c r="G178" s="854">
        <v>5</v>
      </c>
      <c r="H178" s="854">
        <v>10</v>
      </c>
      <c r="I178" s="854">
        <v>4</v>
      </c>
      <c r="J178" s="860">
        <v>2</v>
      </c>
      <c r="K178" s="845">
        <v>2</v>
      </c>
      <c r="L178" s="845">
        <v>3</v>
      </c>
      <c r="M178" s="845">
        <v>10</v>
      </c>
      <c r="N178" s="855">
        <f t="shared" si="16"/>
        <v>45</v>
      </c>
      <c r="O178" s="856">
        <f t="shared" si="17"/>
        <v>5.625</v>
      </c>
      <c r="P178" s="849">
        <f t="shared" si="18"/>
        <v>0.11615301223478396</v>
      </c>
    </row>
    <row r="179" spans="1:16">
      <c r="A179" s="857" t="s">
        <v>195</v>
      </c>
      <c r="B179" s="858"/>
      <c r="C179" s="852"/>
      <c r="D179" s="859"/>
      <c r="E179" s="860"/>
      <c r="F179" s="860">
        <v>14</v>
      </c>
      <c r="G179" s="854">
        <v>20</v>
      </c>
      <c r="H179" s="854">
        <v>23</v>
      </c>
      <c r="I179" s="854">
        <v>23</v>
      </c>
      <c r="J179" s="860">
        <v>14</v>
      </c>
      <c r="K179" s="845">
        <v>10</v>
      </c>
      <c r="L179" s="845">
        <v>18</v>
      </c>
      <c r="M179" s="845">
        <v>10</v>
      </c>
      <c r="N179" s="855">
        <f t="shared" si="16"/>
        <v>132</v>
      </c>
      <c r="O179" s="856">
        <f t="shared" si="17"/>
        <v>16.5</v>
      </c>
      <c r="P179" s="849">
        <f t="shared" si="18"/>
        <v>0.34071550255536626</v>
      </c>
    </row>
    <row r="180" spans="1:16">
      <c r="A180" s="857" t="s">
        <v>196</v>
      </c>
      <c r="B180" s="858"/>
      <c r="C180" s="852"/>
      <c r="D180" s="859"/>
      <c r="E180" s="860"/>
      <c r="F180" s="860">
        <v>2</v>
      </c>
      <c r="G180" s="854">
        <v>0</v>
      </c>
      <c r="H180" s="854">
        <v>0</v>
      </c>
      <c r="I180" s="854">
        <v>0</v>
      </c>
      <c r="J180" s="860">
        <v>0</v>
      </c>
      <c r="K180" s="845">
        <v>0</v>
      </c>
      <c r="L180" s="845">
        <v>0</v>
      </c>
      <c r="M180" s="845">
        <v>0</v>
      </c>
      <c r="N180" s="855">
        <f t="shared" si="16"/>
        <v>2</v>
      </c>
      <c r="O180" s="856">
        <f t="shared" si="17"/>
        <v>0.25</v>
      </c>
      <c r="P180" s="849">
        <f t="shared" si="18"/>
        <v>5.1623560993237314E-3</v>
      </c>
    </row>
    <row r="181" spans="1:16">
      <c r="A181" s="861" t="s">
        <v>197</v>
      </c>
      <c r="B181" s="858"/>
      <c r="C181" s="852"/>
      <c r="D181" s="859"/>
      <c r="E181" s="860"/>
      <c r="F181" s="860">
        <v>28</v>
      </c>
      <c r="G181" s="854">
        <v>58</v>
      </c>
      <c r="H181" s="854">
        <v>38</v>
      </c>
      <c r="I181" s="854">
        <v>56</v>
      </c>
      <c r="J181" s="860">
        <v>59</v>
      </c>
      <c r="K181" s="845">
        <v>58</v>
      </c>
      <c r="L181" s="845">
        <v>37</v>
      </c>
      <c r="M181" s="845">
        <v>43</v>
      </c>
      <c r="N181" s="855">
        <f t="shared" si="16"/>
        <v>377</v>
      </c>
      <c r="O181" s="856">
        <f t="shared" si="17"/>
        <v>47.125</v>
      </c>
      <c r="P181" s="849">
        <f t="shared" si="18"/>
        <v>0.97310412472252339</v>
      </c>
    </row>
    <row r="182" spans="1:16">
      <c r="A182" s="861" t="s">
        <v>198</v>
      </c>
      <c r="B182" s="858"/>
      <c r="C182" s="852"/>
      <c r="D182" s="859"/>
      <c r="E182" s="860"/>
      <c r="F182" s="860">
        <v>35</v>
      </c>
      <c r="G182" s="854">
        <v>15</v>
      </c>
      <c r="H182" s="854">
        <v>17</v>
      </c>
      <c r="I182" s="854">
        <v>42</v>
      </c>
      <c r="J182" s="860">
        <v>24</v>
      </c>
      <c r="K182" s="845">
        <v>100</v>
      </c>
      <c r="L182" s="845">
        <v>110</v>
      </c>
      <c r="M182" s="845">
        <v>17</v>
      </c>
      <c r="N182" s="855">
        <f t="shared" si="16"/>
        <v>360</v>
      </c>
      <c r="O182" s="856">
        <f t="shared" si="17"/>
        <v>45</v>
      </c>
      <c r="P182" s="849">
        <f t="shared" si="18"/>
        <v>0.92922409787827165</v>
      </c>
    </row>
    <row r="183" spans="1:16">
      <c r="A183" s="861" t="s">
        <v>454</v>
      </c>
      <c r="B183" s="858"/>
      <c r="C183" s="852"/>
      <c r="D183" s="859"/>
      <c r="E183" s="860"/>
      <c r="F183" s="860">
        <v>4</v>
      </c>
      <c r="G183" s="854">
        <v>0</v>
      </c>
      <c r="H183" s="854">
        <v>0</v>
      </c>
      <c r="I183" s="854">
        <v>0</v>
      </c>
      <c r="J183" s="860">
        <v>0</v>
      </c>
      <c r="K183" s="845">
        <v>0</v>
      </c>
      <c r="L183" s="845">
        <v>0</v>
      </c>
      <c r="M183" s="845">
        <v>0</v>
      </c>
      <c r="N183" s="855">
        <f t="shared" si="16"/>
        <v>4</v>
      </c>
      <c r="O183" s="856">
        <f t="shared" si="17"/>
        <v>0.5</v>
      </c>
      <c r="P183" s="849">
        <f t="shared" si="18"/>
        <v>1.0324712198647463E-2</v>
      </c>
    </row>
    <row r="184" spans="1:16">
      <c r="A184" s="861" t="s">
        <v>199</v>
      </c>
      <c r="B184" s="858"/>
      <c r="C184" s="852"/>
      <c r="D184" s="859"/>
      <c r="E184" s="860"/>
      <c r="F184" s="860">
        <v>1</v>
      </c>
      <c r="G184" s="854">
        <v>0</v>
      </c>
      <c r="H184" s="854">
        <v>3</v>
      </c>
      <c r="I184" s="854">
        <v>6</v>
      </c>
      <c r="J184" s="860">
        <v>2</v>
      </c>
      <c r="K184" s="845">
        <v>2</v>
      </c>
      <c r="L184" s="845">
        <v>1</v>
      </c>
      <c r="M184" s="862">
        <v>0</v>
      </c>
      <c r="N184" s="855">
        <f t="shared" si="16"/>
        <v>15</v>
      </c>
      <c r="O184" s="856">
        <f t="shared" si="17"/>
        <v>1.875</v>
      </c>
      <c r="P184" s="849">
        <f t="shared" ref="P184:P192" si="19">(N184/$N$192)*100</f>
        <v>3.8717670744927983E-2</v>
      </c>
    </row>
    <row r="185" spans="1:16">
      <c r="A185" s="861" t="s">
        <v>200</v>
      </c>
      <c r="B185" s="858"/>
      <c r="C185" s="852"/>
      <c r="D185" s="859"/>
      <c r="E185" s="860"/>
      <c r="F185" s="860">
        <v>80</v>
      </c>
      <c r="G185" s="854">
        <v>45</v>
      </c>
      <c r="H185" s="854">
        <v>71</v>
      </c>
      <c r="I185" s="854">
        <v>79</v>
      </c>
      <c r="J185" s="860">
        <v>68</v>
      </c>
      <c r="K185" s="845">
        <v>69</v>
      </c>
      <c r="L185" s="845">
        <v>71</v>
      </c>
      <c r="M185" s="862">
        <v>24</v>
      </c>
      <c r="N185" s="855">
        <f t="shared" si="16"/>
        <v>507</v>
      </c>
      <c r="O185" s="856">
        <f t="shared" si="17"/>
        <v>63.375</v>
      </c>
      <c r="P185" s="849">
        <f t="shared" si="19"/>
        <v>1.308657271178566</v>
      </c>
    </row>
    <row r="186" spans="1:16">
      <c r="A186" s="861" t="s">
        <v>201</v>
      </c>
      <c r="B186" s="858"/>
      <c r="C186" s="852"/>
      <c r="D186" s="859"/>
      <c r="E186" s="860"/>
      <c r="F186" s="860">
        <v>0</v>
      </c>
      <c r="G186" s="854">
        <v>0</v>
      </c>
      <c r="H186" s="854">
        <v>1</v>
      </c>
      <c r="I186" s="854">
        <v>0</v>
      </c>
      <c r="J186" s="860">
        <v>2</v>
      </c>
      <c r="K186" s="845">
        <v>2</v>
      </c>
      <c r="L186" s="845">
        <v>0</v>
      </c>
      <c r="M186" s="845">
        <v>0</v>
      </c>
      <c r="N186" s="855">
        <f t="shared" si="16"/>
        <v>5</v>
      </c>
      <c r="O186" s="856">
        <f t="shared" si="17"/>
        <v>0.625</v>
      </c>
      <c r="P186" s="849">
        <f t="shared" si="19"/>
        <v>1.2905890248309328E-2</v>
      </c>
    </row>
    <row r="187" spans="1:16">
      <c r="A187" s="861" t="s">
        <v>202</v>
      </c>
      <c r="B187" s="858"/>
      <c r="C187" s="852"/>
      <c r="D187" s="859"/>
      <c r="E187" s="860"/>
      <c r="F187" s="860">
        <v>1</v>
      </c>
      <c r="G187" s="854">
        <v>0</v>
      </c>
      <c r="H187" s="854">
        <v>4</v>
      </c>
      <c r="I187" s="854">
        <v>14</v>
      </c>
      <c r="J187" s="860">
        <v>5</v>
      </c>
      <c r="K187" s="845">
        <v>5</v>
      </c>
      <c r="L187" s="845">
        <v>4</v>
      </c>
      <c r="M187" s="845">
        <v>0</v>
      </c>
      <c r="N187" s="855">
        <f t="shared" si="16"/>
        <v>33</v>
      </c>
      <c r="O187" s="856">
        <f t="shared" si="17"/>
        <v>4.125</v>
      </c>
      <c r="P187" s="849">
        <f t="shared" si="19"/>
        <v>8.5178875638841564E-2</v>
      </c>
    </row>
    <row r="188" spans="1:16">
      <c r="A188" s="861" t="s">
        <v>203</v>
      </c>
      <c r="B188" s="858"/>
      <c r="C188" s="852"/>
      <c r="D188" s="859"/>
      <c r="E188" s="860"/>
      <c r="F188" s="860">
        <v>65</v>
      </c>
      <c r="G188" s="854">
        <v>40</v>
      </c>
      <c r="H188" s="854">
        <v>54</v>
      </c>
      <c r="I188" s="854">
        <v>50</v>
      </c>
      <c r="J188" s="860">
        <v>38</v>
      </c>
      <c r="K188" s="845">
        <v>48</v>
      </c>
      <c r="L188" s="845">
        <v>33</v>
      </c>
      <c r="M188" s="845">
        <v>22</v>
      </c>
      <c r="N188" s="855">
        <f t="shared" si="16"/>
        <v>350</v>
      </c>
      <c r="O188" s="856">
        <f t="shared" si="17"/>
        <v>43.75</v>
      </c>
      <c r="P188" s="849">
        <f t="shared" si="19"/>
        <v>0.90341231738165306</v>
      </c>
    </row>
    <row r="189" spans="1:16">
      <c r="A189" s="861" t="s">
        <v>204</v>
      </c>
      <c r="B189" s="858"/>
      <c r="C189" s="852"/>
      <c r="D189" s="859"/>
      <c r="E189" s="860"/>
      <c r="F189" s="860">
        <v>134</v>
      </c>
      <c r="G189" s="854">
        <v>133</v>
      </c>
      <c r="H189" s="854">
        <v>118</v>
      </c>
      <c r="I189" s="854">
        <v>166</v>
      </c>
      <c r="J189" s="860">
        <v>116</v>
      </c>
      <c r="K189" s="845">
        <v>108</v>
      </c>
      <c r="L189" s="845">
        <v>122</v>
      </c>
      <c r="M189" s="845">
        <v>107</v>
      </c>
      <c r="N189" s="855">
        <f t="shared" si="16"/>
        <v>1004</v>
      </c>
      <c r="O189" s="856">
        <f t="shared" si="17"/>
        <v>125.5</v>
      </c>
      <c r="P189" s="849">
        <f t="shared" si="19"/>
        <v>2.5915027618605131</v>
      </c>
    </row>
    <row r="190" spans="1:16">
      <c r="A190" s="861" t="s">
        <v>205</v>
      </c>
      <c r="B190" s="858"/>
      <c r="C190" s="852"/>
      <c r="D190" s="859"/>
      <c r="E190" s="860"/>
      <c r="F190" s="860">
        <v>10</v>
      </c>
      <c r="G190" s="854">
        <v>12</v>
      </c>
      <c r="H190" s="865">
        <v>10</v>
      </c>
      <c r="I190" s="865">
        <v>4</v>
      </c>
      <c r="J190" s="866">
        <v>3</v>
      </c>
      <c r="K190" s="845">
        <v>4</v>
      </c>
      <c r="L190" s="845">
        <v>5</v>
      </c>
      <c r="M190" s="845">
        <v>4</v>
      </c>
      <c r="N190" s="867">
        <f t="shared" si="16"/>
        <v>52</v>
      </c>
      <c r="O190" s="868">
        <f t="shared" si="17"/>
        <v>6.5</v>
      </c>
      <c r="P190" s="869">
        <f t="shared" si="19"/>
        <v>0.13422125858241701</v>
      </c>
    </row>
    <row r="191" spans="1:16" ht="15.75" thickBot="1">
      <c r="A191" s="870" t="s">
        <v>206</v>
      </c>
      <c r="B191" s="871"/>
      <c r="C191" s="872"/>
      <c r="D191" s="873"/>
      <c r="E191" s="866"/>
      <c r="F191" s="866">
        <v>0</v>
      </c>
      <c r="G191" s="865">
        <v>0</v>
      </c>
      <c r="H191" s="865">
        <v>1</v>
      </c>
      <c r="I191" s="865">
        <v>0</v>
      </c>
      <c r="J191" s="866">
        <v>0</v>
      </c>
      <c r="K191" s="845">
        <v>0</v>
      </c>
      <c r="L191" s="874">
        <v>0</v>
      </c>
      <c r="M191" s="845">
        <v>0</v>
      </c>
      <c r="N191" s="867">
        <f t="shared" si="16"/>
        <v>1</v>
      </c>
      <c r="O191" s="868">
        <f t="shared" si="17"/>
        <v>0.125</v>
      </c>
      <c r="P191" s="875">
        <f t="shared" si="19"/>
        <v>2.5811780496618657E-3</v>
      </c>
    </row>
    <row r="192" spans="1:16" ht="15.75" thickBot="1">
      <c r="A192" s="114" t="s">
        <v>5</v>
      </c>
      <c r="B192" s="115"/>
      <c r="C192" s="116"/>
      <c r="D192" s="117"/>
      <c r="E192" s="118"/>
      <c r="F192" s="116">
        <f>SUM(F5:F191)</f>
        <v>4895</v>
      </c>
      <c r="G192" s="116">
        <f>SUM(G5:G191)</f>
        <v>4703</v>
      </c>
      <c r="H192" s="116">
        <f>SUM(H5:H191)</f>
        <v>4685</v>
      </c>
      <c r="I192" s="116">
        <f t="shared" ref="I192:M192" si="20">SUM(I5:I191)</f>
        <v>5353</v>
      </c>
      <c r="J192" s="116">
        <f t="shared" si="20"/>
        <v>4687</v>
      </c>
      <c r="K192" s="116">
        <f t="shared" si="20"/>
        <v>5517</v>
      </c>
      <c r="L192" s="116">
        <f t="shared" si="20"/>
        <v>4645</v>
      </c>
      <c r="M192" s="119">
        <f t="shared" si="20"/>
        <v>4257</v>
      </c>
      <c r="N192" s="120">
        <f t="shared" si="16"/>
        <v>38742</v>
      </c>
      <c r="O192" s="121">
        <f t="shared" si="17"/>
        <v>4842.75</v>
      </c>
      <c r="P192" s="122">
        <f t="shared" si="19"/>
        <v>100</v>
      </c>
    </row>
    <row r="193" spans="1:16" ht="16.5" customHeight="1">
      <c r="A193" s="123"/>
      <c r="B193" s="124"/>
      <c r="C193" s="124"/>
      <c r="D193" s="124"/>
      <c r="E193" s="124"/>
      <c r="F193" s="124"/>
      <c r="G193" s="124"/>
      <c r="H193" s="124"/>
      <c r="I193" s="124"/>
      <c r="J193" s="124"/>
      <c r="K193" s="124"/>
      <c r="L193" s="125"/>
    </row>
    <row r="194" spans="1:16" ht="65.25" customHeight="1">
      <c r="A194" s="126" t="s">
        <v>207</v>
      </c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</row>
    <row r="195" spans="1:16">
      <c r="A195" s="128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</row>
    <row r="196" spans="1:16" ht="45">
      <c r="A196" s="128" t="s">
        <v>208</v>
      </c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</row>
    <row r="197" spans="1:16">
      <c r="A197" s="128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</row>
    <row r="198" spans="1:16" ht="31.5" customHeight="1">
      <c r="A198" s="128" t="s">
        <v>209</v>
      </c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</row>
    <row r="199" spans="1:16" ht="45">
      <c r="A199" s="128" t="s">
        <v>210</v>
      </c>
    </row>
    <row r="200" spans="1:16" ht="30">
      <c r="A200" s="128" t="s">
        <v>211</v>
      </c>
      <c r="B200" s="127"/>
      <c r="C200" s="127"/>
      <c r="D200" s="127"/>
      <c r="E200" s="127"/>
      <c r="F200" s="127"/>
    </row>
    <row r="202" spans="1:16">
      <c r="A202" s="128"/>
      <c r="B202"/>
      <c r="C202"/>
      <c r="D202"/>
      <c r="E202"/>
      <c r="F202"/>
      <c r="G202"/>
      <c r="H202"/>
      <c r="I202"/>
      <c r="J202"/>
      <c r="K202"/>
      <c r="L202"/>
      <c r="M202" s="129"/>
      <c r="N202"/>
      <c r="O202"/>
      <c r="P202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F192:M19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/>
  </sheetViews>
  <sheetFormatPr defaultColWidth="5.5703125" defaultRowHeight="14.25"/>
  <cols>
    <col min="1" max="1" width="41" style="13" customWidth="1"/>
    <col min="2" max="2" width="7.5703125" style="13" bestFit="1" customWidth="1"/>
    <col min="3" max="3" width="7.7109375" style="134" bestFit="1" customWidth="1"/>
    <col min="4" max="4" width="7.140625" style="13" bestFit="1" customWidth="1"/>
    <col min="5" max="5" width="7" style="132" bestFit="1" customWidth="1"/>
    <col min="6" max="6" width="7.5703125" style="13" bestFit="1" customWidth="1"/>
    <col min="7" max="7" width="6.28515625" style="132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4.85546875" style="13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30" t="s">
        <v>0</v>
      </c>
      <c r="B1" s="130"/>
      <c r="C1" s="131"/>
      <c r="D1" s="130"/>
      <c r="H1" s="796"/>
      <c r="I1" s="796"/>
      <c r="J1" s="796"/>
      <c r="K1" s="796"/>
      <c r="L1" s="796"/>
      <c r="M1" s="796"/>
      <c r="N1" s="796"/>
      <c r="O1" s="796"/>
      <c r="P1" s="796">
        <v>4895</v>
      </c>
    </row>
    <row r="2" spans="1:20" ht="15">
      <c r="A2" s="1" t="s">
        <v>1</v>
      </c>
      <c r="B2" s="1"/>
      <c r="C2" s="94"/>
      <c r="D2" s="1"/>
      <c r="H2" s="796"/>
      <c r="I2" s="796"/>
      <c r="J2" s="796"/>
      <c r="K2" s="796"/>
      <c r="L2" s="796"/>
      <c r="M2" s="796"/>
      <c r="N2" s="796"/>
      <c r="O2" s="796"/>
      <c r="P2" s="796"/>
    </row>
    <row r="3" spans="1:20" ht="15">
      <c r="A3" s="1"/>
      <c r="B3" s="1"/>
      <c r="C3" s="94"/>
      <c r="D3" s="1"/>
      <c r="H3" s="796"/>
      <c r="I3" s="796"/>
      <c r="J3" s="796"/>
      <c r="K3" s="796"/>
      <c r="L3" s="796"/>
      <c r="M3" s="796"/>
      <c r="N3" s="796"/>
      <c r="O3" s="796"/>
      <c r="P3" s="796"/>
    </row>
    <row r="4" spans="1:20" ht="15">
      <c r="A4" s="1" t="s">
        <v>212</v>
      </c>
      <c r="B4" s="1"/>
      <c r="C4" s="94"/>
      <c r="D4" s="1"/>
      <c r="H4" s="796"/>
      <c r="I4" s="796"/>
      <c r="J4" s="796"/>
      <c r="K4" s="796"/>
      <c r="L4" s="796"/>
      <c r="M4" s="796"/>
      <c r="N4" s="796"/>
      <c r="O4" s="796"/>
      <c r="P4" s="796"/>
    </row>
    <row r="5" spans="1:20">
      <c r="E5" s="13"/>
      <c r="F5" s="132"/>
      <c r="G5" s="13"/>
      <c r="H5" s="797"/>
      <c r="I5" s="796"/>
      <c r="J5" s="796"/>
      <c r="K5" s="796"/>
      <c r="L5" s="796"/>
      <c r="M5" s="796"/>
      <c r="N5" s="796"/>
      <c r="O5" s="796"/>
      <c r="P5" s="796"/>
    </row>
    <row r="6" spans="1:20" ht="64.5" thickBot="1">
      <c r="A6" s="59" t="s">
        <v>213</v>
      </c>
      <c r="B6" s="25">
        <v>45261</v>
      </c>
      <c r="C6" s="102">
        <v>45231</v>
      </c>
      <c r="D6" s="102">
        <v>45200</v>
      </c>
      <c r="E6" s="102">
        <v>45170</v>
      </c>
      <c r="F6" s="102">
        <v>45139</v>
      </c>
      <c r="G6" s="102">
        <v>45108</v>
      </c>
      <c r="H6" s="102">
        <v>45078</v>
      </c>
      <c r="I6" s="102">
        <v>45047</v>
      </c>
      <c r="J6" s="102">
        <v>45017</v>
      </c>
      <c r="K6" s="102">
        <v>44986</v>
      </c>
      <c r="L6" s="102">
        <v>44958</v>
      </c>
      <c r="M6" s="102">
        <v>44927</v>
      </c>
      <c r="N6" s="102" t="s">
        <v>5</v>
      </c>
      <c r="O6" s="102" t="s">
        <v>6</v>
      </c>
      <c r="P6" s="135" t="s">
        <v>456</v>
      </c>
    </row>
    <row r="7" spans="1:20" ht="14.25" customHeight="1" thickBot="1">
      <c r="A7" s="655" t="s">
        <v>58</v>
      </c>
      <c r="B7" s="109"/>
      <c r="C7" s="105"/>
      <c r="D7" s="110"/>
      <c r="E7" s="111"/>
      <c r="F7" s="46">
        <v>489</v>
      </c>
      <c r="G7" s="657">
        <v>369</v>
      </c>
      <c r="H7" s="729">
        <v>727</v>
      </c>
      <c r="I7" s="730">
        <v>801</v>
      </c>
      <c r="J7" s="658">
        <v>981</v>
      </c>
      <c r="K7" s="658">
        <v>844</v>
      </c>
      <c r="L7" s="658">
        <v>484</v>
      </c>
      <c r="M7" s="658">
        <v>501</v>
      </c>
      <c r="N7" s="136">
        <f t="shared" ref="N7:N16" si="0">SUM(B7:M7)</f>
        <v>5196</v>
      </c>
      <c r="O7" s="137">
        <f t="shared" ref="O7:O17" si="1">AVERAGE(B7:M7)</f>
        <v>649.5</v>
      </c>
      <c r="P7" s="138">
        <f>(F7*100)/$P$1</f>
        <v>9.9897854954034724</v>
      </c>
      <c r="S7" s="132"/>
      <c r="T7" s="132"/>
    </row>
    <row r="8" spans="1:20" ht="15" customHeight="1" thickBot="1">
      <c r="A8" s="655" t="s">
        <v>56</v>
      </c>
      <c r="B8" s="109"/>
      <c r="C8" s="105"/>
      <c r="D8" s="110"/>
      <c r="E8" s="111"/>
      <c r="F8" s="46">
        <v>467</v>
      </c>
      <c r="G8" s="657">
        <v>523</v>
      </c>
      <c r="H8" s="729">
        <v>529</v>
      </c>
      <c r="I8" s="730">
        <v>460</v>
      </c>
      <c r="J8" s="658">
        <v>379</v>
      </c>
      <c r="K8" s="658">
        <v>313</v>
      </c>
      <c r="L8" s="658">
        <v>290</v>
      </c>
      <c r="M8" s="658">
        <v>263</v>
      </c>
      <c r="N8" s="139">
        <f t="shared" si="0"/>
        <v>3224</v>
      </c>
      <c r="O8" s="140">
        <f t="shared" si="1"/>
        <v>403</v>
      </c>
      <c r="P8" s="138">
        <f t="shared" ref="P8:P17" si="2">(F8*100)/$P$1</f>
        <v>9.540347293156282</v>
      </c>
      <c r="S8" s="132"/>
      <c r="T8" s="132"/>
    </row>
    <row r="9" spans="1:20" ht="15.75" thickBot="1">
      <c r="A9" s="655" t="s">
        <v>174</v>
      </c>
      <c r="B9" s="109"/>
      <c r="C9" s="105"/>
      <c r="D9" s="110"/>
      <c r="E9" s="111"/>
      <c r="F9" s="46">
        <v>351</v>
      </c>
      <c r="G9" s="657">
        <v>291</v>
      </c>
      <c r="H9" s="729">
        <v>320</v>
      </c>
      <c r="I9" s="730">
        <v>333</v>
      </c>
      <c r="J9" s="731">
        <v>253</v>
      </c>
      <c r="K9" s="658">
        <v>347</v>
      </c>
      <c r="L9" s="658">
        <v>325</v>
      </c>
      <c r="M9" s="658">
        <v>337</v>
      </c>
      <c r="N9" s="139">
        <f t="shared" si="0"/>
        <v>2557</v>
      </c>
      <c r="O9" s="140">
        <f t="shared" si="1"/>
        <v>319.625</v>
      </c>
      <c r="P9" s="138">
        <f t="shared" si="2"/>
        <v>7.1705822267620016</v>
      </c>
      <c r="S9" s="132"/>
      <c r="T9" s="132"/>
    </row>
    <row r="10" spans="1:20" ht="15.75" thickBot="1">
      <c r="A10" s="655" t="s">
        <v>43</v>
      </c>
      <c r="B10" s="109"/>
      <c r="C10" s="105"/>
      <c r="D10" s="110"/>
      <c r="E10" s="111"/>
      <c r="F10" s="46">
        <v>298</v>
      </c>
      <c r="G10" s="657">
        <v>300</v>
      </c>
      <c r="H10" s="729">
        <v>282</v>
      </c>
      <c r="I10" s="730">
        <v>252</v>
      </c>
      <c r="J10" s="658">
        <v>231</v>
      </c>
      <c r="K10" s="658">
        <v>270</v>
      </c>
      <c r="L10" s="658">
        <v>265</v>
      </c>
      <c r="M10" s="658">
        <v>301</v>
      </c>
      <c r="N10" s="139">
        <f t="shared" si="0"/>
        <v>2199</v>
      </c>
      <c r="O10" s="140">
        <f t="shared" si="1"/>
        <v>274.875</v>
      </c>
      <c r="P10" s="138">
        <f t="shared" si="2"/>
        <v>6.0878447395301327</v>
      </c>
      <c r="S10" s="132"/>
      <c r="T10" s="132"/>
    </row>
    <row r="11" spans="1:20" ht="15.75" thickBot="1">
      <c r="A11" s="656" t="s">
        <v>157</v>
      </c>
      <c r="B11" s="109"/>
      <c r="C11" s="105"/>
      <c r="D11" s="110"/>
      <c r="E11" s="111"/>
      <c r="F11" s="46">
        <v>207</v>
      </c>
      <c r="G11" s="657">
        <v>204</v>
      </c>
      <c r="H11" s="729">
        <v>171</v>
      </c>
      <c r="I11" s="730">
        <v>196</v>
      </c>
      <c r="J11" s="658">
        <v>160</v>
      </c>
      <c r="K11" s="658">
        <v>215</v>
      </c>
      <c r="L11" s="658">
        <v>193</v>
      </c>
      <c r="M11" s="658">
        <v>239</v>
      </c>
      <c r="N11" s="139">
        <f t="shared" si="0"/>
        <v>1585</v>
      </c>
      <c r="O11" s="140">
        <f t="shared" si="1"/>
        <v>198.125</v>
      </c>
      <c r="P11" s="138">
        <f t="shared" si="2"/>
        <v>4.2288049029622066</v>
      </c>
      <c r="S11" s="132"/>
      <c r="T11" s="132"/>
    </row>
    <row r="12" spans="1:20" ht="15" customHeight="1" thickBot="1">
      <c r="A12" s="655" t="s">
        <v>191</v>
      </c>
      <c r="B12" s="109"/>
      <c r="C12" s="105"/>
      <c r="D12" s="110"/>
      <c r="E12" s="111"/>
      <c r="F12" s="46">
        <v>176</v>
      </c>
      <c r="G12" s="657">
        <v>139</v>
      </c>
      <c r="H12" s="729">
        <v>137</v>
      </c>
      <c r="I12" s="730">
        <v>158</v>
      </c>
      <c r="J12" s="731">
        <v>128</v>
      </c>
      <c r="K12" s="658">
        <v>164</v>
      </c>
      <c r="L12" s="658">
        <v>149</v>
      </c>
      <c r="M12" s="658">
        <v>129</v>
      </c>
      <c r="N12" s="139">
        <f t="shared" si="0"/>
        <v>1180</v>
      </c>
      <c r="O12" s="140">
        <f t="shared" si="1"/>
        <v>147.5</v>
      </c>
      <c r="P12" s="138">
        <f t="shared" si="2"/>
        <v>3.595505617977528</v>
      </c>
      <c r="S12" s="132"/>
      <c r="T12" s="132"/>
    </row>
    <row r="13" spans="1:20" ht="15.75" thickBot="1">
      <c r="A13" s="655" t="s">
        <v>100</v>
      </c>
      <c r="B13" s="109"/>
      <c r="C13" s="105"/>
      <c r="D13" s="110"/>
      <c r="E13" s="111"/>
      <c r="F13" s="46">
        <v>122</v>
      </c>
      <c r="G13" s="657">
        <v>151</v>
      </c>
      <c r="H13" s="729">
        <v>104</v>
      </c>
      <c r="I13" s="730">
        <v>298</v>
      </c>
      <c r="J13" s="731">
        <v>101</v>
      </c>
      <c r="K13" s="658">
        <v>164</v>
      </c>
      <c r="L13" s="658">
        <v>93</v>
      </c>
      <c r="M13" s="658">
        <v>113</v>
      </c>
      <c r="N13" s="139">
        <f t="shared" si="0"/>
        <v>1146</v>
      </c>
      <c r="O13" s="140">
        <f t="shared" si="1"/>
        <v>143.25</v>
      </c>
      <c r="P13" s="138">
        <f t="shared" si="2"/>
        <v>2.4923391215526047</v>
      </c>
      <c r="S13" s="132"/>
      <c r="T13" s="132"/>
    </row>
    <row r="14" spans="1:20" ht="15.75" thickBot="1">
      <c r="A14" s="655" t="s">
        <v>60</v>
      </c>
      <c r="B14" s="109"/>
      <c r="C14" s="105"/>
      <c r="D14" s="110"/>
      <c r="E14" s="111"/>
      <c r="F14" s="46">
        <v>146</v>
      </c>
      <c r="G14" s="657">
        <v>168</v>
      </c>
      <c r="H14" s="729">
        <v>153</v>
      </c>
      <c r="I14" s="730">
        <v>136</v>
      </c>
      <c r="J14" s="658">
        <v>116</v>
      </c>
      <c r="K14" s="658">
        <v>157</v>
      </c>
      <c r="L14" s="658">
        <v>139</v>
      </c>
      <c r="M14" s="658">
        <v>91</v>
      </c>
      <c r="N14" s="139">
        <f t="shared" si="0"/>
        <v>1106</v>
      </c>
      <c r="O14" s="140">
        <f t="shared" si="1"/>
        <v>138.25</v>
      </c>
      <c r="P14" s="138">
        <f t="shared" si="2"/>
        <v>2.9826353421859042</v>
      </c>
      <c r="S14" s="132"/>
      <c r="T14" s="132"/>
    </row>
    <row r="15" spans="1:20" ht="15.75" thickBot="1">
      <c r="A15" s="655" t="s">
        <v>204</v>
      </c>
      <c r="B15" s="109"/>
      <c r="C15" s="105"/>
      <c r="D15" s="110"/>
      <c r="E15" s="111"/>
      <c r="F15" s="46">
        <v>134</v>
      </c>
      <c r="G15" s="657">
        <v>133</v>
      </c>
      <c r="H15" s="729">
        <v>118</v>
      </c>
      <c r="I15" s="730">
        <v>166</v>
      </c>
      <c r="J15" s="731">
        <v>116</v>
      </c>
      <c r="K15" s="658">
        <v>108</v>
      </c>
      <c r="L15" s="658">
        <v>122</v>
      </c>
      <c r="M15" s="658">
        <v>107</v>
      </c>
      <c r="N15" s="139">
        <f t="shared" si="0"/>
        <v>1004</v>
      </c>
      <c r="O15" s="140">
        <f t="shared" si="1"/>
        <v>125.5</v>
      </c>
      <c r="P15" s="138">
        <f t="shared" si="2"/>
        <v>2.7374872318692542</v>
      </c>
      <c r="S15" s="132"/>
      <c r="T15" s="132"/>
    </row>
    <row r="16" spans="1:20" ht="15.75" thickBot="1">
      <c r="A16" s="655" t="s">
        <v>144</v>
      </c>
      <c r="B16" s="141"/>
      <c r="C16" s="105"/>
      <c r="D16" s="110"/>
      <c r="E16" s="111"/>
      <c r="F16" s="46">
        <v>119</v>
      </c>
      <c r="G16" s="657">
        <v>104</v>
      </c>
      <c r="H16" s="729">
        <v>118</v>
      </c>
      <c r="I16" s="730">
        <v>170</v>
      </c>
      <c r="J16" s="658">
        <v>123</v>
      </c>
      <c r="K16" s="658">
        <v>175</v>
      </c>
      <c r="L16" s="658">
        <v>88</v>
      </c>
      <c r="M16" s="658">
        <v>61</v>
      </c>
      <c r="N16" s="142">
        <f t="shared" si="0"/>
        <v>958</v>
      </c>
      <c r="O16" s="143">
        <f t="shared" si="1"/>
        <v>119.75</v>
      </c>
      <c r="P16" s="659">
        <f t="shared" si="2"/>
        <v>2.4310520939734421</v>
      </c>
      <c r="S16" s="132"/>
      <c r="T16" s="132"/>
    </row>
    <row r="17" spans="1:41" ht="15.75" customHeight="1" thickBot="1">
      <c r="A17" s="144" t="s">
        <v>5</v>
      </c>
      <c r="B17" s="60"/>
      <c r="C17" s="59"/>
      <c r="D17" s="59"/>
      <c r="E17" s="59"/>
      <c r="F17" s="59">
        <f t="shared" ref="F17:N17" si="3">SUM(F7:F16)</f>
        <v>2509</v>
      </c>
      <c r="G17" s="59">
        <f t="shared" si="3"/>
        <v>2382</v>
      </c>
      <c r="H17" s="59">
        <f t="shared" si="3"/>
        <v>2659</v>
      </c>
      <c r="I17" s="59">
        <f t="shared" si="3"/>
        <v>2970</v>
      </c>
      <c r="J17" s="59">
        <f t="shared" si="3"/>
        <v>2588</v>
      </c>
      <c r="K17" s="59">
        <f t="shared" si="3"/>
        <v>2757</v>
      </c>
      <c r="L17" s="59">
        <f t="shared" si="3"/>
        <v>2148</v>
      </c>
      <c r="M17" s="59">
        <f t="shared" si="3"/>
        <v>2142</v>
      </c>
      <c r="N17" s="145">
        <f t="shared" si="3"/>
        <v>20155</v>
      </c>
      <c r="O17" s="145">
        <f t="shared" si="1"/>
        <v>2519.375</v>
      </c>
      <c r="P17" s="660">
        <f t="shared" si="2"/>
        <v>51.256384065372828</v>
      </c>
      <c r="S17" s="132"/>
      <c r="T17" s="132"/>
    </row>
    <row r="18" spans="1:41" s="676" customFormat="1" ht="23.25" customHeight="1">
      <c r="A18" s="676" t="s">
        <v>214</v>
      </c>
      <c r="C18" s="677"/>
      <c r="O18" s="676" t="s">
        <v>215</v>
      </c>
      <c r="P18" s="678">
        <f>100-P17</f>
        <v>48.743615934627172</v>
      </c>
    </row>
    <row r="19" spans="1:41" s="663" customFormat="1" ht="54.75" customHeight="1">
      <c r="A19" s="666"/>
      <c r="B19" s="666"/>
      <c r="C19" s="667"/>
      <c r="D19" s="884"/>
      <c r="E19" s="884"/>
      <c r="F19" s="884"/>
      <c r="G19" s="884"/>
      <c r="H19" s="884"/>
      <c r="W19" s="665"/>
    </row>
    <row r="20" spans="1:41" s="663" customFormat="1">
      <c r="A20" s="668"/>
      <c r="B20" s="668"/>
      <c r="C20" s="669"/>
      <c r="E20" s="665"/>
      <c r="O20" s="665"/>
      <c r="W20" s="665"/>
      <c r="AC20" s="670"/>
      <c r="AD20" s="671"/>
      <c r="AE20" s="671"/>
      <c r="AF20" s="671"/>
      <c r="AG20" s="671"/>
      <c r="AH20" s="671"/>
      <c r="AI20" s="671"/>
      <c r="AJ20" s="664"/>
      <c r="AK20" s="671"/>
      <c r="AL20" s="671"/>
      <c r="AM20" s="671"/>
      <c r="AN20" s="671"/>
      <c r="AO20" s="672"/>
    </row>
    <row r="21" spans="1:41" s="663" customFormat="1" ht="92.25" customHeight="1">
      <c r="A21" s="666"/>
      <c r="B21" s="666"/>
      <c r="C21" s="667"/>
      <c r="D21" s="884"/>
      <c r="E21" s="884"/>
      <c r="F21" s="884"/>
      <c r="G21" s="884"/>
      <c r="H21" s="884"/>
      <c r="L21" s="673"/>
      <c r="W21" s="665"/>
      <c r="AC21" s="670"/>
      <c r="AD21" s="671"/>
      <c r="AE21" s="671"/>
      <c r="AF21" s="671"/>
      <c r="AG21" s="671"/>
      <c r="AH21" s="671"/>
      <c r="AI21" s="671"/>
      <c r="AJ21" s="664"/>
      <c r="AK21" s="671"/>
      <c r="AL21" s="671"/>
      <c r="AM21" s="671"/>
      <c r="AN21" s="671"/>
      <c r="AO21" s="672"/>
    </row>
    <row r="22" spans="1:41" s="663" customFormat="1">
      <c r="A22" s="666"/>
      <c r="B22" s="666"/>
      <c r="C22" s="667"/>
      <c r="E22" s="665"/>
      <c r="O22" s="665"/>
      <c r="W22" s="674"/>
      <c r="AC22" s="670"/>
      <c r="AD22" s="671"/>
      <c r="AE22" s="671"/>
      <c r="AF22" s="671"/>
      <c r="AG22" s="671"/>
      <c r="AH22" s="671"/>
      <c r="AI22" s="671"/>
      <c r="AJ22" s="664"/>
      <c r="AK22" s="671"/>
      <c r="AL22" s="671"/>
      <c r="AM22" s="671"/>
      <c r="AN22" s="671"/>
      <c r="AO22" s="672"/>
    </row>
    <row r="23" spans="1:41" s="663" customFormat="1" ht="66.75" customHeight="1">
      <c r="A23" s="666"/>
      <c r="B23" s="666"/>
      <c r="C23" s="667"/>
      <c r="D23" s="884"/>
      <c r="E23" s="884"/>
      <c r="F23" s="884"/>
      <c r="G23" s="884"/>
      <c r="H23" s="884"/>
      <c r="W23" s="665"/>
      <c r="AC23" s="670"/>
      <c r="AD23" s="671"/>
      <c r="AE23" s="671"/>
      <c r="AF23" s="671"/>
      <c r="AG23" s="671"/>
      <c r="AH23" s="671"/>
      <c r="AI23" s="671"/>
      <c r="AJ23" s="664"/>
      <c r="AK23" s="671"/>
      <c r="AL23" s="671"/>
      <c r="AM23" s="671"/>
      <c r="AN23" s="671"/>
      <c r="AO23" s="672"/>
    </row>
    <row r="24" spans="1:41" s="663" customFormat="1">
      <c r="A24" s="668"/>
      <c r="B24" s="668"/>
      <c r="C24" s="669"/>
      <c r="E24" s="665"/>
      <c r="W24" s="665"/>
      <c r="AC24" s="670"/>
      <c r="AD24" s="671"/>
      <c r="AE24" s="671"/>
      <c r="AF24" s="671"/>
      <c r="AG24" s="671"/>
      <c r="AH24" s="671"/>
      <c r="AI24" s="671"/>
      <c r="AJ24" s="664"/>
      <c r="AK24" s="671"/>
      <c r="AL24" s="671"/>
      <c r="AM24" s="671"/>
      <c r="AN24" s="671"/>
      <c r="AO24" s="672"/>
    </row>
    <row r="25" spans="1:41" s="663" customFormat="1">
      <c r="A25" s="666"/>
      <c r="B25" s="666"/>
      <c r="C25" s="667"/>
      <c r="E25" s="665"/>
      <c r="W25" s="665"/>
      <c r="AC25" s="670"/>
      <c r="AD25" s="671"/>
      <c r="AE25" s="671"/>
      <c r="AF25" s="671"/>
      <c r="AG25" s="671"/>
      <c r="AH25" s="671"/>
      <c r="AI25" s="671"/>
      <c r="AJ25" s="664"/>
      <c r="AK25" s="671"/>
      <c r="AL25" s="671"/>
      <c r="AM25" s="671"/>
      <c r="AN25" s="671"/>
      <c r="AO25" s="672"/>
    </row>
    <row r="26" spans="1:41" s="663" customFormat="1">
      <c r="C26" s="664"/>
      <c r="E26" s="665"/>
      <c r="G26" s="665"/>
      <c r="AC26" s="670"/>
      <c r="AD26" s="671"/>
      <c r="AE26" s="671"/>
      <c r="AF26" s="671"/>
      <c r="AG26" s="671"/>
      <c r="AH26" s="671"/>
      <c r="AI26" s="671"/>
      <c r="AJ26" s="664"/>
      <c r="AK26" s="671"/>
      <c r="AL26" s="671"/>
      <c r="AM26" s="671"/>
      <c r="AN26" s="671"/>
      <c r="AO26" s="672"/>
    </row>
    <row r="27" spans="1:41" s="663" customFormat="1">
      <c r="C27" s="664"/>
      <c r="E27" s="665"/>
      <c r="G27" s="665"/>
      <c r="R27" s="670"/>
      <c r="S27" s="671"/>
      <c r="T27" s="672"/>
      <c r="U27" s="672"/>
      <c r="V27" s="672"/>
      <c r="W27" s="675"/>
      <c r="AC27" s="670"/>
      <c r="AD27" s="671"/>
      <c r="AE27" s="671"/>
      <c r="AF27" s="671"/>
      <c r="AG27" s="671"/>
      <c r="AH27" s="671"/>
      <c r="AI27" s="671"/>
      <c r="AJ27" s="664"/>
      <c r="AK27" s="671"/>
      <c r="AL27" s="671"/>
      <c r="AM27" s="671"/>
      <c r="AN27" s="671"/>
      <c r="AO27" s="672"/>
    </row>
    <row r="28" spans="1:41" s="663" customFormat="1">
      <c r="C28" s="664"/>
      <c r="E28" s="665"/>
      <c r="G28" s="665"/>
      <c r="R28" s="670"/>
      <c r="S28" s="671"/>
      <c r="T28" s="672"/>
      <c r="U28" s="672"/>
      <c r="V28" s="672"/>
      <c r="W28" s="675"/>
      <c r="AC28" s="670"/>
      <c r="AD28" s="671"/>
      <c r="AE28" s="671"/>
      <c r="AF28" s="671"/>
      <c r="AG28" s="671"/>
      <c r="AH28" s="671"/>
      <c r="AI28" s="671"/>
      <c r="AJ28" s="664"/>
      <c r="AK28" s="671"/>
      <c r="AL28" s="671"/>
      <c r="AM28" s="671"/>
      <c r="AN28" s="671"/>
      <c r="AO28" s="672"/>
    </row>
    <row r="29" spans="1:41" s="663" customFormat="1">
      <c r="C29" s="664"/>
      <c r="E29" s="665"/>
      <c r="G29" s="665"/>
      <c r="R29" s="670"/>
      <c r="S29" s="671"/>
      <c r="T29" s="672"/>
      <c r="U29" s="672"/>
      <c r="V29" s="672"/>
      <c r="W29" s="675"/>
      <c r="AC29" s="670"/>
      <c r="AD29" s="671"/>
      <c r="AE29" s="671"/>
      <c r="AF29" s="671"/>
      <c r="AG29" s="671"/>
      <c r="AH29" s="671"/>
      <c r="AI29" s="671"/>
      <c r="AJ29" s="664"/>
      <c r="AK29" s="671"/>
      <c r="AL29" s="671"/>
      <c r="AM29" s="671"/>
      <c r="AN29" s="671"/>
      <c r="AO29" s="672"/>
    </row>
    <row r="30" spans="1:41" s="663" customFormat="1">
      <c r="C30" s="664"/>
      <c r="E30" s="665"/>
      <c r="G30" s="665"/>
      <c r="R30" s="670"/>
      <c r="S30" s="671"/>
      <c r="T30" s="672"/>
      <c r="U30" s="672"/>
      <c r="V30" s="672"/>
      <c r="W30" s="675"/>
      <c r="AO30" s="665"/>
    </row>
    <row r="31" spans="1:41" s="663" customFormat="1">
      <c r="C31" s="664"/>
      <c r="E31" s="665"/>
      <c r="G31" s="665"/>
      <c r="R31" s="670"/>
      <c r="S31" s="671"/>
      <c r="T31" s="672"/>
      <c r="U31" s="672"/>
      <c r="V31" s="672"/>
      <c r="W31" s="675"/>
    </row>
    <row r="32" spans="1:41" s="663" customFormat="1">
      <c r="C32" s="664"/>
      <c r="E32" s="665"/>
      <c r="G32" s="665"/>
      <c r="R32" s="670"/>
      <c r="S32" s="671"/>
      <c r="T32" s="672"/>
      <c r="U32" s="672"/>
      <c r="V32" s="672"/>
      <c r="W32" s="675"/>
    </row>
    <row r="33" spans="1:23" s="663" customFormat="1">
      <c r="C33" s="664"/>
      <c r="E33" s="665"/>
      <c r="G33" s="665"/>
      <c r="R33" s="670"/>
      <c r="S33" s="671"/>
      <c r="T33" s="672"/>
      <c r="U33" s="672"/>
      <c r="V33" s="672"/>
      <c r="W33" s="675"/>
    </row>
    <row r="34" spans="1:23" s="663" customFormat="1">
      <c r="C34" s="664"/>
      <c r="E34" s="665"/>
      <c r="G34" s="665"/>
      <c r="R34" s="670"/>
      <c r="S34" s="671"/>
      <c r="T34" s="672"/>
      <c r="U34" s="672"/>
      <c r="V34" s="672"/>
      <c r="W34" s="675"/>
    </row>
    <row r="35" spans="1:23" s="663" customFormat="1">
      <c r="C35" s="664"/>
      <c r="E35" s="665"/>
      <c r="G35" s="665"/>
      <c r="R35" s="670"/>
      <c r="S35" s="671"/>
      <c r="T35" s="672"/>
      <c r="U35" s="672"/>
      <c r="V35" s="672"/>
      <c r="W35" s="675"/>
    </row>
    <row r="36" spans="1:23" s="663" customFormat="1">
      <c r="C36" s="664"/>
      <c r="E36" s="665"/>
      <c r="G36" s="665"/>
      <c r="R36" s="670"/>
      <c r="S36" s="671"/>
      <c r="T36" s="672"/>
      <c r="U36" s="672"/>
      <c r="V36" s="672"/>
      <c r="W36" s="675"/>
    </row>
    <row r="37" spans="1:23">
      <c r="A37" s="663"/>
      <c r="B37" s="663"/>
      <c r="C37" s="664"/>
      <c r="D37" s="663"/>
      <c r="E37" s="665"/>
      <c r="F37" s="663"/>
      <c r="G37" s="665"/>
      <c r="H37" s="663"/>
      <c r="I37" s="663"/>
      <c r="J37" s="663"/>
      <c r="K37" s="663"/>
    </row>
    <row r="38" spans="1:23">
      <c r="A38" s="663"/>
      <c r="B38" s="663"/>
      <c r="C38" s="664"/>
      <c r="D38" s="663"/>
      <c r="E38" s="665"/>
      <c r="F38" s="663"/>
      <c r="G38" s="665"/>
      <c r="H38" s="663"/>
      <c r="I38" s="663"/>
      <c r="J38" s="663"/>
      <c r="K38" s="663"/>
    </row>
    <row r="39" spans="1:23">
      <c r="A39" s="663"/>
      <c r="B39" s="663"/>
      <c r="C39" s="664"/>
      <c r="D39" s="663"/>
      <c r="E39" s="665"/>
      <c r="F39" s="663"/>
      <c r="G39" s="665"/>
      <c r="H39" s="663"/>
      <c r="I39" s="663"/>
      <c r="J39" s="663"/>
      <c r="K39" s="663"/>
    </row>
    <row r="40" spans="1:23">
      <c r="A40" s="663"/>
      <c r="B40" s="663"/>
      <c r="C40" s="664"/>
      <c r="D40" s="663"/>
      <c r="E40" s="665"/>
      <c r="F40" s="663"/>
      <c r="G40" s="665"/>
      <c r="H40" s="663"/>
      <c r="I40" s="663"/>
      <c r="J40" s="663"/>
      <c r="K40" s="663"/>
    </row>
    <row r="41" spans="1:23">
      <c r="A41" s="663"/>
      <c r="B41" s="663"/>
      <c r="C41" s="664"/>
      <c r="D41" s="663"/>
      <c r="E41" s="665"/>
      <c r="F41" s="663"/>
      <c r="G41" s="665"/>
      <c r="H41" s="663"/>
      <c r="I41" s="663"/>
      <c r="J41" s="663"/>
      <c r="K41" s="663"/>
    </row>
    <row r="42" spans="1:23" ht="14.25" customHeight="1">
      <c r="A42" s="225"/>
      <c r="B42" s="225"/>
      <c r="C42" s="260"/>
      <c r="D42" s="225"/>
      <c r="E42" s="661"/>
      <c r="F42" s="225"/>
      <c r="G42" s="661"/>
      <c r="H42" s="225"/>
      <c r="I42" s="225"/>
      <c r="J42" s="225"/>
      <c r="K42" s="225"/>
    </row>
    <row r="43" spans="1:23">
      <c r="A43" s="257"/>
      <c r="B43" s="257"/>
      <c r="C43" s="662"/>
      <c r="D43" s="257"/>
      <c r="E43" s="661"/>
      <c r="F43" s="225"/>
      <c r="G43" s="661"/>
      <c r="H43" s="225"/>
      <c r="I43" s="225"/>
      <c r="J43" s="225"/>
      <c r="K43" s="225"/>
    </row>
    <row r="44" spans="1:23" ht="14.25" customHeight="1">
      <c r="A44" s="225"/>
      <c r="B44" s="225"/>
      <c r="C44" s="260"/>
      <c r="D44" s="225"/>
      <c r="E44" s="661"/>
      <c r="F44" s="225"/>
      <c r="G44" s="661"/>
      <c r="H44" s="225"/>
      <c r="I44" s="225"/>
      <c r="J44" s="225"/>
      <c r="K44" s="225"/>
    </row>
    <row r="45" spans="1:23">
      <c r="A45" s="147"/>
      <c r="B45" s="147"/>
      <c r="C45" s="148"/>
      <c r="D45" s="147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F17:M1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4" workbookViewId="0"/>
  </sheetViews>
  <sheetFormatPr defaultRowHeight="14.25"/>
  <cols>
    <col min="1" max="1" width="14" style="13" customWidth="1"/>
    <col min="2" max="2" width="16.5703125" style="132" customWidth="1"/>
    <col min="3" max="3" width="13.85546875" style="132" bestFit="1" customWidth="1"/>
    <col min="4" max="4" width="6.28515625" style="13" bestFit="1" customWidth="1"/>
    <col min="5" max="5" width="12" style="13" bestFit="1" customWidth="1"/>
    <col min="6" max="6" width="15" style="13" bestFit="1" customWidth="1"/>
    <col min="7" max="7" width="13.85546875" style="13" bestFit="1" customWidth="1"/>
    <col min="8" max="8" width="5.42578125" style="13" customWidth="1"/>
    <col min="9" max="9" width="11.85546875" style="13" customWidth="1"/>
    <col min="10" max="10" width="15" style="13" bestFit="1" customWidth="1"/>
    <col min="11" max="11" width="13.85546875" style="13" bestFit="1" customWidth="1"/>
    <col min="12" max="12" width="7.140625" style="13" customWidth="1"/>
    <col min="13" max="13" width="12.7109375" style="13" customWidth="1"/>
    <col min="14" max="14" width="15" style="13" bestFit="1" customWidth="1"/>
    <col min="15" max="15" width="13.85546875" style="13" bestFit="1" customWidth="1"/>
    <col min="16" max="16" width="9.140625" style="13" customWidth="1"/>
    <col min="17" max="17" width="5.5703125" style="13" customWidth="1"/>
    <col min="18" max="18" width="9.140625" style="13" customWidth="1"/>
    <col min="19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216</v>
      </c>
    </row>
    <row r="5" spans="1:15" ht="15.75" thickBot="1">
      <c r="A5" s="1"/>
    </row>
    <row r="6" spans="1:15" ht="15">
      <c r="A6" s="888" t="s">
        <v>217</v>
      </c>
      <c r="B6" s="888"/>
      <c r="C6" s="888"/>
      <c r="D6" s="888"/>
      <c r="E6" s="888"/>
      <c r="F6" s="1"/>
    </row>
    <row r="7" spans="1:15" ht="15">
      <c r="A7" s="152" t="s">
        <v>218</v>
      </c>
      <c r="B7" s="153"/>
      <c r="C7" s="153"/>
      <c r="D7" s="154"/>
      <c r="E7" s="155"/>
      <c r="F7" s="1"/>
    </row>
    <row r="8" spans="1:15" ht="15" thickBot="1">
      <c r="B8" s="13"/>
      <c r="C8" s="13"/>
    </row>
    <row r="9" spans="1:15" s="156" customFormat="1" ht="30.75" customHeight="1" thickBot="1">
      <c r="A9" s="886" t="str">
        <f>'10_Assuntos_+_demadados_2023'!A7</f>
        <v>Cadastro Único (CadÚnico)</v>
      </c>
      <c r="B9" s="886"/>
      <c r="C9" s="886"/>
      <c r="E9" s="886" t="str">
        <f>'10_Assuntos_+_demadados_2023'!A8</f>
        <v>Buraco e pavimentação</v>
      </c>
      <c r="F9" s="886"/>
      <c r="G9" s="886"/>
      <c r="I9" s="885" t="str">
        <f>'10_Assuntos_+_demadados_2023'!A9</f>
        <v>Qualidade de atendimento</v>
      </c>
      <c r="J9" s="885"/>
      <c r="K9" s="885"/>
      <c r="M9" s="886" t="str">
        <f>'10_Assuntos_+_demadados_2023'!A10</f>
        <v>Árvore</v>
      </c>
      <c r="N9" s="886"/>
      <c r="O9" s="886"/>
    </row>
    <row r="10" spans="1:15" ht="15.75" thickBot="1">
      <c r="A10" s="4" t="s">
        <v>2</v>
      </c>
      <c r="B10" s="4" t="s">
        <v>219</v>
      </c>
      <c r="C10" s="5" t="s">
        <v>220</v>
      </c>
      <c r="E10" s="4" t="s">
        <v>2</v>
      </c>
      <c r="F10" s="157" t="s">
        <v>219</v>
      </c>
      <c r="G10" s="157" t="s">
        <v>220</v>
      </c>
      <c r="I10" s="4" t="s">
        <v>2</v>
      </c>
      <c r="J10" s="157" t="s">
        <v>219</v>
      </c>
      <c r="K10" s="157" t="s">
        <v>220</v>
      </c>
      <c r="M10" s="4" t="s">
        <v>2</v>
      </c>
      <c r="N10" s="157" t="s">
        <v>219</v>
      </c>
      <c r="O10" s="157" t="s">
        <v>220</v>
      </c>
    </row>
    <row r="11" spans="1:15" ht="15">
      <c r="A11" s="158">
        <v>44927</v>
      </c>
      <c r="B11" s="8">
        <f>'10_Assuntos_+_demadados_2023'!M7</f>
        <v>501</v>
      </c>
      <c r="C11" s="159">
        <f>((B11-372)/372)*100</f>
        <v>34.677419354838712</v>
      </c>
      <c r="E11" s="158">
        <v>44927</v>
      </c>
      <c r="F11" s="160">
        <f>'10_Assuntos_+_demadados_2023'!M8</f>
        <v>263</v>
      </c>
      <c r="G11" s="9">
        <f>((F11-286)/286)*100</f>
        <v>-8.0419580419580416</v>
      </c>
      <c r="I11" s="158">
        <v>44927</v>
      </c>
      <c r="J11" s="160">
        <f>'10_Assuntos_+_demadados_2023'!M9</f>
        <v>337</v>
      </c>
      <c r="K11" s="9">
        <f>((J11-182)/182)*100</f>
        <v>85.164835164835168</v>
      </c>
      <c r="M11" s="158">
        <v>44927</v>
      </c>
      <c r="N11" s="160">
        <f>'10_Assuntos_+_demadados_2023'!M10</f>
        <v>301</v>
      </c>
      <c r="O11" s="9">
        <f>((N11-196)/196)*100</f>
        <v>53.571428571428569</v>
      </c>
    </row>
    <row r="12" spans="1:15" ht="15">
      <c r="A12" s="161">
        <v>44958</v>
      </c>
      <c r="B12" s="15">
        <f>'10_Assuntos_+_demadados_2023'!L7</f>
        <v>484</v>
      </c>
      <c r="C12" s="159">
        <f t="shared" ref="C12:C18" si="0">((B12-B11)/B11)*100</f>
        <v>-3.3932135728542914</v>
      </c>
      <c r="E12" s="161">
        <v>44958</v>
      </c>
      <c r="F12" s="162">
        <f>'10_Assuntos_+_demadados_2023'!L8</f>
        <v>290</v>
      </c>
      <c r="G12" s="9">
        <f t="shared" ref="G12:G18" si="1">((F12-F11)/F11)*100</f>
        <v>10.266159695817491</v>
      </c>
      <c r="I12" s="161">
        <v>44958</v>
      </c>
      <c r="J12" s="162">
        <f>'10_Assuntos_+_demadados_2023'!L9</f>
        <v>325</v>
      </c>
      <c r="K12" s="9">
        <f t="shared" ref="K12:K18" si="2">((J12-J11)/J11)*100</f>
        <v>-3.5608308605341246</v>
      </c>
      <c r="M12" s="161">
        <v>44958</v>
      </c>
      <c r="N12" s="162">
        <f>'10_Assuntos_+_demadados_2023'!L10</f>
        <v>265</v>
      </c>
      <c r="O12" s="9">
        <f t="shared" ref="O12:O18" si="3">((N12-N11)/N11)*100</f>
        <v>-11.960132890365449</v>
      </c>
    </row>
    <row r="13" spans="1:15" ht="15">
      <c r="A13" s="161">
        <v>44986</v>
      </c>
      <c r="B13" s="15">
        <f>'10_Assuntos_+_demadados_2023'!K7</f>
        <v>844</v>
      </c>
      <c r="C13" s="159">
        <f t="shared" si="0"/>
        <v>74.380165289256198</v>
      </c>
      <c r="E13" s="161">
        <v>44986</v>
      </c>
      <c r="F13" s="162">
        <f>'10_Assuntos_+_demadados_2023'!K8</f>
        <v>313</v>
      </c>
      <c r="G13" s="9">
        <f t="shared" si="1"/>
        <v>7.931034482758621</v>
      </c>
      <c r="I13" s="161">
        <v>44986</v>
      </c>
      <c r="J13" s="162">
        <f>'10_Assuntos_+_demadados_2023'!K9</f>
        <v>347</v>
      </c>
      <c r="K13" s="9">
        <f t="shared" si="2"/>
        <v>6.7692307692307692</v>
      </c>
      <c r="M13" s="161">
        <v>44986</v>
      </c>
      <c r="N13" s="162">
        <f>'10_Assuntos_+_demadados_2023'!K10</f>
        <v>270</v>
      </c>
      <c r="O13" s="9">
        <f t="shared" si="3"/>
        <v>1.8867924528301887</v>
      </c>
    </row>
    <row r="14" spans="1:15" ht="15">
      <c r="A14" s="161">
        <v>45017</v>
      </c>
      <c r="B14" s="15">
        <f>'10_Assuntos_+_demadados_2023'!J$7</f>
        <v>981</v>
      </c>
      <c r="C14" s="159">
        <f t="shared" si="0"/>
        <v>16.232227488151661</v>
      </c>
      <c r="E14" s="161">
        <v>45017</v>
      </c>
      <c r="F14" s="162">
        <f>'10_Assuntos_+_demadados_2023'!J$8</f>
        <v>379</v>
      </c>
      <c r="G14" s="9">
        <f t="shared" si="1"/>
        <v>21.08626198083067</v>
      </c>
      <c r="I14" s="161">
        <v>45017</v>
      </c>
      <c r="J14" s="162">
        <f>'10_Assuntos_+_demadados_2023'!J$9</f>
        <v>253</v>
      </c>
      <c r="K14" s="9">
        <f t="shared" si="2"/>
        <v>-27.089337175792505</v>
      </c>
      <c r="M14" s="161">
        <v>45017</v>
      </c>
      <c r="N14" s="162">
        <f>'10_Assuntos_+_demadados_2023'!J$10</f>
        <v>231</v>
      </c>
      <c r="O14" s="9">
        <f t="shared" si="3"/>
        <v>-14.444444444444443</v>
      </c>
    </row>
    <row r="15" spans="1:15" ht="15">
      <c r="A15" s="161">
        <v>45047</v>
      </c>
      <c r="B15" s="15">
        <f>'10_Assuntos_+_demadados_2023'!I$7</f>
        <v>801</v>
      </c>
      <c r="C15" s="159">
        <f t="shared" si="0"/>
        <v>-18.348623853211009</v>
      </c>
      <c r="E15" s="161">
        <v>45047</v>
      </c>
      <c r="F15" s="162">
        <f>'10_Assuntos_+_demadados_2023'!I$8</f>
        <v>460</v>
      </c>
      <c r="G15" s="9">
        <f t="shared" si="1"/>
        <v>21.372031662269126</v>
      </c>
      <c r="I15" s="161">
        <v>45047</v>
      </c>
      <c r="J15" s="162">
        <f>'10_Assuntos_+_demadados_2023'!I$9</f>
        <v>333</v>
      </c>
      <c r="K15" s="9">
        <f t="shared" si="2"/>
        <v>31.620553359683797</v>
      </c>
      <c r="M15" s="161">
        <v>45047</v>
      </c>
      <c r="N15" s="162">
        <f>'10_Assuntos_+_demadados_2023'!I$10</f>
        <v>252</v>
      </c>
      <c r="O15" s="9">
        <f t="shared" si="3"/>
        <v>9.0909090909090917</v>
      </c>
    </row>
    <row r="16" spans="1:15" ht="15">
      <c r="A16" s="161">
        <v>45078</v>
      </c>
      <c r="B16" s="15">
        <f>'10_Assuntos_+_demadados_2023'!H$7</f>
        <v>727</v>
      </c>
      <c r="C16" s="159">
        <f t="shared" si="0"/>
        <v>-9.238451935081148</v>
      </c>
      <c r="E16" s="161">
        <v>45078</v>
      </c>
      <c r="F16" s="162">
        <f>'10_Assuntos_+_demadados_2023'!H$8</f>
        <v>529</v>
      </c>
      <c r="G16" s="9">
        <f t="shared" si="1"/>
        <v>15</v>
      </c>
      <c r="I16" s="161">
        <v>45078</v>
      </c>
      <c r="J16" s="162">
        <f>'10_Assuntos_+_demadados_2023'!H$9</f>
        <v>320</v>
      </c>
      <c r="K16" s="9">
        <f t="shared" si="2"/>
        <v>-3.9039039039039038</v>
      </c>
      <c r="M16" s="161">
        <v>45078</v>
      </c>
      <c r="N16" s="162">
        <f>'10_Assuntos_+_demadados_2023'!H$10</f>
        <v>282</v>
      </c>
      <c r="O16" s="9">
        <f t="shared" si="3"/>
        <v>11.904761904761903</v>
      </c>
    </row>
    <row r="17" spans="1:15" ht="15">
      <c r="A17" s="161">
        <v>45108</v>
      </c>
      <c r="B17" s="15">
        <f>'10_Assuntos_+_demadados_2023'!G$7</f>
        <v>369</v>
      </c>
      <c r="C17" s="159">
        <f t="shared" si="0"/>
        <v>-49.243466299862447</v>
      </c>
      <c r="E17" s="161">
        <v>45108</v>
      </c>
      <c r="F17" s="162">
        <f>'10_Assuntos_+_demadados_2023'!G$8</f>
        <v>523</v>
      </c>
      <c r="G17" s="9">
        <f t="shared" si="1"/>
        <v>-1.1342155009451798</v>
      </c>
      <c r="I17" s="161">
        <v>45108</v>
      </c>
      <c r="J17" s="162">
        <f>'10_Assuntos_+_demadados_2023'!G$9</f>
        <v>291</v>
      </c>
      <c r="K17" s="9">
        <f t="shared" si="2"/>
        <v>-9.0625</v>
      </c>
      <c r="M17" s="161">
        <v>45108</v>
      </c>
      <c r="N17" s="162">
        <f>'10_Assuntos_+_demadados_2023'!G$10</f>
        <v>300</v>
      </c>
      <c r="O17" s="9">
        <f t="shared" si="3"/>
        <v>6.3829787234042552</v>
      </c>
    </row>
    <row r="18" spans="1:15" ht="15">
      <c r="A18" s="161">
        <v>45139</v>
      </c>
      <c r="B18" s="15">
        <f>'10_Assuntos_+_demadados_2023'!F$7</f>
        <v>489</v>
      </c>
      <c r="C18" s="159">
        <f t="shared" si="0"/>
        <v>32.520325203252028</v>
      </c>
      <c r="E18" s="161">
        <v>45139</v>
      </c>
      <c r="F18" s="162">
        <f>'10_Assuntos_+_demadados_2023'!F$8</f>
        <v>467</v>
      </c>
      <c r="G18" s="9">
        <f t="shared" si="1"/>
        <v>-10.707456978967496</v>
      </c>
      <c r="I18" s="161">
        <v>45139</v>
      </c>
      <c r="J18" s="162">
        <f>'10_Assuntos_+_demadados_2023'!F$9</f>
        <v>351</v>
      </c>
      <c r="K18" s="9">
        <f t="shared" si="2"/>
        <v>20.618556701030926</v>
      </c>
      <c r="M18" s="161">
        <v>45139</v>
      </c>
      <c r="N18" s="162">
        <f>'10_Assuntos_+_demadados_2023'!F$10</f>
        <v>298</v>
      </c>
      <c r="O18" s="9">
        <f t="shared" si="3"/>
        <v>-0.66666666666666674</v>
      </c>
    </row>
    <row r="19" spans="1:15" ht="15">
      <c r="A19" s="161">
        <v>45170</v>
      </c>
      <c r="B19" s="15"/>
      <c r="C19" s="159"/>
      <c r="E19" s="161">
        <v>45170</v>
      </c>
      <c r="F19" s="162"/>
      <c r="G19" s="9"/>
      <c r="I19" s="161">
        <v>45170</v>
      </c>
      <c r="J19" s="162"/>
      <c r="K19" s="9"/>
      <c r="M19" s="161">
        <v>45170</v>
      </c>
      <c r="N19" s="162"/>
      <c r="O19" s="9"/>
    </row>
    <row r="20" spans="1:15" ht="15">
      <c r="A20" s="161">
        <v>45200</v>
      </c>
      <c r="B20" s="15"/>
      <c r="C20" s="159"/>
      <c r="E20" s="161">
        <v>45200</v>
      </c>
      <c r="F20" s="162"/>
      <c r="G20" s="9"/>
      <c r="I20" s="161">
        <v>45200</v>
      </c>
      <c r="J20" s="162"/>
      <c r="K20" s="9"/>
      <c r="M20" s="161">
        <v>45200</v>
      </c>
      <c r="N20" s="162"/>
      <c r="O20" s="9"/>
    </row>
    <row r="21" spans="1:15" ht="15">
      <c r="A21" s="161">
        <v>45231</v>
      </c>
      <c r="B21" s="15"/>
      <c r="C21" s="159"/>
      <c r="E21" s="161">
        <v>45231</v>
      </c>
      <c r="F21" s="162"/>
      <c r="G21" s="9"/>
      <c r="I21" s="161">
        <v>45231</v>
      </c>
      <c r="J21" s="163"/>
      <c r="K21" s="9"/>
      <c r="M21" s="161">
        <v>45231</v>
      </c>
      <c r="N21" s="163"/>
      <c r="O21" s="9"/>
    </row>
    <row r="22" spans="1:15" ht="15.75" thickBot="1">
      <c r="A22" s="164">
        <v>45261</v>
      </c>
      <c r="B22" s="18"/>
      <c r="C22" s="165"/>
      <c r="E22" s="164">
        <v>45261</v>
      </c>
      <c r="F22" s="166"/>
      <c r="G22" s="19"/>
      <c r="I22" s="164">
        <v>45261</v>
      </c>
      <c r="J22" s="166"/>
      <c r="K22" s="19"/>
      <c r="M22" s="164">
        <v>45261</v>
      </c>
      <c r="N22" s="166"/>
      <c r="O22" s="19"/>
    </row>
    <row r="23" spans="1:15">
      <c r="B23" s="13"/>
      <c r="C23" s="13"/>
    </row>
    <row r="24" spans="1:15" ht="15" thickBot="1">
      <c r="B24" s="13"/>
      <c r="C24" s="13"/>
    </row>
    <row r="25" spans="1:15" s="156" customFormat="1" ht="30.75" customHeight="1" thickBot="1">
      <c r="A25" s="886" t="str">
        <f>'10_Assuntos_+_demadados_2023'!A11</f>
        <v>Poluição sonora - PSIU</v>
      </c>
      <c r="B25" s="886"/>
      <c r="C25" s="886"/>
      <c r="E25" s="885" t="str">
        <f>'10_Assuntos_+_demadados_2023'!A12</f>
        <v>Sinalização e Circulação de veículos e Pedestres</v>
      </c>
      <c r="F25" s="885"/>
      <c r="G25" s="885"/>
      <c r="I25" s="887" t="str">
        <f>'10_Assuntos_+_demadados_2023'!A13</f>
        <v>Estabelecimentos comerciais, indústrias e serviços</v>
      </c>
      <c r="J25" s="887"/>
      <c r="K25" s="887"/>
      <c r="M25" s="885" t="str">
        <f>'10_Assuntos_+_demadados_2023'!A14</f>
        <v>Calçadas, guias e postes</v>
      </c>
      <c r="N25" s="885"/>
      <c r="O25" s="885"/>
    </row>
    <row r="26" spans="1:15" ht="15.75" thickBot="1">
      <c r="A26" s="4" t="s">
        <v>2</v>
      </c>
      <c r="B26" s="167" t="s">
        <v>219</v>
      </c>
      <c r="C26" s="168" t="s">
        <v>220</v>
      </c>
      <c r="E26" s="5" t="s">
        <v>2</v>
      </c>
      <c r="F26" s="5" t="s">
        <v>219</v>
      </c>
      <c r="G26" s="5" t="s">
        <v>220</v>
      </c>
      <c r="I26" s="4" t="s">
        <v>2</v>
      </c>
      <c r="J26" s="157" t="s">
        <v>219</v>
      </c>
      <c r="K26" s="157" t="s">
        <v>220</v>
      </c>
      <c r="M26" s="4" t="s">
        <v>2</v>
      </c>
      <c r="N26" s="168" t="s">
        <v>219</v>
      </c>
      <c r="O26" s="157" t="s">
        <v>220</v>
      </c>
    </row>
    <row r="27" spans="1:15" ht="15">
      <c r="A27" s="158">
        <v>44927</v>
      </c>
      <c r="B27" s="160">
        <f>'10_Assuntos_+_demadados_2023'!M11</f>
        <v>239</v>
      </c>
      <c r="C27" s="9">
        <f>((B27-192)/192)*100</f>
        <v>24.479166666666664</v>
      </c>
      <c r="E27" s="158">
        <v>44927</v>
      </c>
      <c r="F27" s="160">
        <f>'10_Assuntos_+_demadados_2023'!M12</f>
        <v>129</v>
      </c>
      <c r="G27" s="9">
        <f>((F27-108)/108)*100</f>
        <v>19.444444444444446</v>
      </c>
      <c r="I27" s="158">
        <v>44927</v>
      </c>
      <c r="J27" s="160">
        <f>'10_Assuntos_+_demadados_2023'!M13</f>
        <v>113</v>
      </c>
      <c r="K27" s="9">
        <f>((J27-117)/117)*100</f>
        <v>-3.4188034188034191</v>
      </c>
      <c r="M27" s="158">
        <v>44927</v>
      </c>
      <c r="N27" s="160">
        <f>'10_Assuntos_+_demadados_2023'!M14</f>
        <v>91</v>
      </c>
      <c r="O27" s="159">
        <f>((N27-89)/89)*100</f>
        <v>2.2471910112359552</v>
      </c>
    </row>
    <row r="28" spans="1:15" ht="15">
      <c r="A28" s="161">
        <v>44958</v>
      </c>
      <c r="B28" s="162">
        <f>'10_Assuntos_+_demadados_2023'!L11</f>
        <v>193</v>
      </c>
      <c r="C28" s="9">
        <f t="shared" ref="C28:C34" si="4">((B28-B27)/B27)*100</f>
        <v>-19.246861924686193</v>
      </c>
      <c r="E28" s="161">
        <v>44958</v>
      </c>
      <c r="F28" s="162">
        <f>'10_Assuntos_+_demadados_2023'!L12</f>
        <v>149</v>
      </c>
      <c r="G28" s="9">
        <f t="shared" ref="G28:G34" si="5">((F28-F27)/F27)*100</f>
        <v>15.503875968992247</v>
      </c>
      <c r="I28" s="161">
        <v>44958</v>
      </c>
      <c r="J28" s="162">
        <f>'10_Assuntos_+_demadados_2023'!L13</f>
        <v>93</v>
      </c>
      <c r="K28" s="9">
        <f t="shared" ref="K28:K34" si="6">((J28-J27)/J27)*100</f>
        <v>-17.699115044247787</v>
      </c>
      <c r="M28" s="161">
        <v>44958</v>
      </c>
      <c r="N28" s="162">
        <f>'10_Assuntos_+_demadados_2023'!L14</f>
        <v>139</v>
      </c>
      <c r="O28" s="159">
        <f t="shared" ref="O28:O33" si="7">((N28-N27)/N27)*100</f>
        <v>52.747252747252752</v>
      </c>
    </row>
    <row r="29" spans="1:15" ht="15">
      <c r="A29" s="161">
        <v>44986</v>
      </c>
      <c r="B29" s="162">
        <f>'10_Assuntos_+_demadados_2023'!K11</f>
        <v>215</v>
      </c>
      <c r="C29" s="9">
        <f t="shared" si="4"/>
        <v>11.398963730569948</v>
      </c>
      <c r="E29" s="161">
        <v>44986</v>
      </c>
      <c r="F29" s="162">
        <f>'10_Assuntos_+_demadados_2023'!K12</f>
        <v>164</v>
      </c>
      <c r="G29" s="9">
        <f t="shared" si="5"/>
        <v>10.067114093959731</v>
      </c>
      <c r="I29" s="161">
        <v>44986</v>
      </c>
      <c r="J29" s="162">
        <f>'10_Assuntos_+_demadados_2023'!K13</f>
        <v>164</v>
      </c>
      <c r="K29" s="9">
        <f t="shared" si="6"/>
        <v>76.344086021505376</v>
      </c>
      <c r="M29" s="161">
        <v>44986</v>
      </c>
      <c r="N29" s="162">
        <f>'10_Assuntos_+_demadados_2023'!K14</f>
        <v>157</v>
      </c>
      <c r="O29" s="159">
        <f t="shared" si="7"/>
        <v>12.949640287769784</v>
      </c>
    </row>
    <row r="30" spans="1:15" ht="15">
      <c r="A30" s="161">
        <v>45017</v>
      </c>
      <c r="B30" s="162">
        <f>'10_Assuntos_+_demadados_2023'!J$11</f>
        <v>160</v>
      </c>
      <c r="C30" s="9">
        <f t="shared" si="4"/>
        <v>-25.581395348837212</v>
      </c>
      <c r="E30" s="161">
        <v>45017</v>
      </c>
      <c r="F30" s="162">
        <f>'10_Assuntos_+_demadados_2023'!J$12</f>
        <v>128</v>
      </c>
      <c r="G30" s="9">
        <f t="shared" si="5"/>
        <v>-21.951219512195124</v>
      </c>
      <c r="I30" s="161">
        <v>45017</v>
      </c>
      <c r="J30" s="162">
        <f>'10_Assuntos_+_demadados_2023'!J$13</f>
        <v>101</v>
      </c>
      <c r="K30" s="9">
        <f t="shared" si="6"/>
        <v>-38.414634146341463</v>
      </c>
      <c r="M30" s="161">
        <v>45017</v>
      </c>
      <c r="N30" s="162">
        <f>'10_Assuntos_+_demadados_2023'!J$14</f>
        <v>116</v>
      </c>
      <c r="O30" s="159">
        <f t="shared" si="7"/>
        <v>-26.114649681528661</v>
      </c>
    </row>
    <row r="31" spans="1:15" ht="15">
      <c r="A31" s="161">
        <v>45047</v>
      </c>
      <c r="B31" s="162">
        <f>'10_Assuntos_+_demadados_2023'!I$11</f>
        <v>196</v>
      </c>
      <c r="C31" s="9">
        <f t="shared" si="4"/>
        <v>22.5</v>
      </c>
      <c r="E31" s="161">
        <v>45047</v>
      </c>
      <c r="F31" s="162">
        <f>'10_Assuntos_+_demadados_2023'!I$12</f>
        <v>158</v>
      </c>
      <c r="G31" s="9">
        <f t="shared" si="5"/>
        <v>23.4375</v>
      </c>
      <c r="I31" s="161">
        <v>45047</v>
      </c>
      <c r="J31" s="162">
        <f>'10_Assuntos_+_demadados_2023'!I$13</f>
        <v>298</v>
      </c>
      <c r="K31" s="9">
        <f t="shared" si="6"/>
        <v>195.04950495049505</v>
      </c>
      <c r="M31" s="161">
        <v>45047</v>
      </c>
      <c r="N31" s="162">
        <f>'10_Assuntos_+_demadados_2023'!I$14</f>
        <v>136</v>
      </c>
      <c r="O31" s="159">
        <f t="shared" si="7"/>
        <v>17.241379310344829</v>
      </c>
    </row>
    <row r="32" spans="1:15" ht="15">
      <c r="A32" s="161">
        <v>45078</v>
      </c>
      <c r="B32" s="162">
        <f>'10_Assuntos_+_demadados_2023'!H$11</f>
        <v>171</v>
      </c>
      <c r="C32" s="9">
        <f t="shared" si="4"/>
        <v>-12.755102040816327</v>
      </c>
      <c r="E32" s="161">
        <v>45078</v>
      </c>
      <c r="F32" s="162">
        <f>'10_Assuntos_+_demadados_2023'!H$12</f>
        <v>137</v>
      </c>
      <c r="G32" s="9">
        <f t="shared" si="5"/>
        <v>-13.291139240506327</v>
      </c>
      <c r="I32" s="161">
        <v>45078</v>
      </c>
      <c r="J32" s="162">
        <f>'10_Assuntos_+_demadados_2023'!H$13</f>
        <v>104</v>
      </c>
      <c r="K32" s="9">
        <f t="shared" si="6"/>
        <v>-65.100671140939596</v>
      </c>
      <c r="M32" s="161">
        <v>45078</v>
      </c>
      <c r="N32" s="162">
        <f>'10_Assuntos_+_demadados_2023'!H$14</f>
        <v>153</v>
      </c>
      <c r="O32" s="159">
        <f t="shared" si="7"/>
        <v>12.5</v>
      </c>
    </row>
    <row r="33" spans="1:15" ht="15">
      <c r="A33" s="161">
        <v>45108</v>
      </c>
      <c r="B33" s="162">
        <f>'10_Assuntos_+_demadados_2023'!G$11</f>
        <v>204</v>
      </c>
      <c r="C33" s="9">
        <f t="shared" si="4"/>
        <v>19.298245614035086</v>
      </c>
      <c r="E33" s="161">
        <v>45108</v>
      </c>
      <c r="F33" s="162">
        <f>'10_Assuntos_+_demadados_2023'!G$12</f>
        <v>139</v>
      </c>
      <c r="G33" s="9">
        <f t="shared" si="5"/>
        <v>1.4598540145985401</v>
      </c>
      <c r="I33" s="161">
        <v>45108</v>
      </c>
      <c r="J33" s="162">
        <f>'10_Assuntos_+_demadados_2023'!G$13</f>
        <v>151</v>
      </c>
      <c r="K33" s="9">
        <f t="shared" si="6"/>
        <v>45.192307692307693</v>
      </c>
      <c r="M33" s="161">
        <v>45108</v>
      </c>
      <c r="N33" s="162">
        <f>'10_Assuntos_+_demadados_2023'!G$14</f>
        <v>168</v>
      </c>
      <c r="O33" s="159">
        <f t="shared" si="7"/>
        <v>9.8039215686274517</v>
      </c>
    </row>
    <row r="34" spans="1:15" ht="15">
      <c r="A34" s="161">
        <v>45139</v>
      </c>
      <c r="B34" s="162">
        <f>'10_Assuntos_+_demadados_2023'!F$11</f>
        <v>207</v>
      </c>
      <c r="C34" s="9">
        <f t="shared" si="4"/>
        <v>1.4705882352941175</v>
      </c>
      <c r="E34" s="161">
        <v>45139</v>
      </c>
      <c r="F34" s="162">
        <f>'10_Assuntos_+_demadados_2023'!F$12</f>
        <v>176</v>
      </c>
      <c r="G34" s="9">
        <f t="shared" si="5"/>
        <v>26.618705035971225</v>
      </c>
      <c r="I34" s="161">
        <v>45139</v>
      </c>
      <c r="J34" s="162">
        <f>'10_Assuntos_+_demadados_2023'!F$13</f>
        <v>122</v>
      </c>
      <c r="K34" s="9">
        <f t="shared" si="6"/>
        <v>-19.205298013245034</v>
      </c>
      <c r="M34" s="161">
        <v>45139</v>
      </c>
      <c r="N34" s="162">
        <f>'10_Assuntos_+_demadados_2023'!F$14</f>
        <v>146</v>
      </c>
      <c r="O34" s="159">
        <f t="shared" ref="O34" si="8">((N34-N33)/N33)*100</f>
        <v>-13.095238095238097</v>
      </c>
    </row>
    <row r="35" spans="1:15" ht="15">
      <c r="A35" s="161">
        <v>45170</v>
      </c>
      <c r="B35" s="162"/>
      <c r="C35" s="9"/>
      <c r="E35" s="161">
        <v>45170</v>
      </c>
      <c r="F35" s="162"/>
      <c r="G35" s="9"/>
      <c r="I35" s="161">
        <v>45170</v>
      </c>
      <c r="J35" s="162"/>
      <c r="K35" s="9"/>
      <c r="M35" s="161">
        <v>45170</v>
      </c>
      <c r="N35" s="162"/>
      <c r="O35" s="159"/>
    </row>
    <row r="36" spans="1:15" ht="15">
      <c r="A36" s="161">
        <v>45200</v>
      </c>
      <c r="B36" s="162"/>
      <c r="C36" s="9"/>
      <c r="E36" s="161">
        <v>45200</v>
      </c>
      <c r="F36" s="162"/>
      <c r="G36" s="9"/>
      <c r="I36" s="161">
        <v>45200</v>
      </c>
      <c r="J36" s="162"/>
      <c r="K36" s="9"/>
      <c r="M36" s="161">
        <v>45200</v>
      </c>
      <c r="N36" s="162"/>
      <c r="O36" s="159"/>
    </row>
    <row r="37" spans="1:15" ht="15">
      <c r="A37" s="161">
        <v>45231</v>
      </c>
      <c r="B37" s="162"/>
      <c r="C37" s="9"/>
      <c r="E37" s="161">
        <v>45231</v>
      </c>
      <c r="F37" s="162"/>
      <c r="G37" s="9"/>
      <c r="I37" s="161">
        <v>45231</v>
      </c>
      <c r="J37" s="162"/>
      <c r="K37" s="9"/>
      <c r="M37" s="161">
        <v>45231</v>
      </c>
      <c r="N37" s="162"/>
      <c r="O37" s="159"/>
    </row>
    <row r="38" spans="1:15" ht="15.75" thickBot="1">
      <c r="A38" s="164">
        <v>45261</v>
      </c>
      <c r="B38" s="166"/>
      <c r="C38" s="19"/>
      <c r="E38" s="164">
        <v>45261</v>
      </c>
      <c r="F38" s="166"/>
      <c r="G38" s="19"/>
      <c r="I38" s="164">
        <v>45261</v>
      </c>
      <c r="J38" s="166"/>
      <c r="K38" s="19"/>
      <c r="M38" s="164">
        <v>45261</v>
      </c>
      <c r="N38" s="166"/>
      <c r="O38" s="165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885" t="str">
        <f>'10_Assuntos_+_demadados_2023'!A15</f>
        <v>Veículos abandonados</v>
      </c>
      <c r="B41" s="885"/>
      <c r="C41" s="885"/>
      <c r="E41" s="885" t="str">
        <f>'10_Assuntos_+_demadados_2023'!A16</f>
        <v>Ônibus</v>
      </c>
      <c r="F41" s="885"/>
      <c r="G41" s="885"/>
    </row>
    <row r="42" spans="1:15" ht="15.75" thickBot="1">
      <c r="A42" s="4" t="s">
        <v>2</v>
      </c>
      <c r="B42" s="157" t="s">
        <v>219</v>
      </c>
      <c r="C42" s="157" t="s">
        <v>220</v>
      </c>
      <c r="E42" s="4" t="s">
        <v>2</v>
      </c>
      <c r="F42" s="157" t="s">
        <v>219</v>
      </c>
      <c r="G42" s="157" t="s">
        <v>220</v>
      </c>
    </row>
    <row r="43" spans="1:15" ht="15">
      <c r="A43" s="158">
        <v>44927</v>
      </c>
      <c r="B43" s="162">
        <f>'10_Assuntos_+_demadados_2023'!M15</f>
        <v>107</v>
      </c>
      <c r="C43" s="9">
        <f>((B43-103)/103)*100</f>
        <v>3.8834951456310676</v>
      </c>
      <c r="E43" s="158">
        <v>44927</v>
      </c>
      <c r="F43" s="160">
        <f>'10_Assuntos_+_demadados_2023'!M16</f>
        <v>61</v>
      </c>
      <c r="G43" s="9">
        <f>((F43-99)/99)*100</f>
        <v>-38.383838383838381</v>
      </c>
    </row>
    <row r="44" spans="1:15" ht="15">
      <c r="A44" s="161">
        <v>44958</v>
      </c>
      <c r="B44" s="162">
        <f>'10_Assuntos_+_demadados_2023'!L15</f>
        <v>122</v>
      </c>
      <c r="C44" s="9">
        <f t="shared" ref="C44:C49" si="9">((B44-B43)/B43)*100</f>
        <v>14.018691588785046</v>
      </c>
      <c r="E44" s="161">
        <v>44958</v>
      </c>
      <c r="F44" s="162">
        <f>'10_Assuntos_+_demadados_2023'!L16</f>
        <v>88</v>
      </c>
      <c r="G44" s="9">
        <f t="shared" ref="G44:G49" si="10">((F44-F43)/F43)*100</f>
        <v>44.26229508196721</v>
      </c>
    </row>
    <row r="45" spans="1:15" ht="15">
      <c r="A45" s="161">
        <v>44986</v>
      </c>
      <c r="B45" s="162">
        <f>'10_Assuntos_+_demadados_2023'!K15</f>
        <v>108</v>
      </c>
      <c r="C45" s="9">
        <f t="shared" si="9"/>
        <v>-11.475409836065573</v>
      </c>
      <c r="E45" s="161">
        <v>44986</v>
      </c>
      <c r="F45" s="162">
        <f>'10_Assuntos_+_demadados_2023'!K16</f>
        <v>175</v>
      </c>
      <c r="G45" s="9">
        <f t="shared" si="10"/>
        <v>98.86363636363636</v>
      </c>
    </row>
    <row r="46" spans="1:15" ht="15">
      <c r="A46" s="161">
        <v>45017</v>
      </c>
      <c r="B46" s="162">
        <f>'10_Assuntos_+_demadados_2023'!J$15</f>
        <v>116</v>
      </c>
      <c r="C46" s="9">
        <f t="shared" si="9"/>
        <v>7.4074074074074066</v>
      </c>
      <c r="E46" s="161">
        <v>45017</v>
      </c>
      <c r="F46" s="162">
        <f>'10_Assuntos_+_demadados_2023'!J$16</f>
        <v>123</v>
      </c>
      <c r="G46" s="9">
        <f t="shared" si="10"/>
        <v>-29.714285714285715</v>
      </c>
    </row>
    <row r="47" spans="1:15" ht="15">
      <c r="A47" s="161">
        <v>45047</v>
      </c>
      <c r="B47" s="162">
        <f>'10_Assuntos_+_demadados_2023'!I$15</f>
        <v>166</v>
      </c>
      <c r="C47" s="9">
        <f t="shared" si="9"/>
        <v>43.103448275862064</v>
      </c>
      <c r="E47" s="161">
        <v>45047</v>
      </c>
      <c r="F47" s="162">
        <f>'10_Assuntos_+_demadados_2023'!I$16</f>
        <v>170</v>
      </c>
      <c r="G47" s="9">
        <f t="shared" si="10"/>
        <v>38.211382113821138</v>
      </c>
    </row>
    <row r="48" spans="1:15" ht="15">
      <c r="A48" s="161">
        <v>45078</v>
      </c>
      <c r="B48" s="162">
        <f>'10_Assuntos_+_demadados_2023'!H$15</f>
        <v>118</v>
      </c>
      <c r="C48" s="9">
        <f t="shared" si="9"/>
        <v>-28.915662650602407</v>
      </c>
      <c r="E48" s="161">
        <v>45078</v>
      </c>
      <c r="F48" s="162">
        <f>'10_Assuntos_+_demadados_2023'!H$16</f>
        <v>118</v>
      </c>
      <c r="G48" s="9">
        <f t="shared" si="10"/>
        <v>-30.588235294117649</v>
      </c>
    </row>
    <row r="49" spans="1:7" ht="15">
      <c r="A49" s="161">
        <v>45108</v>
      </c>
      <c r="B49" s="162">
        <f>'10_Assuntos_+_demadados_2023'!G$15</f>
        <v>133</v>
      </c>
      <c r="C49" s="9">
        <f t="shared" si="9"/>
        <v>12.711864406779661</v>
      </c>
      <c r="E49" s="161">
        <v>45108</v>
      </c>
      <c r="F49" s="162">
        <f>'10_Assuntos_+_demadados_2023'!G$16</f>
        <v>104</v>
      </c>
      <c r="G49" s="9">
        <f t="shared" si="10"/>
        <v>-11.864406779661017</v>
      </c>
    </row>
    <row r="50" spans="1:7" ht="15">
      <c r="A50" s="161">
        <v>45139</v>
      </c>
      <c r="B50" s="162">
        <f>'10_Assuntos_+_demadados_2023'!F$15</f>
        <v>134</v>
      </c>
      <c r="C50" s="9">
        <f t="shared" ref="C50" si="11">((B50-B49)/B49)*100</f>
        <v>0.75187969924812026</v>
      </c>
      <c r="E50" s="161">
        <v>45139</v>
      </c>
      <c r="F50" s="162">
        <f>'10_Assuntos_+_demadados_2023'!F$16</f>
        <v>119</v>
      </c>
      <c r="G50" s="9">
        <f t="shared" ref="G50" si="12">((F50-F49)/F49)*100</f>
        <v>14.423076923076922</v>
      </c>
    </row>
    <row r="51" spans="1:7" ht="15">
      <c r="A51" s="161">
        <v>45170</v>
      </c>
      <c r="B51" s="162"/>
      <c r="C51" s="9"/>
      <c r="E51" s="161">
        <v>45170</v>
      </c>
      <c r="F51" s="162"/>
      <c r="G51" s="9"/>
    </row>
    <row r="52" spans="1:7" ht="15">
      <c r="A52" s="161">
        <v>45200</v>
      </c>
      <c r="B52" s="162"/>
      <c r="C52" s="9"/>
      <c r="E52" s="161">
        <v>45200</v>
      </c>
      <c r="F52" s="162"/>
      <c r="G52" s="9"/>
    </row>
    <row r="53" spans="1:7" ht="15">
      <c r="A53" s="161">
        <v>45231</v>
      </c>
      <c r="B53" s="163"/>
      <c r="C53" s="9"/>
      <c r="E53" s="161">
        <v>45231</v>
      </c>
      <c r="F53" s="162"/>
      <c r="G53" s="9"/>
    </row>
    <row r="54" spans="1:7" ht="15.75" thickBot="1">
      <c r="A54" s="164">
        <v>45261</v>
      </c>
      <c r="B54" s="166"/>
      <c r="C54" s="19"/>
      <c r="E54" s="164">
        <v>45261</v>
      </c>
      <c r="F54" s="166"/>
      <c r="G54" s="19"/>
    </row>
    <row r="55" spans="1:7">
      <c r="B55" s="13"/>
      <c r="C55" s="13"/>
    </row>
    <row r="56" spans="1:7">
      <c r="B56" s="13"/>
      <c r="C56" s="13"/>
    </row>
    <row r="61" spans="1:7" ht="15">
      <c r="A61" s="1"/>
    </row>
    <row r="65" spans="17:17">
      <c r="Q65" s="132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/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221</v>
      </c>
      <c r="B4" s="1"/>
      <c r="C4" s="1"/>
    </row>
    <row r="5" spans="1:6" ht="15.75" thickBot="1"/>
    <row r="6" spans="1:6" ht="15.75" thickBot="1">
      <c r="A6" s="97" t="s">
        <v>24</v>
      </c>
      <c r="B6" s="169">
        <v>45139</v>
      </c>
      <c r="C6" s="170">
        <v>45108</v>
      </c>
      <c r="D6" s="170">
        <v>45078</v>
      </c>
      <c r="E6" s="65" t="s">
        <v>5</v>
      </c>
      <c r="F6" s="171" t="s">
        <v>6</v>
      </c>
    </row>
    <row r="7" spans="1:6" ht="15.75" thickBot="1">
      <c r="A7" s="679" t="s">
        <v>58</v>
      </c>
      <c r="B7" s="680">
        <v>489</v>
      </c>
      <c r="C7" s="681">
        <v>369</v>
      </c>
      <c r="D7" s="682">
        <v>727</v>
      </c>
      <c r="E7" s="172">
        <f>SUM(B7:D7)</f>
        <v>1585</v>
      </c>
      <c r="F7" s="173">
        <f t="shared" ref="F7:F17" si="0">AVERAGE(B7:D7)</f>
        <v>528.33333333333337</v>
      </c>
    </row>
    <row r="8" spans="1:6" ht="15.75" thickBot="1">
      <c r="A8" s="679" t="s">
        <v>56</v>
      </c>
      <c r="B8" s="680">
        <v>467</v>
      </c>
      <c r="C8" s="681">
        <v>523</v>
      </c>
      <c r="D8" s="682">
        <v>529</v>
      </c>
      <c r="E8" s="172">
        <f t="shared" ref="E8:E16" si="1">SUM(B8:D8)</f>
        <v>1519</v>
      </c>
      <c r="F8" s="173">
        <f t="shared" si="0"/>
        <v>506.33333333333331</v>
      </c>
    </row>
    <row r="9" spans="1:6" ht="15.75" thickBot="1">
      <c r="A9" s="679" t="s">
        <v>174</v>
      </c>
      <c r="B9" s="680">
        <v>351</v>
      </c>
      <c r="C9" s="681">
        <v>291</v>
      </c>
      <c r="D9" s="682">
        <v>320</v>
      </c>
      <c r="E9" s="172">
        <f t="shared" si="1"/>
        <v>962</v>
      </c>
      <c r="F9" s="173">
        <f t="shared" si="0"/>
        <v>320.66666666666669</v>
      </c>
    </row>
    <row r="10" spans="1:6" ht="15.75" thickBot="1">
      <c r="A10" s="679" t="s">
        <v>43</v>
      </c>
      <c r="B10" s="680">
        <v>298</v>
      </c>
      <c r="C10" s="681">
        <v>300</v>
      </c>
      <c r="D10" s="682">
        <v>282</v>
      </c>
      <c r="E10" s="172">
        <f t="shared" si="1"/>
        <v>880</v>
      </c>
      <c r="F10" s="173">
        <f t="shared" si="0"/>
        <v>293.33333333333331</v>
      </c>
    </row>
    <row r="11" spans="1:6" ht="15.75" thickBot="1">
      <c r="A11" s="683" t="s">
        <v>157</v>
      </c>
      <c r="B11" s="680">
        <v>207</v>
      </c>
      <c r="C11" s="681">
        <v>204</v>
      </c>
      <c r="D11" s="682">
        <v>171</v>
      </c>
      <c r="E11" s="172">
        <f t="shared" si="1"/>
        <v>582</v>
      </c>
      <c r="F11" s="173">
        <f t="shared" si="0"/>
        <v>194</v>
      </c>
    </row>
    <row r="12" spans="1:6" ht="15.75" thickBot="1">
      <c r="A12" s="679" t="s">
        <v>60</v>
      </c>
      <c r="B12" s="680">
        <v>146</v>
      </c>
      <c r="C12" s="681">
        <v>168</v>
      </c>
      <c r="D12" s="682">
        <v>153</v>
      </c>
      <c r="E12" s="172">
        <f t="shared" si="1"/>
        <v>467</v>
      </c>
      <c r="F12" s="174">
        <f t="shared" si="0"/>
        <v>155.66666666666666</v>
      </c>
    </row>
    <row r="13" spans="1:6" ht="15.75" thickBot="1">
      <c r="A13" s="679" t="s">
        <v>191</v>
      </c>
      <c r="B13" s="680">
        <v>176</v>
      </c>
      <c r="C13" s="681">
        <v>139</v>
      </c>
      <c r="D13" s="682">
        <v>137</v>
      </c>
      <c r="E13" s="172">
        <f t="shared" si="1"/>
        <v>452</v>
      </c>
      <c r="F13" s="173">
        <f t="shared" si="0"/>
        <v>150.66666666666666</v>
      </c>
    </row>
    <row r="14" spans="1:6" ht="15.75" thickBot="1">
      <c r="A14" s="679" t="s">
        <v>164</v>
      </c>
      <c r="B14" s="680">
        <v>140</v>
      </c>
      <c r="C14" s="681">
        <v>126</v>
      </c>
      <c r="D14" s="682">
        <v>137</v>
      </c>
      <c r="E14" s="172">
        <f t="shared" si="1"/>
        <v>403</v>
      </c>
      <c r="F14" s="173">
        <f t="shared" si="0"/>
        <v>134.33333333333334</v>
      </c>
    </row>
    <row r="15" spans="1:6" ht="15.75" thickBot="1">
      <c r="A15" s="679" t="s">
        <v>204</v>
      </c>
      <c r="B15" s="680">
        <v>134</v>
      </c>
      <c r="C15" s="681">
        <v>133</v>
      </c>
      <c r="D15" s="682">
        <v>118</v>
      </c>
      <c r="E15" s="172">
        <f t="shared" si="1"/>
        <v>385</v>
      </c>
      <c r="F15" s="173">
        <f t="shared" si="0"/>
        <v>128.33333333333334</v>
      </c>
    </row>
    <row r="16" spans="1:6" ht="15.75" thickBot="1">
      <c r="A16" s="679" t="s">
        <v>100</v>
      </c>
      <c r="B16" s="680">
        <v>122</v>
      </c>
      <c r="C16" s="681">
        <v>151</v>
      </c>
      <c r="D16" s="682">
        <v>104</v>
      </c>
      <c r="E16" s="172">
        <f t="shared" si="1"/>
        <v>377</v>
      </c>
      <c r="F16" s="173">
        <f t="shared" si="0"/>
        <v>125.66666666666667</v>
      </c>
    </row>
    <row r="17" spans="1:23" ht="15.75" thickBot="1">
      <c r="A17" s="175" t="s">
        <v>15</v>
      </c>
      <c r="B17" s="176">
        <f>SUM(B7:B16)</f>
        <v>2530</v>
      </c>
      <c r="C17" s="176">
        <f>SUM(C7:C16)</f>
        <v>2404</v>
      </c>
      <c r="D17" s="176">
        <f>SUM(D7:D16)</f>
        <v>2678</v>
      </c>
      <c r="E17" s="177">
        <f t="shared" ref="E17" si="2">SUM(B17:D17)</f>
        <v>7612</v>
      </c>
      <c r="F17" s="117">
        <f t="shared" si="0"/>
        <v>2537.3333333333335</v>
      </c>
    </row>
    <row r="19" spans="1:23">
      <c r="G19" s="2"/>
      <c r="H19" s="6"/>
      <c r="I19" s="178"/>
      <c r="J19" s="178"/>
      <c r="K19" s="178"/>
      <c r="L19" s="179"/>
    </row>
    <row r="20" spans="1:23">
      <c r="G20" s="2"/>
      <c r="I20" s="180"/>
      <c r="J20" s="129"/>
      <c r="K20" s="129"/>
      <c r="L20" s="180"/>
    </row>
    <row r="21" spans="1:23">
      <c r="G21" s="2"/>
      <c r="I21" s="180"/>
      <c r="K21" s="95"/>
      <c r="L21" s="95"/>
      <c r="M21" s="95"/>
      <c r="N21" s="181"/>
      <c r="O21" s="182"/>
    </row>
    <row r="22" spans="1:23">
      <c r="G22" s="2"/>
      <c r="I22" s="180"/>
      <c r="K22" s="94"/>
      <c r="L22" s="183"/>
      <c r="M22" s="183"/>
      <c r="N22" s="184"/>
      <c r="O22" s="183"/>
      <c r="P22" s="183"/>
      <c r="Q22" s="183"/>
      <c r="R22" s="183"/>
      <c r="S22" s="183"/>
      <c r="T22" s="183"/>
      <c r="U22" s="183"/>
      <c r="V22" s="183"/>
      <c r="W22" s="183"/>
    </row>
    <row r="23" spans="1:23">
      <c r="G23" s="2"/>
      <c r="I23" s="180"/>
      <c r="L23" s="95"/>
      <c r="M23" s="95"/>
      <c r="N23" s="95"/>
      <c r="O23" s="95"/>
      <c r="P23" s="95"/>
      <c r="Q23" s="95"/>
      <c r="R23" s="181"/>
      <c r="S23" s="181"/>
      <c r="T23" s="95"/>
      <c r="U23" s="95"/>
      <c r="V23" s="95"/>
      <c r="W23" s="95"/>
    </row>
    <row r="24" spans="1:23">
      <c r="G24" s="2"/>
      <c r="I24" s="180"/>
      <c r="L24" s="95"/>
      <c r="M24" s="95"/>
      <c r="N24" s="95"/>
      <c r="O24" s="95"/>
      <c r="P24" s="95"/>
      <c r="Q24" s="95"/>
      <c r="R24" s="181"/>
      <c r="S24" s="181"/>
      <c r="T24" s="95"/>
      <c r="U24" s="95"/>
      <c r="V24" s="95"/>
      <c r="W24" s="95"/>
    </row>
    <row r="25" spans="1:23">
      <c r="G25" s="2"/>
      <c r="I25" s="180"/>
      <c r="L25" s="95"/>
      <c r="M25" s="95"/>
      <c r="N25" s="95"/>
      <c r="O25" s="95"/>
      <c r="P25" s="95"/>
      <c r="Q25" s="95"/>
      <c r="R25" s="181"/>
      <c r="S25" s="181"/>
      <c r="T25" s="95"/>
      <c r="U25" s="95"/>
      <c r="V25" s="95"/>
      <c r="W25" s="95"/>
    </row>
    <row r="26" spans="1:23">
      <c r="G26" s="2"/>
      <c r="I26" s="180"/>
      <c r="L26" s="95"/>
      <c r="M26" s="95"/>
      <c r="N26" s="95"/>
      <c r="O26" s="95"/>
      <c r="P26" s="95"/>
      <c r="Q26" s="95"/>
      <c r="R26" s="181"/>
      <c r="S26" s="181"/>
      <c r="T26" s="95"/>
      <c r="U26" s="95"/>
      <c r="V26" s="95"/>
      <c r="W26" s="95"/>
    </row>
    <row r="27" spans="1:23">
      <c r="G27" s="2"/>
      <c r="I27" s="180"/>
      <c r="L27" s="95"/>
      <c r="M27" s="95"/>
      <c r="N27" s="95"/>
      <c r="O27" s="95"/>
      <c r="P27" s="95"/>
      <c r="Q27" s="95"/>
      <c r="R27" s="181"/>
      <c r="S27" s="181"/>
      <c r="T27" s="95"/>
      <c r="U27" s="95"/>
      <c r="V27" s="95"/>
      <c r="W27" s="95"/>
    </row>
    <row r="28" spans="1:23">
      <c r="G28" s="2"/>
      <c r="I28" s="180"/>
      <c r="L28" s="95"/>
      <c r="M28" s="95"/>
      <c r="N28" s="95"/>
      <c r="O28" s="95"/>
      <c r="P28" s="95"/>
      <c r="Q28" s="95"/>
      <c r="R28" s="181"/>
      <c r="S28" s="181"/>
      <c r="T28" s="95"/>
      <c r="U28" s="95"/>
      <c r="V28" s="95"/>
      <c r="W28" s="95"/>
    </row>
    <row r="29" spans="1:23">
      <c r="I29" s="180"/>
      <c r="L29" s="95"/>
      <c r="M29" s="95"/>
      <c r="N29" s="95"/>
      <c r="O29" s="95"/>
      <c r="P29" s="95"/>
      <c r="Q29" s="95"/>
      <c r="R29" s="181"/>
      <c r="S29" s="181"/>
      <c r="T29" s="95"/>
      <c r="U29" s="95"/>
      <c r="V29" s="95"/>
      <c r="W29" s="95"/>
    </row>
    <row r="30" spans="1:23">
      <c r="H30" s="123"/>
      <c r="I30" s="185"/>
      <c r="L30" s="95"/>
      <c r="M30" s="95"/>
      <c r="N30" s="95"/>
      <c r="O30" s="95"/>
      <c r="P30" s="95"/>
      <c r="Q30" s="95"/>
      <c r="R30" s="181"/>
      <c r="S30" s="181"/>
      <c r="T30" s="95"/>
      <c r="U30" s="95"/>
      <c r="V30" s="95"/>
      <c r="W30" s="95"/>
    </row>
    <row r="31" spans="1:23">
      <c r="L31" s="95"/>
      <c r="M31" s="95"/>
      <c r="N31" s="95"/>
      <c r="O31" s="95"/>
      <c r="P31" s="95"/>
      <c r="Q31" s="95"/>
      <c r="R31" s="181"/>
      <c r="S31" s="181"/>
      <c r="T31" s="95"/>
      <c r="U31" s="95"/>
      <c r="V31" s="95"/>
      <c r="W31" s="95"/>
    </row>
    <row r="32" spans="1:23">
      <c r="L32" s="95"/>
      <c r="M32" s="95"/>
      <c r="N32" s="95"/>
      <c r="O32" s="95"/>
      <c r="P32" s="95"/>
      <c r="Q32" s="95"/>
      <c r="R32" s="181"/>
      <c r="S32" s="181"/>
      <c r="T32" s="95"/>
      <c r="U32" s="95"/>
      <c r="V32" s="95"/>
      <c r="W32" s="95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 F7:F1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Normal="100" workbookViewId="0"/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186" customWidth="1"/>
    <col min="13" max="13" width="8.7109375" style="186" customWidth="1"/>
    <col min="14" max="14" width="7.7109375" style="186" customWidth="1"/>
    <col min="15" max="15" width="9.7109375" style="186" customWidth="1"/>
    <col min="16" max="16" width="8.42578125" style="186" customWidth="1"/>
    <col min="17" max="17" width="9.140625" style="186" customWidth="1"/>
    <col min="18" max="18" width="9.42578125" style="186" customWidth="1"/>
    <col min="19" max="19" width="9.85546875" style="186" customWidth="1"/>
    <col min="20" max="20" width="10.28515625" style="186" customWidth="1"/>
    <col min="21" max="21" width="8" style="186" customWidth="1"/>
    <col min="22" max="22" width="9.140625" style="186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" t="s">
        <v>457</v>
      </c>
    </row>
    <row r="5" spans="1:2" ht="15.75" thickBot="1"/>
    <row r="6" spans="1:2" ht="15.75" thickBot="1">
      <c r="A6" s="97" t="s">
        <v>24</v>
      </c>
      <c r="B6" s="187">
        <v>45139</v>
      </c>
    </row>
    <row r="7" spans="1:2">
      <c r="A7" s="104" t="s">
        <v>58</v>
      </c>
      <c r="B7" s="106">
        <v>489</v>
      </c>
    </row>
    <row r="8" spans="1:2">
      <c r="A8" s="188" t="s">
        <v>56</v>
      </c>
      <c r="B8" s="105">
        <v>467</v>
      </c>
    </row>
    <row r="9" spans="1:2">
      <c r="A9" s="108" t="s">
        <v>174</v>
      </c>
      <c r="B9" s="105">
        <v>351</v>
      </c>
    </row>
    <row r="10" spans="1:2">
      <c r="A10" s="108" t="s">
        <v>43</v>
      </c>
      <c r="B10" s="105">
        <v>298</v>
      </c>
    </row>
    <row r="11" spans="1:2">
      <c r="A11" s="108" t="s">
        <v>157</v>
      </c>
      <c r="B11" s="105">
        <v>207</v>
      </c>
    </row>
    <row r="12" spans="1:2">
      <c r="A12" s="108" t="s">
        <v>191</v>
      </c>
      <c r="B12" s="105">
        <v>176</v>
      </c>
    </row>
    <row r="13" spans="1:2">
      <c r="A13" s="108" t="s">
        <v>60</v>
      </c>
      <c r="B13" s="105">
        <v>146</v>
      </c>
    </row>
    <row r="14" spans="1:2">
      <c r="A14" s="108" t="s">
        <v>164</v>
      </c>
      <c r="B14" s="105">
        <v>140</v>
      </c>
    </row>
    <row r="15" spans="1:2">
      <c r="A15" s="108" t="s">
        <v>204</v>
      </c>
      <c r="B15" s="105">
        <v>134</v>
      </c>
    </row>
    <row r="16" spans="1:2" ht="15.75" thickBot="1">
      <c r="A16" s="112" t="s">
        <v>100</v>
      </c>
      <c r="B16" s="113">
        <v>122</v>
      </c>
    </row>
    <row r="17" spans="1:25" s="107" customFormat="1" ht="15.75" thickBot="1">
      <c r="A17" s="189" t="s">
        <v>5</v>
      </c>
      <c r="B17" s="190">
        <f>SUM(B7:B16)</f>
        <v>2530</v>
      </c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5" s="107" customFormat="1">
      <c r="A18" s="732"/>
      <c r="B18" s="733"/>
      <c r="C18" s="734"/>
      <c r="D18" s="734"/>
      <c r="E18" s="734"/>
      <c r="F18" s="734"/>
      <c r="G18" s="734"/>
      <c r="H18" s="734"/>
      <c r="I18" s="734"/>
      <c r="J18" s="734"/>
      <c r="K18" s="734"/>
      <c r="L18" s="734"/>
      <c r="M18" s="734"/>
      <c r="N18" s="191"/>
      <c r="O18" s="191"/>
      <c r="P18" s="191"/>
      <c r="Q18" s="191"/>
      <c r="R18" s="191"/>
      <c r="S18" s="191"/>
      <c r="T18" s="191"/>
      <c r="U18" s="191"/>
      <c r="V18" s="191"/>
    </row>
    <row r="19" spans="1:25">
      <c r="A19" s="688"/>
      <c r="B19" s="695"/>
      <c r="C19" s="695"/>
      <c r="D19" s="695"/>
      <c r="E19" s="695"/>
      <c r="F19" s="695"/>
      <c r="G19" s="695"/>
      <c r="H19" s="695"/>
      <c r="I19" s="695"/>
      <c r="J19" s="695"/>
      <c r="K19" s="695"/>
      <c r="L19" s="695"/>
      <c r="M19" s="695"/>
      <c r="N19"/>
      <c r="O19"/>
      <c r="P19"/>
      <c r="Q19"/>
      <c r="R19"/>
    </row>
    <row r="20" spans="1:25">
      <c r="A20" s="688"/>
      <c r="B20" s="695"/>
      <c r="C20" s="695"/>
      <c r="D20" s="695"/>
      <c r="E20" s="695"/>
      <c r="F20" s="695"/>
      <c r="G20" s="695"/>
      <c r="H20" s="695"/>
      <c r="I20" s="695"/>
      <c r="J20" s="695"/>
      <c r="K20" s="695"/>
      <c r="L20" s="695"/>
      <c r="M20" s="695"/>
      <c r="N20" s="193"/>
      <c r="O20" s="193"/>
      <c r="P20"/>
      <c r="Q20"/>
      <c r="R20"/>
    </row>
    <row r="21" spans="1:25" ht="15" customHeight="1">
      <c r="A21" s="688"/>
      <c r="B21" s="695"/>
      <c r="C21" s="695"/>
      <c r="D21" s="695"/>
      <c r="E21" s="695"/>
      <c r="F21" s="695"/>
      <c r="G21" s="695"/>
      <c r="H21" s="695"/>
      <c r="I21" s="695"/>
      <c r="J21" s="695"/>
      <c r="K21" s="695"/>
      <c r="L21" s="695"/>
      <c r="M21" s="695"/>
      <c r="N21" s="695"/>
      <c r="O21" s="193"/>
      <c r="P21" s="193"/>
      <c r="Q21" s="193"/>
      <c r="R21" s="193"/>
      <c r="S21" s="193"/>
      <c r="U21"/>
      <c r="V21"/>
    </row>
    <row r="22" spans="1:25" s="695" customFormat="1" ht="15" customHeight="1">
      <c r="A22" s="688"/>
      <c r="O22" s="193"/>
    </row>
    <row r="23" spans="1:25" s="695" customFormat="1" ht="70.5" customHeight="1">
      <c r="A23" s="688"/>
      <c r="O23" s="193"/>
    </row>
    <row r="24" spans="1:25" s="695" customFormat="1">
      <c r="B24" s="695" t="str">
        <f>A7</f>
        <v>Cadastro Único (CadÚnico)</v>
      </c>
      <c r="C24" s="695" t="str">
        <f>A8</f>
        <v>Buraco e pavimentação</v>
      </c>
      <c r="D24" s="695" t="str">
        <f>A9</f>
        <v>Qualidade de atendimento</v>
      </c>
      <c r="E24" s="695" t="str">
        <f>A10</f>
        <v>Árvore</v>
      </c>
      <c r="F24" s="695" t="str">
        <f>A11</f>
        <v>Poluição sonora - PSIU</v>
      </c>
      <c r="G24" s="695" t="str">
        <f>A12</f>
        <v>Sinalização e Circulação de veículos e Pedestres</v>
      </c>
      <c r="H24" s="695" t="str">
        <f>A13</f>
        <v>Calçadas, guias e postes</v>
      </c>
      <c r="I24" s="695" t="str">
        <f>A14</f>
        <v>Processo Administrativo</v>
      </c>
      <c r="J24" s="695" t="str">
        <f>A15</f>
        <v>Veículos abandonados</v>
      </c>
      <c r="K24" s="695" t="str">
        <f>A16</f>
        <v>Estabelecimentos comerciais, indústrias e serviços</v>
      </c>
      <c r="L24" s="695" t="s">
        <v>5</v>
      </c>
      <c r="N24" s="698"/>
      <c r="O24" s="644"/>
      <c r="P24" s="698"/>
      <c r="Q24" s="698"/>
      <c r="R24" s="698"/>
      <c r="S24" s="698"/>
      <c r="T24" s="699"/>
      <c r="U24" s="699"/>
      <c r="V24" s="698"/>
      <c r="W24" s="698"/>
      <c r="X24" s="698"/>
      <c r="Y24" s="698"/>
    </row>
    <row r="25" spans="1:25" s="695" customFormat="1">
      <c r="B25" s="695">
        <f>B7</f>
        <v>489</v>
      </c>
      <c r="C25" s="695">
        <f>B8</f>
        <v>467</v>
      </c>
      <c r="D25" s="695">
        <f>B9</f>
        <v>351</v>
      </c>
      <c r="E25" s="695">
        <f>B10</f>
        <v>298</v>
      </c>
      <c r="F25" s="695">
        <f>B11</f>
        <v>207</v>
      </c>
      <c r="G25" s="695">
        <f>B12</f>
        <v>176</v>
      </c>
      <c r="H25" s="695">
        <f>B13</f>
        <v>146</v>
      </c>
      <c r="I25" s="695">
        <f>B14</f>
        <v>140</v>
      </c>
      <c r="J25" s="695">
        <f>B15</f>
        <v>134</v>
      </c>
      <c r="K25" s="695">
        <f>B16</f>
        <v>122</v>
      </c>
      <c r="N25" s="698"/>
      <c r="O25" s="644"/>
      <c r="P25" s="698"/>
      <c r="Q25" s="698"/>
      <c r="R25" s="698"/>
      <c r="S25" s="698"/>
      <c r="T25" s="699"/>
      <c r="U25" s="699"/>
      <c r="V25" s="698"/>
      <c r="W25" s="698"/>
      <c r="X25" s="698"/>
      <c r="Y25" s="698"/>
    </row>
    <row r="26" spans="1:25" s="695" customFormat="1">
      <c r="L26" s="695">
        <v>4895</v>
      </c>
      <c r="N26" s="698"/>
      <c r="O26" s="644"/>
      <c r="P26" s="698"/>
      <c r="Q26" s="698"/>
      <c r="R26" s="698"/>
      <c r="S26" s="698"/>
      <c r="T26" s="699"/>
      <c r="U26" s="699"/>
      <c r="V26" s="698"/>
      <c r="W26" s="698"/>
      <c r="X26" s="698"/>
      <c r="Y26" s="698"/>
    </row>
    <row r="27" spans="1:25" s="186" customFormat="1">
      <c r="A27" s="695"/>
      <c r="B27" s="695"/>
      <c r="C27" s="695"/>
      <c r="D27" s="695"/>
      <c r="E27" s="695"/>
      <c r="F27" s="695"/>
      <c r="G27" s="695"/>
      <c r="H27" s="695"/>
      <c r="I27" s="695"/>
      <c r="J27" s="695"/>
      <c r="K27" s="695"/>
      <c r="L27" s="695"/>
      <c r="M27" s="695"/>
      <c r="N27" s="698"/>
      <c r="O27" s="644"/>
      <c r="P27" s="644"/>
      <c r="Q27" s="644"/>
      <c r="R27" s="644"/>
      <c r="S27" s="194"/>
      <c r="T27" s="195"/>
      <c r="U27" s="195"/>
      <c r="V27" s="194"/>
      <c r="W27" s="194"/>
      <c r="X27" s="194"/>
      <c r="Y27" s="194"/>
    </row>
    <row r="28" spans="1:25" s="186" customFormat="1">
      <c r="A28" s="695"/>
      <c r="B28" s="695"/>
      <c r="C28" s="695"/>
      <c r="D28" s="695"/>
      <c r="E28" s="695"/>
      <c r="F28" s="695"/>
      <c r="G28" s="695"/>
      <c r="H28" s="695"/>
      <c r="I28" s="695"/>
      <c r="J28" s="695"/>
      <c r="K28" s="695"/>
      <c r="L28" s="695"/>
      <c r="M28" s="695"/>
      <c r="N28" s="698"/>
      <c r="O28" s="644"/>
      <c r="P28" s="644"/>
      <c r="Q28" s="644"/>
      <c r="R28" s="644"/>
      <c r="S28" s="194"/>
      <c r="T28" s="195"/>
      <c r="U28" s="195"/>
      <c r="V28" s="194"/>
      <c r="W28" s="194"/>
      <c r="X28" s="194"/>
      <c r="Y28" s="194"/>
    </row>
    <row r="29" spans="1:25" s="186" customFormat="1">
      <c r="A29" s="695"/>
      <c r="B29" s="695"/>
      <c r="C29" s="695"/>
      <c r="D29" s="695"/>
      <c r="E29" s="695"/>
      <c r="F29" s="695"/>
      <c r="G29" s="695"/>
      <c r="H29" s="695"/>
      <c r="I29" s="695"/>
      <c r="J29" s="695"/>
      <c r="K29" s="695"/>
      <c r="L29" s="695"/>
      <c r="M29" s="695"/>
      <c r="N29" s="698"/>
      <c r="O29" s="644"/>
      <c r="P29" s="644"/>
      <c r="Q29" s="644"/>
      <c r="R29" s="644"/>
      <c r="S29" s="194"/>
      <c r="T29" s="195"/>
      <c r="U29" s="195"/>
      <c r="V29" s="194"/>
      <c r="W29" s="194"/>
      <c r="X29" s="194"/>
      <c r="Y29" s="194"/>
    </row>
    <row r="30" spans="1:25" s="186" customFormat="1">
      <c r="A30" s="798"/>
      <c r="B30" s="798"/>
      <c r="C30" s="798"/>
      <c r="D30" s="798"/>
      <c r="E30" s="798"/>
      <c r="F30" s="798"/>
      <c r="G30" s="798"/>
      <c r="H30" s="798"/>
      <c r="I30" s="798"/>
      <c r="J30" s="798"/>
      <c r="K30" s="798"/>
      <c r="L30" s="798"/>
      <c r="M30" s="798"/>
      <c r="N30" s="193"/>
      <c r="O30" s="193"/>
      <c r="P30" s="193"/>
      <c r="Q30" s="193"/>
      <c r="R30" s="193"/>
    </row>
    <row r="31" spans="1:25" s="186" customFormat="1">
      <c r="A31" s="798"/>
      <c r="B31" s="798"/>
      <c r="C31" s="798"/>
      <c r="D31" s="798"/>
      <c r="E31" s="798"/>
      <c r="F31" s="798"/>
      <c r="G31" s="798"/>
      <c r="H31" s="798"/>
      <c r="I31" s="798"/>
      <c r="J31" s="798"/>
      <c r="K31" s="798"/>
      <c r="L31" s="798"/>
      <c r="M31" s="798"/>
      <c r="N31" s="193"/>
      <c r="O31" s="193"/>
      <c r="P31" s="193"/>
      <c r="Q31" s="193"/>
      <c r="R31" s="193"/>
    </row>
    <row r="32" spans="1:25" s="186" customFormat="1">
      <c r="A32" s="798"/>
      <c r="B32" s="798"/>
      <c r="C32" s="798"/>
      <c r="D32" s="798"/>
      <c r="E32" s="798"/>
      <c r="F32" s="798"/>
      <c r="G32" s="798"/>
      <c r="H32" s="798"/>
      <c r="I32" s="798"/>
      <c r="J32" s="798"/>
      <c r="K32" s="798"/>
      <c r="L32" s="798"/>
      <c r="M32" s="798"/>
      <c r="N32"/>
      <c r="O32"/>
      <c r="P32"/>
      <c r="Q32"/>
      <c r="R32"/>
    </row>
    <row r="33" spans="1:22" s="186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22" s="186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22" s="186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22" s="186" customFormat="1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/>
      <c r="M36"/>
      <c r="N36"/>
      <c r="O36"/>
      <c r="P36"/>
    </row>
    <row r="37" spans="1:22" s="186" customFormat="1">
      <c r="A37" s="193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/>
      <c r="M37"/>
      <c r="N37"/>
      <c r="O37"/>
      <c r="P37"/>
    </row>
    <row r="38" spans="1:22" s="186" customFormat="1">
      <c r="A38" s="193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/>
      <c r="M38"/>
      <c r="N38"/>
      <c r="O38"/>
      <c r="P38"/>
    </row>
    <row r="39" spans="1:22" s="186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186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186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186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186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/>
  </sheetViews>
  <sheetFormatPr defaultColWidth="5.5703125" defaultRowHeight="14.25"/>
  <cols>
    <col min="1" max="1" width="68.85546875" style="149" customWidth="1"/>
    <col min="2" max="2" width="7.5703125" style="150" bestFit="1" customWidth="1"/>
    <col min="3" max="3" width="7.7109375" style="150" bestFit="1" customWidth="1"/>
    <col min="4" max="4" width="7.140625" style="150" bestFit="1" customWidth="1"/>
    <col min="5" max="5" width="7" style="150" bestFit="1" customWidth="1"/>
    <col min="6" max="6" width="7.5703125" style="150" bestFit="1" customWidth="1"/>
    <col min="7" max="7" width="6.7109375" style="134" bestFit="1" customWidth="1"/>
    <col min="8" max="8" width="7" style="150" bestFit="1" customWidth="1"/>
    <col min="9" max="9" width="7.28515625" style="150" bestFit="1" customWidth="1"/>
    <col min="10" max="10" width="7.140625" style="150" bestFit="1" customWidth="1"/>
    <col min="11" max="11" width="7.5703125" style="150" bestFit="1" customWidth="1"/>
    <col min="12" max="12" width="7.140625" style="151" bestFit="1" customWidth="1"/>
    <col min="13" max="13" width="7.85546875" style="150" customWidth="1"/>
    <col min="14" max="14" width="9.7109375" style="150" customWidth="1"/>
    <col min="15" max="236" width="9.140625" style="13" customWidth="1"/>
    <col min="237" max="237" width="58.28515625" style="13" customWidth="1"/>
    <col min="238" max="238" width="3.7109375" style="13" bestFit="1" customWidth="1"/>
    <col min="239" max="239" width="5.5703125" style="13" bestFit="1" customWidth="1"/>
    <col min="240" max="240" width="5.5703125" style="13" customWidth="1"/>
    <col min="241" max="16384" width="5.5703125" style="13"/>
  </cols>
  <sheetData>
    <row r="1" spans="1:16" customFormat="1" ht="15">
      <c r="A1" s="1" t="s">
        <v>0</v>
      </c>
      <c r="B1" s="196"/>
      <c r="C1" s="196"/>
      <c r="D1" s="196"/>
      <c r="E1" s="196"/>
      <c r="F1" s="196"/>
      <c r="G1" s="131"/>
      <c r="H1" s="196"/>
      <c r="I1" s="196"/>
      <c r="J1" s="196"/>
      <c r="K1" s="196"/>
      <c r="L1" s="150"/>
      <c r="M1" s="151"/>
      <c r="N1" s="151"/>
      <c r="O1" s="13"/>
      <c r="P1" s="13"/>
    </row>
    <row r="2" spans="1:16" customFormat="1" ht="15">
      <c r="A2" s="197" t="s">
        <v>1</v>
      </c>
      <c r="B2" s="6"/>
      <c r="C2" s="6"/>
      <c r="D2" s="6"/>
      <c r="E2" s="6"/>
      <c r="F2" s="6"/>
      <c r="G2" s="94"/>
      <c r="H2" s="6"/>
      <c r="I2" s="6"/>
      <c r="J2" s="6"/>
      <c r="K2" s="6"/>
      <c r="L2" s="150"/>
      <c r="M2" s="151"/>
      <c r="N2" s="151"/>
      <c r="O2" s="13"/>
      <c r="P2" s="13"/>
    </row>
    <row r="3" spans="1:16" customFormat="1" ht="15.75" thickBot="1">
      <c r="A3" s="149"/>
      <c r="B3" s="150"/>
      <c r="C3" s="150"/>
      <c r="D3" s="150"/>
      <c r="E3" s="150"/>
      <c r="F3" s="150"/>
      <c r="G3" s="134"/>
      <c r="H3" s="150"/>
      <c r="I3" s="150"/>
      <c r="J3" s="150"/>
      <c r="K3" s="150"/>
      <c r="L3" s="150"/>
      <c r="M3" s="151"/>
      <c r="N3" s="151"/>
      <c r="O3" s="13"/>
      <c r="P3" s="13"/>
    </row>
    <row r="4" spans="1:16" customFormat="1" ht="15.75" thickBot="1">
      <c r="A4" s="198" t="s">
        <v>213</v>
      </c>
      <c r="B4" s="28">
        <v>45261</v>
      </c>
      <c r="C4" s="25">
        <v>45231</v>
      </c>
      <c r="D4" s="28">
        <v>45200</v>
      </c>
      <c r="E4" s="26">
        <v>45170</v>
      </c>
      <c r="F4" s="65">
        <v>45139</v>
      </c>
      <c r="G4" s="65">
        <v>45108</v>
      </c>
      <c r="H4" s="65">
        <v>45078</v>
      </c>
      <c r="I4" s="199">
        <v>45047</v>
      </c>
      <c r="J4" s="187">
        <v>45017</v>
      </c>
      <c r="K4" s="187">
        <v>44986</v>
      </c>
      <c r="L4" s="187">
        <v>44958</v>
      </c>
      <c r="M4" s="187">
        <v>44927</v>
      </c>
      <c r="N4" s="200" t="s">
        <v>5</v>
      </c>
      <c r="O4" s="201" t="s">
        <v>6</v>
      </c>
      <c r="P4" s="62" t="s">
        <v>25</v>
      </c>
    </row>
    <row r="5" spans="1:16" customFormat="1" ht="15">
      <c r="A5" s="202" t="s">
        <v>222</v>
      </c>
      <c r="B5" s="203"/>
      <c r="C5" s="204"/>
      <c r="D5" s="33"/>
      <c r="E5" s="33"/>
      <c r="F5" s="33">
        <v>71</v>
      </c>
      <c r="G5" s="33">
        <v>84</v>
      </c>
      <c r="H5" s="34">
        <v>72</v>
      </c>
      <c r="I5" s="33">
        <v>66</v>
      </c>
      <c r="J5" s="35">
        <v>57</v>
      </c>
      <c r="K5" s="35">
        <v>140</v>
      </c>
      <c r="L5" s="35">
        <v>99</v>
      </c>
      <c r="M5" s="35">
        <v>68</v>
      </c>
      <c r="N5" s="205">
        <f t="shared" ref="N5:N36" si="0">SUM(B5:M5)</f>
        <v>657</v>
      </c>
      <c r="O5" s="206">
        <f t="shared" ref="O5:O36" si="1">AVERAGE(B5:M5)</f>
        <v>82.125</v>
      </c>
      <c r="P5" s="207">
        <f>(N5/$N$72)*100</f>
        <v>1.6958339786278458</v>
      </c>
    </row>
    <row r="6" spans="1:16" customFormat="1" ht="15">
      <c r="A6" s="208" t="s">
        <v>223</v>
      </c>
      <c r="B6" s="209"/>
      <c r="C6" s="154"/>
      <c r="D6" s="35"/>
      <c r="E6" s="35"/>
      <c r="F6" s="35">
        <v>0</v>
      </c>
      <c r="G6" s="45">
        <v>0</v>
      </c>
      <c r="H6" s="46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210">
        <f t="shared" si="0"/>
        <v>0</v>
      </c>
      <c r="O6" s="206">
        <f t="shared" si="1"/>
        <v>0</v>
      </c>
      <c r="P6" s="207">
        <f t="shared" ref="P6:P36" si="2">(N6/$N$72)*100</f>
        <v>0</v>
      </c>
    </row>
    <row r="7" spans="1:16" customFormat="1" ht="15">
      <c r="A7" s="208" t="s">
        <v>224</v>
      </c>
      <c r="B7" s="211"/>
      <c r="C7" s="154"/>
      <c r="D7" s="45"/>
      <c r="E7" s="45"/>
      <c r="F7" s="45">
        <v>324</v>
      </c>
      <c r="G7" s="45">
        <v>244</v>
      </c>
      <c r="H7" s="46">
        <v>272</v>
      </c>
      <c r="I7" s="45">
        <v>279</v>
      </c>
      <c r="J7" s="45">
        <v>231</v>
      </c>
      <c r="K7" s="45">
        <v>299</v>
      </c>
      <c r="L7" s="45">
        <v>330</v>
      </c>
      <c r="M7" s="45">
        <v>327</v>
      </c>
      <c r="N7" s="210">
        <f t="shared" si="0"/>
        <v>2306</v>
      </c>
      <c r="O7" s="206">
        <f t="shared" si="1"/>
        <v>288.25</v>
      </c>
      <c r="P7" s="207">
        <f t="shared" si="2"/>
        <v>5.9521965825202621</v>
      </c>
    </row>
    <row r="8" spans="1:16" customFormat="1" ht="15">
      <c r="A8" s="208" t="s">
        <v>225</v>
      </c>
      <c r="B8" s="211"/>
      <c r="C8" s="154"/>
      <c r="D8" s="45"/>
      <c r="E8" s="45"/>
      <c r="F8" s="45">
        <v>6</v>
      </c>
      <c r="G8" s="45">
        <v>14</v>
      </c>
      <c r="H8" s="46">
        <v>4</v>
      </c>
      <c r="I8" s="45">
        <v>5</v>
      </c>
      <c r="J8" s="45">
        <v>5</v>
      </c>
      <c r="K8" s="45">
        <v>4</v>
      </c>
      <c r="L8" s="45">
        <v>8</v>
      </c>
      <c r="M8" s="45">
        <v>12</v>
      </c>
      <c r="N8" s="210">
        <f t="shared" si="0"/>
        <v>58</v>
      </c>
      <c r="O8" s="206">
        <f t="shared" si="1"/>
        <v>7.25</v>
      </c>
      <c r="P8" s="207">
        <f t="shared" si="2"/>
        <v>0.14970832688038821</v>
      </c>
    </row>
    <row r="9" spans="1:16" customFormat="1" ht="15">
      <c r="A9" s="208" t="s">
        <v>226</v>
      </c>
      <c r="B9" s="211"/>
      <c r="C9" s="154"/>
      <c r="D9" s="45"/>
      <c r="E9" s="45"/>
      <c r="F9" s="45">
        <v>29</v>
      </c>
      <c r="G9" s="45">
        <v>40</v>
      </c>
      <c r="H9" s="46">
        <v>37</v>
      </c>
      <c r="I9" s="45">
        <v>24</v>
      </c>
      <c r="J9" s="45">
        <v>22</v>
      </c>
      <c r="K9" s="45">
        <v>22</v>
      </c>
      <c r="L9" s="45">
        <v>45</v>
      </c>
      <c r="M9" s="45">
        <v>35</v>
      </c>
      <c r="N9" s="210">
        <f t="shared" si="0"/>
        <v>254</v>
      </c>
      <c r="O9" s="206">
        <f t="shared" si="1"/>
        <v>31.75</v>
      </c>
      <c r="P9" s="207">
        <f t="shared" si="2"/>
        <v>0.65561922461411382</v>
      </c>
    </row>
    <row r="10" spans="1:16" customFormat="1" ht="15">
      <c r="A10" s="208" t="s">
        <v>227</v>
      </c>
      <c r="B10" s="211"/>
      <c r="C10" s="154"/>
      <c r="D10" s="45"/>
      <c r="E10" s="45"/>
      <c r="F10" s="45">
        <v>0</v>
      </c>
      <c r="G10" s="45">
        <v>0</v>
      </c>
      <c r="H10" s="46">
        <v>2</v>
      </c>
      <c r="I10" s="45">
        <v>0</v>
      </c>
      <c r="J10" s="45">
        <v>6</v>
      </c>
      <c r="K10" s="45">
        <v>6</v>
      </c>
      <c r="L10" s="45">
        <v>5</v>
      </c>
      <c r="M10" s="45">
        <v>0</v>
      </c>
      <c r="N10" s="210">
        <f t="shared" si="0"/>
        <v>19</v>
      </c>
      <c r="O10" s="206">
        <f t="shared" si="1"/>
        <v>2.375</v>
      </c>
      <c r="P10" s="207">
        <f t="shared" si="2"/>
        <v>4.9042382943575449E-2</v>
      </c>
    </row>
    <row r="11" spans="1:16" customFormat="1" ht="15">
      <c r="A11" s="208" t="s">
        <v>147</v>
      </c>
      <c r="B11" s="211"/>
      <c r="C11" s="154"/>
      <c r="D11" s="45"/>
      <c r="E11" s="45"/>
      <c r="F11" s="45">
        <v>120</v>
      </c>
      <c r="G11" s="45">
        <v>118</v>
      </c>
      <c r="H11" s="46">
        <v>82</v>
      </c>
      <c r="I11" s="45">
        <v>107</v>
      </c>
      <c r="J11" s="45">
        <v>76</v>
      </c>
      <c r="K11" s="45">
        <v>89</v>
      </c>
      <c r="L11" s="45">
        <v>72</v>
      </c>
      <c r="M11" s="45">
        <v>84</v>
      </c>
      <c r="N11" s="210">
        <f t="shared" si="0"/>
        <v>748</v>
      </c>
      <c r="O11" s="206">
        <f t="shared" si="1"/>
        <v>93.5</v>
      </c>
      <c r="P11" s="207">
        <f t="shared" si="2"/>
        <v>1.9307211811470757</v>
      </c>
    </row>
    <row r="12" spans="1:16" customFormat="1" ht="15">
      <c r="A12" s="208" t="s">
        <v>228</v>
      </c>
      <c r="B12" s="211"/>
      <c r="C12" s="154"/>
      <c r="D12" s="45"/>
      <c r="E12" s="45"/>
      <c r="F12" s="45">
        <v>36</v>
      </c>
      <c r="G12" s="45">
        <v>45</v>
      </c>
      <c r="H12" s="45">
        <v>22</v>
      </c>
      <c r="I12" s="45">
        <v>21</v>
      </c>
      <c r="J12" s="45">
        <v>21</v>
      </c>
      <c r="K12" s="45">
        <v>38</v>
      </c>
      <c r="L12" s="45">
        <v>40</v>
      </c>
      <c r="M12" s="45">
        <v>33</v>
      </c>
      <c r="N12" s="210">
        <f t="shared" si="0"/>
        <v>256</v>
      </c>
      <c r="O12" s="206">
        <f t="shared" si="1"/>
        <v>32</v>
      </c>
      <c r="P12" s="207">
        <f t="shared" si="2"/>
        <v>0.66078158071343762</v>
      </c>
    </row>
    <row r="13" spans="1:16" customFormat="1" ht="15">
      <c r="A13" s="208" t="s">
        <v>229</v>
      </c>
      <c r="B13" s="211"/>
      <c r="C13" s="154"/>
      <c r="D13" s="45"/>
      <c r="E13" s="45"/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210">
        <f t="shared" si="0"/>
        <v>0</v>
      </c>
      <c r="O13" s="206">
        <f t="shared" si="1"/>
        <v>0</v>
      </c>
      <c r="P13" s="207">
        <f t="shared" si="2"/>
        <v>0</v>
      </c>
    </row>
    <row r="14" spans="1:16" customFormat="1" ht="15">
      <c r="A14" s="208" t="s">
        <v>230</v>
      </c>
      <c r="B14" s="211"/>
      <c r="C14" s="154"/>
      <c r="D14" s="45"/>
      <c r="E14" s="45"/>
      <c r="F14" s="45">
        <v>261</v>
      </c>
      <c r="G14" s="45">
        <v>207</v>
      </c>
      <c r="H14" s="45">
        <v>210</v>
      </c>
      <c r="I14" s="45">
        <v>285</v>
      </c>
      <c r="J14" s="45">
        <v>238</v>
      </c>
      <c r="K14" s="45">
        <v>333</v>
      </c>
      <c r="L14" s="45">
        <v>204</v>
      </c>
      <c r="M14" s="45">
        <v>140</v>
      </c>
      <c r="N14" s="210">
        <f t="shared" si="0"/>
        <v>1878</v>
      </c>
      <c r="O14" s="206">
        <f t="shared" si="1"/>
        <v>234.75</v>
      </c>
      <c r="P14" s="207">
        <f t="shared" si="2"/>
        <v>4.8474523772649842</v>
      </c>
    </row>
    <row r="15" spans="1:16" customFormat="1" ht="15">
      <c r="A15" s="208" t="s">
        <v>231</v>
      </c>
      <c r="B15" s="211"/>
      <c r="C15" s="154"/>
      <c r="D15" s="45"/>
      <c r="E15" s="45"/>
      <c r="F15" s="45">
        <v>0</v>
      </c>
      <c r="G15" s="45">
        <v>0</v>
      </c>
      <c r="H15" s="46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210">
        <f t="shared" si="0"/>
        <v>0</v>
      </c>
      <c r="O15" s="206">
        <f t="shared" si="1"/>
        <v>0</v>
      </c>
      <c r="P15" s="207">
        <f t="shared" si="2"/>
        <v>0</v>
      </c>
    </row>
    <row r="16" spans="1:16" customFormat="1" ht="15">
      <c r="A16" s="208" t="s">
        <v>232</v>
      </c>
      <c r="B16" s="211"/>
      <c r="C16" s="154"/>
      <c r="D16" s="45"/>
      <c r="E16" s="45"/>
      <c r="F16" s="45">
        <v>0</v>
      </c>
      <c r="G16" s="45">
        <v>0</v>
      </c>
      <c r="H16" s="45">
        <v>1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210">
        <f t="shared" si="0"/>
        <v>1</v>
      </c>
      <c r="O16" s="206">
        <f t="shared" si="1"/>
        <v>0.125</v>
      </c>
      <c r="P16" s="207">
        <f t="shared" si="2"/>
        <v>2.5811780496618657E-3</v>
      </c>
    </row>
    <row r="17" spans="1:16" customFormat="1" ht="15" customHeight="1">
      <c r="A17" s="208" t="s">
        <v>233</v>
      </c>
      <c r="B17" s="211"/>
      <c r="C17" s="154"/>
      <c r="D17" s="45"/>
      <c r="E17" s="45"/>
      <c r="F17" s="45">
        <v>5</v>
      </c>
      <c r="G17" s="45">
        <v>4</v>
      </c>
      <c r="H17" s="45">
        <v>1</v>
      </c>
      <c r="I17" s="45">
        <v>9</v>
      </c>
      <c r="J17" s="45">
        <v>6</v>
      </c>
      <c r="K17" s="45">
        <v>5</v>
      </c>
      <c r="L17" s="45">
        <v>3</v>
      </c>
      <c r="M17" s="45">
        <v>2</v>
      </c>
      <c r="N17" s="210">
        <f t="shared" si="0"/>
        <v>35</v>
      </c>
      <c r="O17" s="206">
        <f t="shared" si="1"/>
        <v>4.375</v>
      </c>
      <c r="P17" s="207">
        <f t="shared" si="2"/>
        <v>9.0341231738165301E-2</v>
      </c>
    </row>
    <row r="18" spans="1:16" customFormat="1" ht="15">
      <c r="A18" s="208" t="s">
        <v>234</v>
      </c>
      <c r="B18" s="211"/>
      <c r="C18" s="154"/>
      <c r="D18" s="45"/>
      <c r="E18" s="45"/>
      <c r="F18" s="45">
        <v>222</v>
      </c>
      <c r="G18" s="45">
        <v>174</v>
      </c>
      <c r="H18" s="45">
        <v>272</v>
      </c>
      <c r="I18" s="45">
        <v>269</v>
      </c>
      <c r="J18" s="45">
        <v>247</v>
      </c>
      <c r="K18" s="45">
        <v>318</v>
      </c>
      <c r="L18" s="45">
        <v>286</v>
      </c>
      <c r="M18" s="45">
        <v>247</v>
      </c>
      <c r="N18" s="210">
        <f t="shared" si="0"/>
        <v>2035</v>
      </c>
      <c r="O18" s="206">
        <f t="shared" si="1"/>
        <v>254.375</v>
      </c>
      <c r="P18" s="207">
        <f t="shared" si="2"/>
        <v>5.2526973310618965</v>
      </c>
    </row>
    <row r="19" spans="1:16" customFormat="1" ht="15">
      <c r="A19" s="208" t="s">
        <v>235</v>
      </c>
      <c r="B19" s="211"/>
      <c r="C19" s="154"/>
      <c r="D19" s="45"/>
      <c r="E19" s="45"/>
      <c r="F19" s="45">
        <v>263</v>
      </c>
      <c r="G19" s="45">
        <v>298</v>
      </c>
      <c r="H19" s="45">
        <v>242</v>
      </c>
      <c r="I19" s="45">
        <v>278</v>
      </c>
      <c r="J19" s="45">
        <v>222</v>
      </c>
      <c r="K19" s="45">
        <v>306</v>
      </c>
      <c r="L19" s="45">
        <v>292</v>
      </c>
      <c r="M19" s="45">
        <v>328</v>
      </c>
      <c r="N19" s="210">
        <f t="shared" si="0"/>
        <v>2229</v>
      </c>
      <c r="O19" s="206">
        <f t="shared" si="1"/>
        <v>278.625</v>
      </c>
      <c r="P19" s="207">
        <f t="shared" si="2"/>
        <v>5.7534458726962985</v>
      </c>
    </row>
    <row r="20" spans="1:16" customFormat="1" ht="15">
      <c r="A20" s="208" t="s">
        <v>236</v>
      </c>
      <c r="B20" s="211"/>
      <c r="C20" s="154"/>
      <c r="D20" s="45"/>
      <c r="E20" s="45"/>
      <c r="F20" s="45">
        <v>3</v>
      </c>
      <c r="G20" s="45">
        <v>3</v>
      </c>
      <c r="H20" s="45">
        <v>3</v>
      </c>
      <c r="I20" s="45">
        <v>2</v>
      </c>
      <c r="J20" s="45">
        <v>8</v>
      </c>
      <c r="K20" s="45">
        <v>1</v>
      </c>
      <c r="L20" s="45">
        <v>2</v>
      </c>
      <c r="M20" s="45">
        <v>2</v>
      </c>
      <c r="N20" s="210">
        <f t="shared" si="0"/>
        <v>24</v>
      </c>
      <c r="O20" s="206">
        <f t="shared" si="1"/>
        <v>3</v>
      </c>
      <c r="P20" s="207">
        <f t="shared" si="2"/>
        <v>6.1948273191884777E-2</v>
      </c>
    </row>
    <row r="21" spans="1:16" customFormat="1" ht="15">
      <c r="A21" s="208" t="s">
        <v>237</v>
      </c>
      <c r="B21" s="211"/>
      <c r="C21" s="154"/>
      <c r="D21" s="45"/>
      <c r="E21" s="45"/>
      <c r="F21" s="45">
        <v>374</v>
      </c>
      <c r="G21" s="45">
        <v>342</v>
      </c>
      <c r="H21" s="45">
        <v>343</v>
      </c>
      <c r="I21" s="45">
        <v>427</v>
      </c>
      <c r="J21" s="45">
        <v>332</v>
      </c>
      <c r="K21" s="45">
        <v>373</v>
      </c>
      <c r="L21" s="45">
        <v>318</v>
      </c>
      <c r="M21" s="45">
        <v>343</v>
      </c>
      <c r="N21" s="210">
        <f t="shared" si="0"/>
        <v>2852</v>
      </c>
      <c r="O21" s="206">
        <f t="shared" si="1"/>
        <v>356.5</v>
      </c>
      <c r="P21" s="207">
        <f t="shared" si="2"/>
        <v>7.3615197976356406</v>
      </c>
    </row>
    <row r="22" spans="1:16" customFormat="1" ht="15">
      <c r="A22" s="208" t="s">
        <v>238</v>
      </c>
      <c r="B22" s="211"/>
      <c r="C22" s="154"/>
      <c r="D22" s="45"/>
      <c r="E22" s="45"/>
      <c r="F22" s="45">
        <v>700</v>
      </c>
      <c r="G22" s="45">
        <v>734</v>
      </c>
      <c r="H22" s="45">
        <v>737</v>
      </c>
      <c r="I22" s="45">
        <v>704</v>
      </c>
      <c r="J22" s="45">
        <v>572</v>
      </c>
      <c r="K22" s="45">
        <v>573</v>
      </c>
      <c r="L22" s="45">
        <v>536</v>
      </c>
      <c r="M22" s="45">
        <v>545</v>
      </c>
      <c r="N22" s="210">
        <f t="shared" si="0"/>
        <v>5101</v>
      </c>
      <c r="O22" s="206">
        <f t="shared" si="1"/>
        <v>637.625</v>
      </c>
      <c r="P22" s="207">
        <f t="shared" si="2"/>
        <v>13.166589231325176</v>
      </c>
    </row>
    <row r="23" spans="1:16" customFormat="1" ht="15">
      <c r="A23" s="208" t="s">
        <v>239</v>
      </c>
      <c r="B23" s="211"/>
      <c r="C23" s="154"/>
      <c r="D23" s="45"/>
      <c r="E23" s="45"/>
      <c r="F23" s="45">
        <v>632</v>
      </c>
      <c r="G23" s="45">
        <v>485</v>
      </c>
      <c r="H23" s="45">
        <v>784</v>
      </c>
      <c r="I23" s="45">
        <v>878</v>
      </c>
      <c r="J23" s="45">
        <v>1034</v>
      </c>
      <c r="K23" s="45">
        <v>886</v>
      </c>
      <c r="L23" s="45">
        <v>527</v>
      </c>
      <c r="M23" s="45">
        <v>564</v>
      </c>
      <c r="N23" s="210">
        <f t="shared" si="0"/>
        <v>5790</v>
      </c>
      <c r="O23" s="206">
        <f t="shared" si="1"/>
        <v>723.75</v>
      </c>
      <c r="P23" s="207">
        <f t="shared" si="2"/>
        <v>14.945020907542203</v>
      </c>
    </row>
    <row r="24" spans="1:16" customFormat="1" ht="15">
      <c r="A24" s="208" t="s">
        <v>240</v>
      </c>
      <c r="B24" s="211"/>
      <c r="C24" s="154"/>
      <c r="D24" s="45"/>
      <c r="E24" s="45"/>
      <c r="F24" s="45">
        <v>11</v>
      </c>
      <c r="G24" s="45">
        <v>7</v>
      </c>
      <c r="H24" s="45">
        <v>5</v>
      </c>
      <c r="I24" s="45">
        <v>10</v>
      </c>
      <c r="J24" s="45">
        <v>12</v>
      </c>
      <c r="K24" s="45">
        <v>8</v>
      </c>
      <c r="L24" s="45">
        <v>11</v>
      </c>
      <c r="M24" s="45">
        <v>11</v>
      </c>
      <c r="N24" s="210">
        <f t="shared" si="0"/>
        <v>75</v>
      </c>
      <c r="O24" s="206">
        <f t="shared" si="1"/>
        <v>9.375</v>
      </c>
      <c r="P24" s="207">
        <f t="shared" si="2"/>
        <v>0.19358835372463992</v>
      </c>
    </row>
    <row r="25" spans="1:16" customFormat="1" ht="15">
      <c r="A25" s="208" t="s">
        <v>241</v>
      </c>
      <c r="B25" s="211"/>
      <c r="C25" s="154"/>
      <c r="D25" s="45"/>
      <c r="E25" s="45"/>
      <c r="F25" s="45">
        <v>21</v>
      </c>
      <c r="G25" s="45">
        <v>9</v>
      </c>
      <c r="H25" s="45">
        <v>7</v>
      </c>
      <c r="I25" s="45">
        <v>12</v>
      </c>
      <c r="J25" s="45">
        <v>16</v>
      </c>
      <c r="K25" s="45">
        <v>17</v>
      </c>
      <c r="L25" s="45">
        <v>17</v>
      </c>
      <c r="M25" s="45">
        <v>12</v>
      </c>
      <c r="N25" s="210">
        <f t="shared" si="0"/>
        <v>111</v>
      </c>
      <c r="O25" s="206">
        <f t="shared" si="1"/>
        <v>13.875</v>
      </c>
      <c r="P25" s="207">
        <f t="shared" si="2"/>
        <v>0.28651076351246707</v>
      </c>
    </row>
    <row r="26" spans="1:16" customFormat="1" ht="15">
      <c r="A26" s="208" t="s">
        <v>242</v>
      </c>
      <c r="B26" s="211"/>
      <c r="C26" s="154"/>
      <c r="D26" s="45"/>
      <c r="E26" s="45"/>
      <c r="F26" s="45">
        <v>40</v>
      </c>
      <c r="G26" s="45">
        <v>36</v>
      </c>
      <c r="H26" s="46">
        <v>42</v>
      </c>
      <c r="I26" s="45">
        <v>29</v>
      </c>
      <c r="J26" s="45">
        <v>21</v>
      </c>
      <c r="K26" s="45">
        <v>12</v>
      </c>
      <c r="L26" s="45">
        <v>7</v>
      </c>
      <c r="M26" s="45">
        <v>9</v>
      </c>
      <c r="N26" s="210">
        <f t="shared" si="0"/>
        <v>196</v>
      </c>
      <c r="O26" s="206">
        <f t="shared" si="1"/>
        <v>24.5</v>
      </c>
      <c r="P26" s="207">
        <f t="shared" si="2"/>
        <v>0.50591089773372566</v>
      </c>
    </row>
    <row r="27" spans="1:16" customFormat="1" ht="15">
      <c r="A27" s="208" t="s">
        <v>243</v>
      </c>
      <c r="B27" s="211"/>
      <c r="C27" s="154"/>
      <c r="D27" s="45"/>
      <c r="E27" s="45"/>
      <c r="F27" s="45">
        <v>215</v>
      </c>
      <c r="G27" s="45">
        <v>164</v>
      </c>
      <c r="H27" s="45">
        <v>161</v>
      </c>
      <c r="I27" s="45">
        <v>206</v>
      </c>
      <c r="J27" s="45">
        <v>183</v>
      </c>
      <c r="K27" s="45">
        <v>326</v>
      </c>
      <c r="L27" s="45">
        <v>377</v>
      </c>
      <c r="M27" s="45">
        <v>131</v>
      </c>
      <c r="N27" s="210">
        <f t="shared" si="0"/>
        <v>1763</v>
      </c>
      <c r="O27" s="206">
        <f t="shared" si="1"/>
        <v>220.375</v>
      </c>
      <c r="P27" s="207">
        <f t="shared" si="2"/>
        <v>4.5506169015538696</v>
      </c>
    </row>
    <row r="28" spans="1:16" customFormat="1" ht="15">
      <c r="A28" s="208" t="s">
        <v>244</v>
      </c>
      <c r="B28" s="211"/>
      <c r="C28" s="154"/>
      <c r="D28" s="45"/>
      <c r="E28" s="45"/>
      <c r="F28" s="45">
        <v>26</v>
      </c>
      <c r="G28" s="45">
        <v>6</v>
      </c>
      <c r="H28" s="45">
        <v>13</v>
      </c>
      <c r="I28" s="45">
        <v>8</v>
      </c>
      <c r="J28" s="45">
        <v>14</v>
      </c>
      <c r="K28" s="45">
        <v>36</v>
      </c>
      <c r="L28" s="45">
        <v>18</v>
      </c>
      <c r="M28" s="45">
        <v>14</v>
      </c>
      <c r="N28" s="210">
        <f t="shared" si="0"/>
        <v>135</v>
      </c>
      <c r="O28" s="206">
        <f t="shared" si="1"/>
        <v>16.875</v>
      </c>
      <c r="P28" s="207">
        <f t="shared" si="2"/>
        <v>0.34845903670435185</v>
      </c>
    </row>
    <row r="29" spans="1:16" customFormat="1" ht="15">
      <c r="A29" s="208" t="s">
        <v>245</v>
      </c>
      <c r="B29" s="211"/>
      <c r="C29" s="154"/>
      <c r="D29" s="45"/>
      <c r="E29" s="45"/>
      <c r="F29" s="45">
        <v>16</v>
      </c>
      <c r="G29" s="45">
        <v>14</v>
      </c>
      <c r="H29" s="45">
        <v>18</v>
      </c>
      <c r="I29" s="45">
        <v>16</v>
      </c>
      <c r="J29" s="45">
        <v>16</v>
      </c>
      <c r="K29" s="45">
        <v>17</v>
      </c>
      <c r="L29" s="45">
        <v>8</v>
      </c>
      <c r="M29" s="45">
        <v>17</v>
      </c>
      <c r="N29" s="210">
        <f t="shared" si="0"/>
        <v>122</v>
      </c>
      <c r="O29" s="206">
        <f t="shared" si="1"/>
        <v>15.25</v>
      </c>
      <c r="P29" s="207">
        <f t="shared" si="2"/>
        <v>0.31490372205874761</v>
      </c>
    </row>
    <row r="30" spans="1:16" customFormat="1" ht="15">
      <c r="A30" s="208" t="s">
        <v>246</v>
      </c>
      <c r="B30" s="211"/>
      <c r="C30" s="154"/>
      <c r="D30" s="45"/>
      <c r="E30" s="45"/>
      <c r="F30" s="45">
        <v>7</v>
      </c>
      <c r="G30" s="45">
        <v>6</v>
      </c>
      <c r="H30" s="45">
        <v>7</v>
      </c>
      <c r="I30" s="45">
        <v>17</v>
      </c>
      <c r="J30" s="45">
        <v>15</v>
      </c>
      <c r="K30" s="45">
        <v>14</v>
      </c>
      <c r="L30" s="45">
        <v>7</v>
      </c>
      <c r="M30" s="45">
        <v>8</v>
      </c>
      <c r="N30" s="210">
        <f t="shared" si="0"/>
        <v>81</v>
      </c>
      <c r="O30" s="206">
        <f t="shared" si="1"/>
        <v>10.125</v>
      </c>
      <c r="P30" s="207">
        <f t="shared" si="2"/>
        <v>0.20907542202261109</v>
      </c>
    </row>
    <row r="31" spans="1:16" customFormat="1" ht="15">
      <c r="A31" s="208" t="s">
        <v>247</v>
      </c>
      <c r="B31" s="211"/>
      <c r="C31" s="154"/>
      <c r="D31" s="45"/>
      <c r="E31" s="45"/>
      <c r="F31" s="45">
        <v>20</v>
      </c>
      <c r="G31" s="45">
        <v>47</v>
      </c>
      <c r="H31" s="46">
        <v>22</v>
      </c>
      <c r="I31" s="45">
        <v>42</v>
      </c>
      <c r="J31" s="45">
        <v>58</v>
      </c>
      <c r="K31" s="45">
        <v>59</v>
      </c>
      <c r="L31" s="45">
        <v>59</v>
      </c>
      <c r="M31" s="45">
        <v>50</v>
      </c>
      <c r="N31" s="210">
        <f t="shared" si="0"/>
        <v>357</v>
      </c>
      <c r="O31" s="206">
        <f t="shared" si="1"/>
        <v>44.625</v>
      </c>
      <c r="P31" s="207">
        <f t="shared" si="2"/>
        <v>0.921480563729286</v>
      </c>
    </row>
    <row r="32" spans="1:16" customFormat="1" ht="15">
      <c r="A32" s="208" t="s">
        <v>248</v>
      </c>
      <c r="B32" s="211"/>
      <c r="C32" s="154"/>
      <c r="D32" s="45"/>
      <c r="E32" s="45"/>
      <c r="F32" s="45">
        <v>22</v>
      </c>
      <c r="G32" s="45">
        <v>24</v>
      </c>
      <c r="H32" s="45">
        <v>29</v>
      </c>
      <c r="I32" s="45">
        <v>35</v>
      </c>
      <c r="J32" s="45">
        <v>31</v>
      </c>
      <c r="K32" s="45">
        <v>57</v>
      </c>
      <c r="L32" s="45">
        <v>49</v>
      </c>
      <c r="M32" s="45">
        <v>29</v>
      </c>
      <c r="N32" s="210">
        <f t="shared" si="0"/>
        <v>276</v>
      </c>
      <c r="O32" s="206">
        <f t="shared" si="1"/>
        <v>34.5</v>
      </c>
      <c r="P32" s="207">
        <f t="shared" si="2"/>
        <v>0.7124051417066749</v>
      </c>
    </row>
    <row r="33" spans="1:16" customFormat="1" ht="15" customHeight="1">
      <c r="A33" s="208" t="s">
        <v>249</v>
      </c>
      <c r="B33" s="211"/>
      <c r="C33" s="154"/>
      <c r="D33" s="45"/>
      <c r="E33" s="45"/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1</v>
      </c>
      <c r="L33" s="45">
        <v>0</v>
      </c>
      <c r="M33" s="45">
        <v>0</v>
      </c>
      <c r="N33" s="210">
        <f t="shared" si="0"/>
        <v>1</v>
      </c>
      <c r="O33" s="206">
        <f t="shared" si="1"/>
        <v>0.125</v>
      </c>
      <c r="P33" s="207">
        <f t="shared" si="2"/>
        <v>2.5811780496618657E-3</v>
      </c>
    </row>
    <row r="34" spans="1:16" customFormat="1" ht="15" customHeight="1">
      <c r="A34" s="208" t="s">
        <v>250</v>
      </c>
      <c r="B34" s="211"/>
      <c r="C34" s="154"/>
      <c r="D34" s="45"/>
      <c r="E34" s="45"/>
      <c r="F34" s="45">
        <v>63</v>
      </c>
      <c r="G34" s="45">
        <v>71</v>
      </c>
      <c r="H34" s="45">
        <v>67</v>
      </c>
      <c r="I34" s="45">
        <v>65</v>
      </c>
      <c r="J34" s="45">
        <v>39</v>
      </c>
      <c r="K34" s="45">
        <v>51</v>
      </c>
      <c r="L34" s="45">
        <v>34</v>
      </c>
      <c r="M34" s="45">
        <v>70</v>
      </c>
      <c r="N34" s="210">
        <f t="shared" si="0"/>
        <v>460</v>
      </c>
      <c r="O34" s="206">
        <f t="shared" si="1"/>
        <v>57.5</v>
      </c>
      <c r="P34" s="207">
        <f t="shared" si="2"/>
        <v>1.1873419028444581</v>
      </c>
    </row>
    <row r="35" spans="1:16" customFormat="1" ht="15" customHeight="1">
      <c r="A35" s="208" t="s">
        <v>251</v>
      </c>
      <c r="B35" s="211"/>
      <c r="C35" s="154"/>
      <c r="D35" s="45"/>
      <c r="E35" s="45"/>
      <c r="F35" s="45">
        <v>35</v>
      </c>
      <c r="G35" s="45">
        <v>45</v>
      </c>
      <c r="H35" s="45">
        <v>21</v>
      </c>
      <c r="I35" s="45">
        <v>32</v>
      </c>
      <c r="J35" s="45">
        <v>41</v>
      </c>
      <c r="K35" s="45">
        <v>44</v>
      </c>
      <c r="L35" s="45">
        <v>43</v>
      </c>
      <c r="M35" s="45">
        <v>37</v>
      </c>
      <c r="N35" s="210">
        <f t="shared" si="0"/>
        <v>298</v>
      </c>
      <c r="O35" s="206">
        <f t="shared" si="1"/>
        <v>37.25</v>
      </c>
      <c r="P35" s="207">
        <f t="shared" si="2"/>
        <v>0.76919105879923588</v>
      </c>
    </row>
    <row r="36" spans="1:16" customFormat="1" ht="15" customHeight="1">
      <c r="A36" s="208" t="s">
        <v>252</v>
      </c>
      <c r="B36" s="211"/>
      <c r="C36" s="154"/>
      <c r="D36" s="45"/>
      <c r="E36" s="45"/>
      <c r="F36" s="45">
        <v>1</v>
      </c>
      <c r="G36" s="45">
        <v>0</v>
      </c>
      <c r="H36" s="45">
        <v>0</v>
      </c>
      <c r="I36" s="45">
        <v>0</v>
      </c>
      <c r="J36" s="45">
        <v>0</v>
      </c>
      <c r="K36" s="45">
        <v>1</v>
      </c>
      <c r="L36" s="45">
        <v>10</v>
      </c>
      <c r="M36" s="45">
        <v>2</v>
      </c>
      <c r="N36" s="210">
        <f t="shared" si="0"/>
        <v>14</v>
      </c>
      <c r="O36" s="206">
        <f t="shared" si="1"/>
        <v>1.75</v>
      </c>
      <c r="P36" s="207">
        <f t="shared" si="2"/>
        <v>3.6136492695266122E-2</v>
      </c>
    </row>
    <row r="37" spans="1:16" customFormat="1" ht="15" customHeight="1">
      <c r="A37" s="208" t="s">
        <v>253</v>
      </c>
      <c r="B37" s="211"/>
      <c r="C37" s="154"/>
      <c r="D37" s="45"/>
      <c r="E37" s="45"/>
      <c r="F37" s="45">
        <v>39</v>
      </c>
      <c r="G37" s="45">
        <v>38</v>
      </c>
      <c r="H37" s="45">
        <v>33</v>
      </c>
      <c r="I37" s="45">
        <v>19</v>
      </c>
      <c r="J37" s="45">
        <v>14</v>
      </c>
      <c r="K37" s="45">
        <v>23</v>
      </c>
      <c r="L37" s="45">
        <v>29</v>
      </c>
      <c r="M37" s="45">
        <v>41</v>
      </c>
      <c r="N37" s="210">
        <f t="shared" ref="N37:N68" si="3">SUM(B37:M37)</f>
        <v>236</v>
      </c>
      <c r="O37" s="206">
        <f t="shared" ref="O37:O72" si="4">AVERAGE(B37:M37)</f>
        <v>29.5</v>
      </c>
      <c r="P37" s="207">
        <f t="shared" ref="P37:P71" si="5">(N37/$N$72)*100</f>
        <v>0.60915801972020034</v>
      </c>
    </row>
    <row r="38" spans="1:16" customFormat="1" ht="15" customHeight="1">
      <c r="A38" s="208" t="s">
        <v>254</v>
      </c>
      <c r="B38" s="211"/>
      <c r="C38" s="154"/>
      <c r="D38" s="45"/>
      <c r="E38" s="45"/>
      <c r="F38" s="45">
        <v>143</v>
      </c>
      <c r="G38" s="45">
        <v>110</v>
      </c>
      <c r="H38" s="45">
        <v>61</v>
      </c>
      <c r="I38" s="45">
        <v>83</v>
      </c>
      <c r="J38" s="45">
        <v>71</v>
      </c>
      <c r="K38" s="45">
        <v>72</v>
      </c>
      <c r="L38" s="45">
        <v>36</v>
      </c>
      <c r="M38" s="45">
        <v>30</v>
      </c>
      <c r="N38" s="210">
        <f t="shared" si="3"/>
        <v>606</v>
      </c>
      <c r="O38" s="206">
        <f t="shared" si="4"/>
        <v>75.75</v>
      </c>
      <c r="P38" s="207">
        <f t="shared" si="5"/>
        <v>1.5641938980950905</v>
      </c>
    </row>
    <row r="39" spans="1:16" customFormat="1" ht="15" customHeight="1">
      <c r="A39" s="208" t="s">
        <v>255</v>
      </c>
      <c r="B39" s="211"/>
      <c r="C39" s="154"/>
      <c r="D39" s="45"/>
      <c r="E39" s="45"/>
      <c r="F39" s="45">
        <v>38</v>
      </c>
      <c r="G39" s="45">
        <v>31</v>
      </c>
      <c r="H39" s="45">
        <v>33</v>
      </c>
      <c r="I39" s="45">
        <v>38</v>
      </c>
      <c r="J39" s="45">
        <v>25</v>
      </c>
      <c r="K39" s="45">
        <v>43</v>
      </c>
      <c r="L39" s="45">
        <v>10</v>
      </c>
      <c r="M39" s="45">
        <v>15</v>
      </c>
      <c r="N39" s="210">
        <f t="shared" si="3"/>
        <v>233</v>
      </c>
      <c r="O39" s="206">
        <f t="shared" si="4"/>
        <v>29.125</v>
      </c>
      <c r="P39" s="207">
        <f t="shared" si="5"/>
        <v>0.60141448557121469</v>
      </c>
    </row>
    <row r="40" spans="1:16" customFormat="1" ht="15" customHeight="1">
      <c r="A40" s="208" t="s">
        <v>256</v>
      </c>
      <c r="B40" s="211"/>
      <c r="C40" s="154"/>
      <c r="D40" s="45"/>
      <c r="E40" s="45"/>
      <c r="F40" s="45">
        <v>23</v>
      </c>
      <c r="G40" s="45">
        <v>37</v>
      </c>
      <c r="H40" s="45">
        <v>25</v>
      </c>
      <c r="I40" s="45">
        <v>29</v>
      </c>
      <c r="J40" s="45">
        <v>21</v>
      </c>
      <c r="K40" s="45">
        <v>40</v>
      </c>
      <c r="L40" s="45">
        <v>24</v>
      </c>
      <c r="M40" s="45">
        <v>24</v>
      </c>
      <c r="N40" s="210">
        <f t="shared" si="3"/>
        <v>223</v>
      </c>
      <c r="O40" s="206">
        <f t="shared" si="4"/>
        <v>27.875</v>
      </c>
      <c r="P40" s="207">
        <f t="shared" si="5"/>
        <v>0.5756027050745961</v>
      </c>
    </row>
    <row r="41" spans="1:16" customFormat="1" ht="15" customHeight="1">
      <c r="A41" s="208" t="s">
        <v>257</v>
      </c>
      <c r="B41" s="211"/>
      <c r="C41" s="154"/>
      <c r="D41" s="45"/>
      <c r="E41" s="45"/>
      <c r="F41" s="45">
        <v>64</v>
      </c>
      <c r="G41" s="45">
        <v>51</v>
      </c>
      <c r="H41" s="45">
        <v>54</v>
      </c>
      <c r="I41" s="45">
        <v>80</v>
      </c>
      <c r="J41" s="45">
        <v>52</v>
      </c>
      <c r="K41" s="45">
        <v>66</v>
      </c>
      <c r="L41" s="45">
        <v>57</v>
      </c>
      <c r="M41" s="45">
        <v>52</v>
      </c>
      <c r="N41" s="210">
        <f t="shared" si="3"/>
        <v>476</v>
      </c>
      <c r="O41" s="206">
        <f t="shared" si="4"/>
        <v>59.5</v>
      </c>
      <c r="P41" s="207">
        <f t="shared" si="5"/>
        <v>1.2286407516390481</v>
      </c>
    </row>
    <row r="42" spans="1:16" customFormat="1" ht="15" customHeight="1">
      <c r="A42" s="208" t="s">
        <v>258</v>
      </c>
      <c r="B42" s="211"/>
      <c r="C42" s="154"/>
      <c r="D42" s="45"/>
      <c r="E42" s="45"/>
      <c r="F42" s="45">
        <v>43</v>
      </c>
      <c r="G42" s="45">
        <v>94</v>
      </c>
      <c r="H42" s="45">
        <v>41</v>
      </c>
      <c r="I42" s="45">
        <v>47</v>
      </c>
      <c r="J42" s="45">
        <v>40</v>
      </c>
      <c r="K42" s="45">
        <v>36</v>
      </c>
      <c r="L42" s="45">
        <v>48</v>
      </c>
      <c r="M42" s="45">
        <v>62</v>
      </c>
      <c r="N42" s="210">
        <f t="shared" si="3"/>
        <v>411</v>
      </c>
      <c r="O42" s="206">
        <f t="shared" si="4"/>
        <v>51.375</v>
      </c>
      <c r="P42" s="207">
        <f t="shared" si="5"/>
        <v>1.0608641784110269</v>
      </c>
    </row>
    <row r="43" spans="1:16" customFormat="1" ht="15" customHeight="1">
      <c r="A43" s="208" t="s">
        <v>259</v>
      </c>
      <c r="B43" s="211"/>
      <c r="C43" s="154"/>
      <c r="D43" s="45"/>
      <c r="E43" s="45"/>
      <c r="F43" s="45">
        <v>38</v>
      </c>
      <c r="G43" s="45">
        <v>34</v>
      </c>
      <c r="H43" s="45">
        <v>35</v>
      </c>
      <c r="I43" s="45">
        <v>45</v>
      </c>
      <c r="J43" s="45">
        <v>26</v>
      </c>
      <c r="K43" s="45">
        <v>50</v>
      </c>
      <c r="L43" s="45">
        <v>32</v>
      </c>
      <c r="M43" s="45">
        <v>29</v>
      </c>
      <c r="N43" s="210">
        <f t="shared" si="3"/>
        <v>289</v>
      </c>
      <c r="O43" s="206">
        <f t="shared" si="4"/>
        <v>36.125</v>
      </c>
      <c r="P43" s="207">
        <f t="shared" si="5"/>
        <v>0.74596045635227914</v>
      </c>
    </row>
    <row r="44" spans="1:16" customFormat="1" ht="15" customHeight="1">
      <c r="A44" s="208" t="s">
        <v>260</v>
      </c>
      <c r="B44" s="211"/>
      <c r="C44" s="154"/>
      <c r="D44" s="45"/>
      <c r="E44" s="45"/>
      <c r="F44" s="45">
        <v>23</v>
      </c>
      <c r="G44" s="45">
        <v>43</v>
      </c>
      <c r="H44" s="45">
        <v>29</v>
      </c>
      <c r="I44" s="45">
        <v>37</v>
      </c>
      <c r="J44" s="45">
        <v>40</v>
      </c>
      <c r="K44" s="45">
        <v>40</v>
      </c>
      <c r="L44" s="45">
        <v>43</v>
      </c>
      <c r="M44" s="45">
        <v>25</v>
      </c>
      <c r="N44" s="210">
        <f t="shared" si="3"/>
        <v>280</v>
      </c>
      <c r="O44" s="206">
        <f t="shared" si="4"/>
        <v>35</v>
      </c>
      <c r="P44" s="207">
        <f t="shared" si="5"/>
        <v>0.72272985390532241</v>
      </c>
    </row>
    <row r="45" spans="1:16" customFormat="1" ht="15" customHeight="1">
      <c r="A45" s="208" t="s">
        <v>261</v>
      </c>
      <c r="B45" s="211"/>
      <c r="C45" s="154"/>
      <c r="D45" s="45"/>
      <c r="E45" s="45"/>
      <c r="F45" s="45">
        <v>37</v>
      </c>
      <c r="G45" s="45">
        <v>34</v>
      </c>
      <c r="H45" s="45">
        <v>32</v>
      </c>
      <c r="I45" s="45">
        <v>69</v>
      </c>
      <c r="J45" s="45">
        <v>28</v>
      </c>
      <c r="K45" s="45">
        <v>37</v>
      </c>
      <c r="L45" s="45">
        <v>43</v>
      </c>
      <c r="M45" s="45">
        <v>41</v>
      </c>
      <c r="N45" s="210">
        <f t="shared" si="3"/>
        <v>321</v>
      </c>
      <c r="O45" s="206">
        <f t="shared" si="4"/>
        <v>40.125</v>
      </c>
      <c r="P45" s="207">
        <f t="shared" si="5"/>
        <v>0.82855815394145893</v>
      </c>
    </row>
    <row r="46" spans="1:16" customFormat="1" ht="15" customHeight="1">
      <c r="A46" s="208" t="s">
        <v>262</v>
      </c>
      <c r="B46" s="211"/>
      <c r="C46" s="154"/>
      <c r="D46" s="45"/>
      <c r="E46" s="45"/>
      <c r="F46" s="45">
        <v>3</v>
      </c>
      <c r="G46" s="45">
        <v>2</v>
      </c>
      <c r="H46" s="45">
        <v>5</v>
      </c>
      <c r="I46" s="45">
        <v>11</v>
      </c>
      <c r="J46" s="45">
        <v>17</v>
      </c>
      <c r="K46" s="45">
        <v>7</v>
      </c>
      <c r="L46" s="45">
        <v>6</v>
      </c>
      <c r="M46" s="45">
        <v>6</v>
      </c>
      <c r="N46" s="210">
        <f t="shared" si="3"/>
        <v>57</v>
      </c>
      <c r="O46" s="206">
        <f t="shared" si="4"/>
        <v>7.125</v>
      </c>
      <c r="P46" s="207">
        <f t="shared" si="5"/>
        <v>0.14712714883072633</v>
      </c>
    </row>
    <row r="47" spans="1:16" customFormat="1" ht="15" customHeight="1">
      <c r="A47" s="208" t="s">
        <v>263</v>
      </c>
      <c r="B47" s="211"/>
      <c r="C47" s="154"/>
      <c r="D47" s="45"/>
      <c r="E47" s="45"/>
      <c r="F47" s="45">
        <v>16</v>
      </c>
      <c r="G47" s="45">
        <v>19</v>
      </c>
      <c r="H47" s="45">
        <v>10</v>
      </c>
      <c r="I47" s="45">
        <v>16</v>
      </c>
      <c r="J47" s="45">
        <v>12</v>
      </c>
      <c r="K47" s="45">
        <v>10</v>
      </c>
      <c r="L47" s="45">
        <v>15</v>
      </c>
      <c r="M47" s="45">
        <v>14</v>
      </c>
      <c r="N47" s="210">
        <f t="shared" si="3"/>
        <v>112</v>
      </c>
      <c r="O47" s="206">
        <f t="shared" si="4"/>
        <v>14</v>
      </c>
      <c r="P47" s="207">
        <f t="shared" si="5"/>
        <v>0.28909194156212897</v>
      </c>
    </row>
    <row r="48" spans="1:16" customFormat="1" ht="15" customHeight="1">
      <c r="A48" s="208" t="s">
        <v>264</v>
      </c>
      <c r="B48" s="211"/>
      <c r="C48" s="154"/>
      <c r="D48" s="45"/>
      <c r="E48" s="45"/>
      <c r="F48" s="45">
        <v>29</v>
      </c>
      <c r="G48" s="45">
        <v>36</v>
      </c>
      <c r="H48" s="45">
        <v>26</v>
      </c>
      <c r="I48" s="45">
        <v>21</v>
      </c>
      <c r="J48" s="45">
        <v>14</v>
      </c>
      <c r="K48" s="45">
        <v>20</v>
      </c>
      <c r="L48" s="45">
        <v>27</v>
      </c>
      <c r="M48" s="45">
        <v>22</v>
      </c>
      <c r="N48" s="210">
        <f t="shared" si="3"/>
        <v>195</v>
      </c>
      <c r="O48" s="206">
        <f t="shared" si="4"/>
        <v>24.375</v>
      </c>
      <c r="P48" s="207">
        <f t="shared" si="5"/>
        <v>0.50332971968406381</v>
      </c>
    </row>
    <row r="49" spans="1:16" customFormat="1" ht="15" customHeight="1">
      <c r="A49" s="208" t="s">
        <v>265</v>
      </c>
      <c r="B49" s="211"/>
      <c r="C49" s="154"/>
      <c r="D49" s="45"/>
      <c r="E49" s="45"/>
      <c r="F49" s="45">
        <v>11</v>
      </c>
      <c r="G49" s="45">
        <v>9</v>
      </c>
      <c r="H49" s="45">
        <v>12</v>
      </c>
      <c r="I49" s="45">
        <v>11</v>
      </c>
      <c r="J49" s="45">
        <v>11</v>
      </c>
      <c r="K49" s="45">
        <v>10</v>
      </c>
      <c r="L49" s="45">
        <v>13</v>
      </c>
      <c r="M49" s="45">
        <v>10</v>
      </c>
      <c r="N49" s="210">
        <f t="shared" si="3"/>
        <v>87</v>
      </c>
      <c r="O49" s="206">
        <f t="shared" si="4"/>
        <v>10.875</v>
      </c>
      <c r="P49" s="207">
        <f t="shared" si="5"/>
        <v>0.22456249032058229</v>
      </c>
    </row>
    <row r="50" spans="1:16" customFormat="1" ht="15" customHeight="1">
      <c r="A50" s="208" t="s">
        <v>266</v>
      </c>
      <c r="B50" s="211"/>
      <c r="C50" s="154"/>
      <c r="D50" s="45"/>
      <c r="E50" s="45"/>
      <c r="F50" s="45">
        <v>46</v>
      </c>
      <c r="G50" s="45">
        <v>50</v>
      </c>
      <c r="H50" s="45">
        <v>47</v>
      </c>
      <c r="I50" s="45">
        <v>46</v>
      </c>
      <c r="J50" s="45">
        <v>50</v>
      </c>
      <c r="K50" s="45">
        <v>43</v>
      </c>
      <c r="L50" s="45">
        <v>65</v>
      </c>
      <c r="M50" s="45">
        <v>41</v>
      </c>
      <c r="N50" s="210">
        <f t="shared" si="3"/>
        <v>388</v>
      </c>
      <c r="O50" s="206">
        <f t="shared" si="4"/>
        <v>48.5</v>
      </c>
      <c r="P50" s="207">
        <f t="shared" si="5"/>
        <v>1.0014970832688037</v>
      </c>
    </row>
    <row r="51" spans="1:16" customFormat="1" ht="15" customHeight="1">
      <c r="A51" s="208" t="s">
        <v>267</v>
      </c>
      <c r="B51" s="211"/>
      <c r="C51" s="154"/>
      <c r="D51" s="45"/>
      <c r="E51" s="45"/>
      <c r="F51" s="45">
        <v>22</v>
      </c>
      <c r="G51" s="45">
        <v>27</v>
      </c>
      <c r="H51" s="45">
        <v>23</v>
      </c>
      <c r="I51" s="45">
        <v>26</v>
      </c>
      <c r="J51" s="45">
        <v>21</v>
      </c>
      <c r="K51" s="45">
        <v>27</v>
      </c>
      <c r="L51" s="45">
        <v>35</v>
      </c>
      <c r="M51" s="45">
        <v>28</v>
      </c>
      <c r="N51" s="210">
        <f t="shared" si="3"/>
        <v>209</v>
      </c>
      <c r="O51" s="206">
        <f t="shared" si="4"/>
        <v>26.125</v>
      </c>
      <c r="P51" s="207">
        <f t="shared" si="5"/>
        <v>0.5394662123793299</v>
      </c>
    </row>
    <row r="52" spans="1:16" customFormat="1" ht="15" customHeight="1">
      <c r="A52" s="208" t="s">
        <v>268</v>
      </c>
      <c r="B52" s="211"/>
      <c r="C52" s="154"/>
      <c r="D52" s="45"/>
      <c r="E52" s="45"/>
      <c r="F52" s="45">
        <v>43</v>
      </c>
      <c r="G52" s="45">
        <v>42</v>
      </c>
      <c r="H52" s="45">
        <v>38</v>
      </c>
      <c r="I52" s="45">
        <v>40</v>
      </c>
      <c r="J52" s="45">
        <v>45</v>
      </c>
      <c r="K52" s="45">
        <v>55</v>
      </c>
      <c r="L52" s="45">
        <v>47</v>
      </c>
      <c r="M52" s="45">
        <v>49</v>
      </c>
      <c r="N52" s="210">
        <f t="shared" si="3"/>
        <v>359</v>
      </c>
      <c r="O52" s="206">
        <f t="shared" si="4"/>
        <v>44.875</v>
      </c>
      <c r="P52" s="207">
        <f t="shared" si="5"/>
        <v>0.92664291982860969</v>
      </c>
    </row>
    <row r="53" spans="1:16" customFormat="1" ht="15" customHeight="1">
      <c r="A53" s="208" t="s">
        <v>269</v>
      </c>
      <c r="B53" s="211"/>
      <c r="C53" s="154"/>
      <c r="D53" s="45"/>
      <c r="E53" s="45"/>
      <c r="F53" s="45">
        <v>29</v>
      </c>
      <c r="G53" s="45">
        <v>23</v>
      </c>
      <c r="H53" s="45">
        <v>16</v>
      </c>
      <c r="I53" s="45">
        <v>29</v>
      </c>
      <c r="J53" s="45">
        <v>24</v>
      </c>
      <c r="K53" s="45">
        <v>28</v>
      </c>
      <c r="L53" s="45">
        <v>18</v>
      </c>
      <c r="M53" s="45">
        <v>20</v>
      </c>
      <c r="N53" s="210">
        <f t="shared" si="3"/>
        <v>187</v>
      </c>
      <c r="O53" s="206">
        <f t="shared" si="4"/>
        <v>23.375</v>
      </c>
      <c r="P53" s="207">
        <f t="shared" si="5"/>
        <v>0.48268029528676892</v>
      </c>
    </row>
    <row r="54" spans="1:16" customFormat="1" ht="15" customHeight="1">
      <c r="A54" s="208" t="s">
        <v>270</v>
      </c>
      <c r="B54" s="211"/>
      <c r="C54" s="154"/>
      <c r="D54" s="45"/>
      <c r="E54" s="45"/>
      <c r="F54" s="45">
        <v>38</v>
      </c>
      <c r="G54" s="45">
        <v>31</v>
      </c>
      <c r="H54" s="45">
        <v>30</v>
      </c>
      <c r="I54" s="45">
        <v>25</v>
      </c>
      <c r="J54" s="45">
        <v>16</v>
      </c>
      <c r="K54" s="45">
        <v>26</v>
      </c>
      <c r="L54" s="45">
        <v>17</v>
      </c>
      <c r="M54" s="45">
        <v>22</v>
      </c>
      <c r="N54" s="210">
        <f t="shared" si="3"/>
        <v>205</v>
      </c>
      <c r="O54" s="206">
        <f t="shared" si="4"/>
        <v>25.625</v>
      </c>
      <c r="P54" s="207">
        <f t="shared" si="5"/>
        <v>0.5291415001806824</v>
      </c>
    </row>
    <row r="55" spans="1:16" customFormat="1" ht="15" customHeight="1">
      <c r="A55" s="208" t="s">
        <v>271</v>
      </c>
      <c r="B55" s="211"/>
      <c r="C55" s="154"/>
      <c r="D55" s="45"/>
      <c r="E55" s="45"/>
      <c r="F55" s="45">
        <v>76</v>
      </c>
      <c r="G55" s="45">
        <v>80</v>
      </c>
      <c r="H55" s="45">
        <v>82</v>
      </c>
      <c r="I55" s="45">
        <v>125</v>
      </c>
      <c r="J55" s="45">
        <v>91</v>
      </c>
      <c r="K55" s="45">
        <v>140</v>
      </c>
      <c r="L55" s="45">
        <v>71</v>
      </c>
      <c r="M55" s="45">
        <v>70</v>
      </c>
      <c r="N55" s="210">
        <f t="shared" si="3"/>
        <v>735</v>
      </c>
      <c r="O55" s="206">
        <f t="shared" si="4"/>
        <v>91.875</v>
      </c>
      <c r="P55" s="207">
        <f t="shared" si="5"/>
        <v>1.8971658665014712</v>
      </c>
    </row>
    <row r="56" spans="1:16" customFormat="1" ht="15" customHeight="1">
      <c r="A56" s="208" t="s">
        <v>272</v>
      </c>
      <c r="B56" s="211"/>
      <c r="C56" s="154"/>
      <c r="D56" s="45"/>
      <c r="E56" s="45"/>
      <c r="F56" s="45">
        <v>25</v>
      </c>
      <c r="G56" s="45">
        <v>37</v>
      </c>
      <c r="H56" s="45">
        <v>24</v>
      </c>
      <c r="I56" s="45">
        <v>34</v>
      </c>
      <c r="J56" s="45">
        <v>14</v>
      </c>
      <c r="K56" s="45">
        <v>33</v>
      </c>
      <c r="L56" s="45">
        <v>23</v>
      </c>
      <c r="M56" s="45">
        <v>22</v>
      </c>
      <c r="N56" s="210">
        <f t="shared" si="3"/>
        <v>212</v>
      </c>
      <c r="O56" s="206">
        <f t="shared" si="4"/>
        <v>26.5</v>
      </c>
      <c r="P56" s="207">
        <f t="shared" si="5"/>
        <v>0.54720974652831555</v>
      </c>
    </row>
    <row r="57" spans="1:16" customFormat="1" ht="15" customHeight="1">
      <c r="A57" s="208" t="s">
        <v>273</v>
      </c>
      <c r="B57" s="211"/>
      <c r="C57" s="154"/>
      <c r="D57" s="45"/>
      <c r="E57" s="45"/>
      <c r="F57" s="45">
        <v>57</v>
      </c>
      <c r="G57" s="45">
        <v>63</v>
      </c>
      <c r="H57" s="45">
        <v>61</v>
      </c>
      <c r="I57" s="45">
        <v>68</v>
      </c>
      <c r="J57" s="45">
        <v>51</v>
      </c>
      <c r="K57" s="45">
        <v>75</v>
      </c>
      <c r="L57" s="45">
        <v>55</v>
      </c>
      <c r="M57" s="45">
        <v>53</v>
      </c>
      <c r="N57" s="210">
        <f t="shared" si="3"/>
        <v>483</v>
      </c>
      <c r="O57" s="206">
        <f t="shared" si="4"/>
        <v>60.375</v>
      </c>
      <c r="P57" s="207">
        <f t="shared" si="5"/>
        <v>1.2467089979866812</v>
      </c>
    </row>
    <row r="58" spans="1:16" customFormat="1" ht="15" customHeight="1">
      <c r="A58" s="208" t="s">
        <v>274</v>
      </c>
      <c r="B58" s="211"/>
      <c r="C58" s="154"/>
      <c r="D58" s="45"/>
      <c r="E58" s="45"/>
      <c r="F58" s="45">
        <v>14</v>
      </c>
      <c r="G58" s="45">
        <v>11</v>
      </c>
      <c r="H58" s="45">
        <v>8</v>
      </c>
      <c r="I58" s="45">
        <v>22</v>
      </c>
      <c r="J58" s="45">
        <v>13</v>
      </c>
      <c r="K58" s="45">
        <v>7</v>
      </c>
      <c r="L58" s="45">
        <v>16</v>
      </c>
      <c r="M58" s="45">
        <v>5</v>
      </c>
      <c r="N58" s="210">
        <f t="shared" si="3"/>
        <v>96</v>
      </c>
      <c r="O58" s="206">
        <f t="shared" si="4"/>
        <v>12</v>
      </c>
      <c r="P58" s="207">
        <f t="shared" si="5"/>
        <v>0.24779309276753911</v>
      </c>
    </row>
    <row r="59" spans="1:16" customFormat="1" ht="15" customHeight="1">
      <c r="A59" s="208" t="s">
        <v>275</v>
      </c>
      <c r="B59" s="211"/>
      <c r="C59" s="154"/>
      <c r="D59" s="45"/>
      <c r="E59" s="45"/>
      <c r="F59" s="45">
        <v>79</v>
      </c>
      <c r="G59" s="45">
        <v>63</v>
      </c>
      <c r="H59" s="45">
        <v>55</v>
      </c>
      <c r="I59" s="45">
        <v>58</v>
      </c>
      <c r="J59" s="45">
        <v>59</v>
      </c>
      <c r="K59" s="45">
        <v>70</v>
      </c>
      <c r="L59" s="45">
        <v>52</v>
      </c>
      <c r="M59" s="45">
        <v>71</v>
      </c>
      <c r="N59" s="210">
        <f t="shared" si="3"/>
        <v>507</v>
      </c>
      <c r="O59" s="206">
        <f t="shared" si="4"/>
        <v>63.375</v>
      </c>
      <c r="P59" s="207">
        <f t="shared" si="5"/>
        <v>1.308657271178566</v>
      </c>
    </row>
    <row r="60" spans="1:16" customFormat="1" ht="15" customHeight="1">
      <c r="A60" s="208" t="s">
        <v>276</v>
      </c>
      <c r="B60" s="211"/>
      <c r="C60" s="154"/>
      <c r="D60" s="45"/>
      <c r="E60" s="45"/>
      <c r="F60" s="45">
        <v>7</v>
      </c>
      <c r="G60" s="45">
        <v>8</v>
      </c>
      <c r="H60" s="45">
        <v>9</v>
      </c>
      <c r="I60" s="45">
        <v>13</v>
      </c>
      <c r="J60" s="45">
        <v>4</v>
      </c>
      <c r="K60" s="45">
        <v>14</v>
      </c>
      <c r="L60" s="45">
        <v>5</v>
      </c>
      <c r="M60" s="45">
        <v>10</v>
      </c>
      <c r="N60" s="210">
        <f t="shared" si="3"/>
        <v>70</v>
      </c>
      <c r="O60" s="206">
        <f t="shared" si="4"/>
        <v>8.75</v>
      </c>
      <c r="P60" s="207">
        <f t="shared" si="5"/>
        <v>0.1806824634763306</v>
      </c>
    </row>
    <row r="61" spans="1:16" customFormat="1" ht="15" customHeight="1">
      <c r="A61" s="208" t="s">
        <v>277</v>
      </c>
      <c r="B61" s="211"/>
      <c r="C61" s="154"/>
      <c r="D61" s="45"/>
      <c r="E61" s="45"/>
      <c r="F61" s="45">
        <v>31</v>
      </c>
      <c r="G61" s="45">
        <v>50</v>
      </c>
      <c r="H61" s="45">
        <v>46</v>
      </c>
      <c r="I61" s="45">
        <v>65</v>
      </c>
      <c r="J61" s="45">
        <v>26</v>
      </c>
      <c r="K61" s="45">
        <v>51</v>
      </c>
      <c r="L61" s="45">
        <v>43</v>
      </c>
      <c r="M61" s="45">
        <v>47</v>
      </c>
      <c r="N61" s="210">
        <f t="shared" si="3"/>
        <v>359</v>
      </c>
      <c r="O61" s="206">
        <f t="shared" si="4"/>
        <v>44.875</v>
      </c>
      <c r="P61" s="207">
        <f t="shared" si="5"/>
        <v>0.92664291982860969</v>
      </c>
    </row>
    <row r="62" spans="1:16" customFormat="1" ht="15" customHeight="1">
      <c r="A62" s="208" t="s">
        <v>278</v>
      </c>
      <c r="B62" s="211"/>
      <c r="C62" s="154"/>
      <c r="D62" s="45"/>
      <c r="E62" s="45"/>
      <c r="F62" s="45">
        <v>46</v>
      </c>
      <c r="G62" s="45">
        <v>46</v>
      </c>
      <c r="H62" s="45">
        <v>36</v>
      </c>
      <c r="I62" s="45">
        <v>57</v>
      </c>
      <c r="J62" s="45">
        <v>25</v>
      </c>
      <c r="K62" s="45">
        <v>54</v>
      </c>
      <c r="L62" s="45">
        <v>52</v>
      </c>
      <c r="M62" s="45">
        <v>38</v>
      </c>
      <c r="N62" s="210">
        <f t="shared" si="3"/>
        <v>354</v>
      </c>
      <c r="O62" s="206">
        <f t="shared" si="4"/>
        <v>44.25</v>
      </c>
      <c r="P62" s="207">
        <f t="shared" si="5"/>
        <v>0.91373702958030045</v>
      </c>
    </row>
    <row r="63" spans="1:16" customFormat="1" ht="15" customHeight="1">
      <c r="A63" s="208" t="s">
        <v>279</v>
      </c>
      <c r="B63" s="211"/>
      <c r="C63" s="154"/>
      <c r="D63" s="45"/>
      <c r="E63" s="45"/>
      <c r="F63" s="45">
        <v>59</v>
      </c>
      <c r="G63" s="45">
        <v>65</v>
      </c>
      <c r="H63" s="45">
        <v>43</v>
      </c>
      <c r="I63" s="45">
        <v>53</v>
      </c>
      <c r="J63" s="45">
        <v>46</v>
      </c>
      <c r="K63" s="45">
        <v>57</v>
      </c>
      <c r="L63" s="45">
        <v>34</v>
      </c>
      <c r="M63" s="45">
        <v>42</v>
      </c>
      <c r="N63" s="210">
        <f t="shared" si="3"/>
        <v>399</v>
      </c>
      <c r="O63" s="206">
        <f t="shared" si="4"/>
        <v>49.875</v>
      </c>
      <c r="P63" s="207">
        <f t="shared" si="5"/>
        <v>1.0298900418150843</v>
      </c>
    </row>
    <row r="64" spans="1:16" customFormat="1" ht="15" customHeight="1">
      <c r="A64" s="208" t="s">
        <v>280</v>
      </c>
      <c r="B64" s="211"/>
      <c r="C64" s="154"/>
      <c r="D64" s="45"/>
      <c r="E64" s="45"/>
      <c r="F64" s="45">
        <v>64</v>
      </c>
      <c r="G64" s="45">
        <v>83</v>
      </c>
      <c r="H64" s="45">
        <v>63</v>
      </c>
      <c r="I64" s="45">
        <v>54</v>
      </c>
      <c r="J64" s="45">
        <v>69</v>
      </c>
      <c r="K64" s="45">
        <v>68</v>
      </c>
      <c r="L64" s="45">
        <v>51</v>
      </c>
      <c r="M64" s="45">
        <v>44</v>
      </c>
      <c r="N64" s="210">
        <f t="shared" si="3"/>
        <v>496</v>
      </c>
      <c r="O64" s="206">
        <f t="shared" si="4"/>
        <v>62</v>
      </c>
      <c r="P64" s="207">
        <f t="shared" si="5"/>
        <v>1.2802643126322855</v>
      </c>
    </row>
    <row r="65" spans="1:16" customFormat="1" ht="15" customHeight="1">
      <c r="A65" s="208" t="s">
        <v>281</v>
      </c>
      <c r="B65" s="211"/>
      <c r="C65" s="154"/>
      <c r="D65" s="45"/>
      <c r="E65" s="45"/>
      <c r="F65" s="45">
        <v>22</v>
      </c>
      <c r="G65" s="45">
        <v>21</v>
      </c>
      <c r="H65" s="45">
        <v>27</v>
      </c>
      <c r="I65" s="45">
        <v>33</v>
      </c>
      <c r="J65" s="45">
        <v>17</v>
      </c>
      <c r="K65" s="45">
        <v>27</v>
      </c>
      <c r="L65" s="45">
        <v>34</v>
      </c>
      <c r="M65" s="45">
        <v>32</v>
      </c>
      <c r="N65" s="210">
        <f t="shared" si="3"/>
        <v>213</v>
      </c>
      <c r="O65" s="206">
        <f t="shared" si="4"/>
        <v>26.625</v>
      </c>
      <c r="P65" s="207">
        <f t="shared" si="5"/>
        <v>0.5497909245779774</v>
      </c>
    </row>
    <row r="66" spans="1:16" customFormat="1" ht="15.75" customHeight="1">
      <c r="A66" s="208" t="s">
        <v>282</v>
      </c>
      <c r="B66" s="211"/>
      <c r="C66" s="154"/>
      <c r="D66" s="45"/>
      <c r="E66" s="45"/>
      <c r="F66" s="45">
        <v>15</v>
      </c>
      <c r="G66" s="45">
        <v>23</v>
      </c>
      <c r="H66" s="45">
        <v>18</v>
      </c>
      <c r="I66" s="45">
        <v>23</v>
      </c>
      <c r="J66" s="45">
        <v>17</v>
      </c>
      <c r="K66" s="45">
        <v>17</v>
      </c>
      <c r="L66" s="45">
        <v>20</v>
      </c>
      <c r="M66" s="45">
        <v>10</v>
      </c>
      <c r="N66" s="210">
        <f t="shared" si="3"/>
        <v>143</v>
      </c>
      <c r="O66" s="206">
        <f t="shared" si="4"/>
        <v>17.875</v>
      </c>
      <c r="P66" s="207">
        <f t="shared" si="5"/>
        <v>0.3691084611016468</v>
      </c>
    </row>
    <row r="67" spans="1:16" customFormat="1" ht="15.75" customHeight="1">
      <c r="A67" s="208" t="s">
        <v>283</v>
      </c>
      <c r="B67" s="211"/>
      <c r="C67" s="154"/>
      <c r="D67" s="45"/>
      <c r="E67" s="45"/>
      <c r="F67" s="45">
        <v>16</v>
      </c>
      <c r="G67" s="45">
        <v>20</v>
      </c>
      <c r="H67" s="45">
        <v>17</v>
      </c>
      <c r="I67" s="45">
        <v>29</v>
      </c>
      <c r="J67" s="45">
        <v>19</v>
      </c>
      <c r="K67" s="45">
        <v>21</v>
      </c>
      <c r="L67" s="45">
        <v>12</v>
      </c>
      <c r="M67" s="45">
        <v>23</v>
      </c>
      <c r="N67" s="210">
        <f t="shared" si="3"/>
        <v>157</v>
      </c>
      <c r="O67" s="206">
        <f t="shared" si="4"/>
        <v>19.625</v>
      </c>
      <c r="P67" s="207">
        <f t="shared" si="5"/>
        <v>0.40524495379691289</v>
      </c>
    </row>
    <row r="68" spans="1:16" customFormat="1" ht="15" customHeight="1">
      <c r="A68" s="208" t="s">
        <v>284</v>
      </c>
      <c r="B68" s="211"/>
      <c r="C68" s="154"/>
      <c r="D68" s="45"/>
      <c r="E68" s="45"/>
      <c r="F68" s="45">
        <v>57</v>
      </c>
      <c r="G68" s="45">
        <v>76</v>
      </c>
      <c r="H68" s="46">
        <v>72</v>
      </c>
      <c r="I68" s="45">
        <v>91</v>
      </c>
      <c r="J68" s="45">
        <v>63</v>
      </c>
      <c r="K68" s="45">
        <v>78</v>
      </c>
      <c r="L68" s="45">
        <v>72</v>
      </c>
      <c r="M68" s="45">
        <v>46</v>
      </c>
      <c r="N68" s="210">
        <f t="shared" si="3"/>
        <v>555</v>
      </c>
      <c r="O68" s="206">
        <f t="shared" si="4"/>
        <v>69.375</v>
      </c>
      <c r="P68" s="207">
        <f t="shared" si="5"/>
        <v>1.4325538175623356</v>
      </c>
    </row>
    <row r="69" spans="1:16" customFormat="1" ht="15">
      <c r="A69" s="208" t="s">
        <v>285</v>
      </c>
      <c r="B69" s="211"/>
      <c r="C69" s="154"/>
      <c r="D69" s="45"/>
      <c r="E69" s="45"/>
      <c r="F69" s="45">
        <v>40</v>
      </c>
      <c r="G69" s="45">
        <v>50</v>
      </c>
      <c r="H69" s="46">
        <v>28</v>
      </c>
      <c r="I69" s="45">
        <v>33</v>
      </c>
      <c r="J69" s="45">
        <v>27</v>
      </c>
      <c r="K69" s="45">
        <v>27</v>
      </c>
      <c r="L69" s="45">
        <v>42</v>
      </c>
      <c r="M69" s="45">
        <v>28</v>
      </c>
      <c r="N69" s="210">
        <f t="shared" ref="N69:N71" si="6">SUM(B69:M69)</f>
        <v>275</v>
      </c>
      <c r="O69" s="206">
        <f t="shared" si="4"/>
        <v>34.375</v>
      </c>
      <c r="P69" s="207">
        <f t="shared" si="5"/>
        <v>0.70982396365701306</v>
      </c>
    </row>
    <row r="70" spans="1:16" customFormat="1" ht="15">
      <c r="A70" s="208" t="s">
        <v>286</v>
      </c>
      <c r="B70" s="211"/>
      <c r="C70" s="154"/>
      <c r="D70" s="45"/>
      <c r="E70" s="45"/>
      <c r="F70" s="45">
        <v>53</v>
      </c>
      <c r="G70" s="45">
        <v>59</v>
      </c>
      <c r="H70" s="46">
        <v>58</v>
      </c>
      <c r="I70" s="45">
        <v>62</v>
      </c>
      <c r="J70" s="45">
        <v>39</v>
      </c>
      <c r="K70" s="45">
        <v>65</v>
      </c>
      <c r="L70" s="45">
        <v>59</v>
      </c>
      <c r="M70" s="45">
        <v>48</v>
      </c>
      <c r="N70" s="210">
        <f t="shared" si="6"/>
        <v>443</v>
      </c>
      <c r="O70" s="206">
        <f t="shared" si="4"/>
        <v>55.375</v>
      </c>
      <c r="P70" s="207">
        <f t="shared" si="5"/>
        <v>1.1434618760002064</v>
      </c>
    </row>
    <row r="71" spans="1:16" customFormat="1" ht="15.75" thickBot="1">
      <c r="A71" s="212" t="s">
        <v>287</v>
      </c>
      <c r="B71" s="213"/>
      <c r="C71" s="214"/>
      <c r="D71" s="215"/>
      <c r="E71" s="215"/>
      <c r="F71" s="215">
        <v>26</v>
      </c>
      <c r="G71" s="215">
        <v>16</v>
      </c>
      <c r="H71" s="216">
        <v>12</v>
      </c>
      <c r="I71" s="215">
        <v>35</v>
      </c>
      <c r="J71" s="52">
        <v>57</v>
      </c>
      <c r="K71" s="45">
        <v>44</v>
      </c>
      <c r="L71" s="52">
        <v>32</v>
      </c>
      <c r="M71" s="52">
        <v>17</v>
      </c>
      <c r="N71" s="217">
        <f t="shared" si="6"/>
        <v>239</v>
      </c>
      <c r="O71" s="218">
        <f t="shared" si="4"/>
        <v>29.875</v>
      </c>
      <c r="P71" s="219">
        <f t="shared" si="5"/>
        <v>0.61690155386918588</v>
      </c>
    </row>
    <row r="72" spans="1:16" customFormat="1" ht="15.75" thickBot="1">
      <c r="A72" s="198" t="s">
        <v>5</v>
      </c>
      <c r="B72" s="220"/>
      <c r="C72" s="59"/>
      <c r="D72" s="220"/>
      <c r="E72" s="221"/>
      <c r="F72" s="62">
        <f t="shared" ref="F72:N72" si="7">SUM(F5:F71)</f>
        <v>4895</v>
      </c>
      <c r="G72" s="62">
        <f t="shared" si="7"/>
        <v>4703</v>
      </c>
      <c r="H72" s="62">
        <f t="shared" si="7"/>
        <v>4685</v>
      </c>
      <c r="I72" s="62">
        <f t="shared" si="7"/>
        <v>5353</v>
      </c>
      <c r="J72" s="62">
        <f t="shared" si="7"/>
        <v>4687</v>
      </c>
      <c r="K72" s="62">
        <f t="shared" si="7"/>
        <v>5517</v>
      </c>
      <c r="L72" s="62">
        <f t="shared" si="7"/>
        <v>4645</v>
      </c>
      <c r="M72" s="63">
        <f t="shared" si="7"/>
        <v>4257</v>
      </c>
      <c r="N72" s="222">
        <f t="shared" si="7"/>
        <v>38742</v>
      </c>
      <c r="O72" s="63">
        <f t="shared" si="4"/>
        <v>4842.75</v>
      </c>
      <c r="P72" s="223">
        <f>SUM(P5:P71)</f>
        <v>99.999999999999943</v>
      </c>
    </row>
    <row r="73" spans="1:16" customFormat="1" ht="15">
      <c r="A73" s="149"/>
      <c r="B73" s="150"/>
      <c r="C73" s="150"/>
      <c r="D73" s="150"/>
      <c r="E73" s="150"/>
      <c r="F73" s="150"/>
      <c r="G73" s="134"/>
      <c r="H73" s="150"/>
      <c r="I73" s="150"/>
      <c r="J73" s="150"/>
      <c r="K73" s="150"/>
      <c r="L73" s="150"/>
      <c r="M73" s="151"/>
      <c r="N73" s="151"/>
      <c r="O73" s="13"/>
      <c r="P73" s="13"/>
    </row>
    <row r="74" spans="1:16">
      <c r="A74" s="224" t="s">
        <v>288</v>
      </c>
    </row>
    <row r="75" spans="1:16">
      <c r="A75" s="224" t="s">
        <v>289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2:O72" formula="1"/>
    <ignoredError sqref="I72:M72" formula="1" formulaRange="1"/>
    <ignoredError sqref="F72:H7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Texto</vt:lpstr>
      <vt:lpstr>Protocolos</vt:lpstr>
      <vt:lpstr>Canais_atendimento</vt:lpstr>
      <vt:lpstr>Assuntos</vt:lpstr>
      <vt:lpstr>10_Assuntos_+_demadados_2023</vt:lpstr>
      <vt:lpstr>Assuntos-variação_10_mais_2023</vt:lpstr>
      <vt:lpstr>ASSUNTOS_10+_últimos_3_meses</vt:lpstr>
      <vt:lpstr>10_ASSUNTOS_+_demandados_AGO_23</vt:lpstr>
      <vt:lpstr>UNIDADES</vt:lpstr>
      <vt:lpstr>10_UNIDADES_+_demandadas_2023</vt:lpstr>
      <vt:lpstr>Unidades_-variação_10_mais_2023</vt:lpstr>
      <vt:lpstr>UNIDADES_-_10+_últimos_3_meses</vt:lpstr>
      <vt:lpstr>10_Unidades+_demandados__AGO_23</vt:lpstr>
      <vt:lpstr>Subprefeituras_2023</vt:lpstr>
      <vt:lpstr>10_SUB's_+_demandadas_2023</vt:lpstr>
      <vt:lpstr>Subs_-Variação_10_mais_2023</vt:lpstr>
      <vt:lpstr>Ranking_subprefeituras_AGO_23</vt:lpstr>
      <vt:lpstr>Denúncia_Protocolos_2023</vt:lpstr>
      <vt:lpstr>Denúncia_Unidades_2023</vt:lpstr>
      <vt:lpstr>e-SIC_2023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Sheila de Fatima Batista Malta</cp:lastModifiedBy>
  <cp:revision/>
  <dcterms:created xsi:type="dcterms:W3CDTF">2018-08-01T11:52:47Z</dcterms:created>
  <dcterms:modified xsi:type="dcterms:W3CDTF">2023-09-14T14:35:16Z</dcterms:modified>
  <cp:category/>
  <cp:contentStatus/>
</cp:coreProperties>
</file>